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35204DC8-07D1-4D8A-A8C4-623F88E12747}" xr6:coauthVersionLast="45" xr6:coauthVersionMax="45" xr10:uidLastSave="{00000000-0000-0000-0000-000000000000}"/>
  <bookViews>
    <workbookView xWindow="-120" yWindow="-120" windowWidth="29040" windowHeight="15840" activeTab="21" xr2:uid="{00000000-000D-0000-FFFF-FFFF00000000}"/>
  </bookViews>
  <sheets>
    <sheet name="05" sheetId="1846" r:id="rId1"/>
    <sheet name="06" sheetId="1847" r:id="rId2"/>
    <sheet name="07" sheetId="1848" r:id="rId3"/>
    <sheet name="08" sheetId="1849" r:id="rId4"/>
    <sheet name="09" sheetId="1850" r:id="rId5"/>
    <sheet name="10" sheetId="1851" r:id="rId6"/>
    <sheet name="12" sheetId="1852" r:id="rId7"/>
    <sheet name="13" sheetId="1853" r:id="rId8"/>
    <sheet name="14" sheetId="1854" r:id="rId9"/>
    <sheet name="15" sheetId="1855" r:id="rId10"/>
    <sheet name="16" sheetId="1856" r:id="rId11"/>
    <sheet name="19" sheetId="1857" r:id="rId12"/>
    <sheet name="20" sheetId="1858" r:id="rId13"/>
    <sheet name="21" sheetId="1859" r:id="rId14"/>
    <sheet name="22" sheetId="1860" r:id="rId15"/>
    <sheet name="23" sheetId="1861" r:id="rId16"/>
    <sheet name="24" sheetId="1862" r:id="rId17"/>
    <sheet name="26" sheetId="1863" r:id="rId18"/>
    <sheet name="27" sheetId="1864" r:id="rId19"/>
    <sheet name="28" sheetId="1865" r:id="rId20"/>
    <sheet name="29" sheetId="1866" r:id="rId21"/>
    <sheet name="30" sheetId="1867" r:id="rId22"/>
    <sheet name="총괄" sheetId="16" r:id="rId23"/>
  </sheets>
  <definedNames>
    <definedName name="_xlnm.Print_Area" localSheetId="0">'05'!$A$1:$AD$88</definedName>
    <definedName name="_xlnm.Print_Area" localSheetId="1">'06'!$A$1:$AD$90</definedName>
    <definedName name="_xlnm.Print_Area" localSheetId="2">'07'!$A$1:$AD$88</definedName>
    <definedName name="_xlnm.Print_Area" localSheetId="3">'08'!$A$1:$AD$91</definedName>
    <definedName name="_xlnm.Print_Area" localSheetId="4">'09'!$A$1:$AD$87</definedName>
    <definedName name="_xlnm.Print_Area" localSheetId="5">'10'!$A$1:$AD$87</definedName>
    <definedName name="_xlnm.Print_Area" localSheetId="6">'12'!$A$1:$AD$87</definedName>
    <definedName name="_xlnm.Print_Area" localSheetId="7">'13'!$A$1:$AD$87</definedName>
    <definedName name="_xlnm.Print_Area" localSheetId="8">'14'!$A$1:$AD$87</definedName>
    <definedName name="_xlnm.Print_Area" localSheetId="9">'15'!$A$1:$AD$87</definedName>
    <definedName name="_xlnm.Print_Area" localSheetId="10">'16'!$A$1:$AD$87</definedName>
    <definedName name="_xlnm.Print_Area" localSheetId="11">'19'!$A$1:$AD$87</definedName>
    <definedName name="_xlnm.Print_Area" localSheetId="12">'20'!$A$1:$AD$87</definedName>
    <definedName name="_xlnm.Print_Area" localSheetId="13">'21'!$A$1:$AD$87</definedName>
    <definedName name="_xlnm.Print_Area" localSheetId="14">'22'!$A$1:$AD$87</definedName>
    <definedName name="_xlnm.Print_Area" localSheetId="15">'23'!$A$1:$AD$87</definedName>
    <definedName name="_xlnm.Print_Area" localSheetId="16">'24'!$A$1:$AD$87</definedName>
    <definedName name="_xlnm.Print_Area" localSheetId="17">'26'!$A$1:$AD$87</definedName>
    <definedName name="_xlnm.Print_Area" localSheetId="18">'27'!$A$1:$AD$87</definedName>
    <definedName name="_xlnm.Print_Area" localSheetId="19">'28'!$A$1:$AD$87</definedName>
    <definedName name="_xlnm.Print_Area" localSheetId="20">'29'!$A$1:$AD$89</definedName>
    <definedName name="_xlnm.Print_Area" localSheetId="21">'30'!$A$1:$AD$88</definedName>
    <definedName name="ㅁ1" localSheetId="0">'05'!$M$1048523:$M$1048576</definedName>
    <definedName name="ㅁ1" localSheetId="1">'06'!$M$1048525:$M$1048576</definedName>
    <definedName name="ㅁ1" localSheetId="2">'07'!$M$1048523:$M$1048576</definedName>
    <definedName name="ㅁ1" localSheetId="3">'08'!$M$1048526:$M$1048576</definedName>
    <definedName name="ㅁ1" localSheetId="4">'09'!$M$1048522:$M$1048576</definedName>
    <definedName name="ㅁ1" localSheetId="5">'10'!$M$1048522:$M$1048576</definedName>
    <definedName name="ㅁ1" localSheetId="6">'12'!$M$1048522:$M$1048576</definedName>
    <definedName name="ㅁ1" localSheetId="7">'13'!$M$1048522:$M$1048576</definedName>
    <definedName name="ㅁ1" localSheetId="8">'14'!$M$1048522:$M$1048576</definedName>
    <definedName name="ㅁ1" localSheetId="9">'15'!$M$1048522:$M$1048576</definedName>
    <definedName name="ㅁ1" localSheetId="10">'16'!$M$1048522:$M$1048576</definedName>
    <definedName name="ㅁ1" localSheetId="11">'19'!$M$1048522:$M$1048576</definedName>
    <definedName name="ㅁ1" localSheetId="12">'20'!$M$1048522:$M$1048576</definedName>
    <definedName name="ㅁ1" localSheetId="13">'21'!$M$1048522:$M$1048576</definedName>
    <definedName name="ㅁ1" localSheetId="14">'22'!$M$1048522:$M$1048576</definedName>
    <definedName name="ㅁ1" localSheetId="15">'23'!$M$1048522:$M$1048576</definedName>
    <definedName name="ㅁ1" localSheetId="16">'24'!$M$1048522:$M$1048576</definedName>
    <definedName name="ㅁ1" localSheetId="17">'26'!$M$1048522:$M$1048576</definedName>
    <definedName name="ㅁ1" localSheetId="18">'27'!$M$1048522:$M$1048576</definedName>
    <definedName name="ㅁ1" localSheetId="19">'28'!$M$1048522:$M$1048576</definedName>
    <definedName name="ㅁ1" localSheetId="20">'29'!$M$1048524:$M$1048576</definedName>
    <definedName name="ㅁ1" localSheetId="21">'30'!$M$1048523:$M$1048576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E19" i="16" l="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867"/>
  <c r="L20" i="1867"/>
  <c r="L19" i="1867"/>
  <c r="L18" i="1867"/>
  <c r="K18" i="1867"/>
  <c r="L17" i="1867"/>
  <c r="L14" i="1867"/>
  <c r="K14" i="1867" s="1"/>
  <c r="L13" i="1867"/>
  <c r="L11" i="1867"/>
  <c r="K11" i="1867" s="1"/>
  <c r="AF10" i="1867" l="1"/>
  <c r="AB10" i="1867"/>
  <c r="Q10" i="1867"/>
  <c r="P10" i="1867" s="1"/>
  <c r="AC10" i="1867" s="1"/>
  <c r="O10" i="1867"/>
  <c r="M10" i="1867"/>
  <c r="K10" i="1867"/>
  <c r="K9" i="1867"/>
  <c r="L8" i="1867"/>
  <c r="K8" i="1867"/>
  <c r="K21" i="1867"/>
  <c r="K20" i="1867"/>
  <c r="K19" i="1867"/>
  <c r="K13" i="1867"/>
  <c r="K12" i="1867"/>
  <c r="A78" i="1867"/>
  <c r="A79" i="1867" s="1"/>
  <c r="A80" i="1867" s="1"/>
  <c r="A81" i="1867" s="1"/>
  <c r="A82" i="1867" s="1"/>
  <c r="A83" i="1867" s="1"/>
  <c r="AF62" i="1867"/>
  <c r="AF64" i="1867" s="1"/>
  <c r="AF61" i="1867"/>
  <c r="AA23" i="1867"/>
  <c r="Z23" i="1867"/>
  <c r="Y23" i="1867"/>
  <c r="X23" i="1867"/>
  <c r="W23" i="1867"/>
  <c r="V23" i="1867"/>
  <c r="U23" i="1867"/>
  <c r="T23" i="1867"/>
  <c r="S23" i="1867"/>
  <c r="R23" i="1867"/>
  <c r="N23" i="1867"/>
  <c r="J23" i="1867"/>
  <c r="I23" i="1867"/>
  <c r="AF22" i="1867"/>
  <c r="AB22" i="1867"/>
  <c r="Q22" i="1867"/>
  <c r="P22" i="1867"/>
  <c r="AC22" i="1867" s="1"/>
  <c r="O22" i="1867"/>
  <c r="M22" i="1867"/>
  <c r="K22" i="1867"/>
  <c r="AF21" i="1867"/>
  <c r="Q21" i="1867"/>
  <c r="P21" i="1867"/>
  <c r="AC21" i="1867" s="1"/>
  <c r="O21" i="1867"/>
  <c r="AF20" i="1867"/>
  <c r="Q20" i="1867"/>
  <c r="P20" i="1867" s="1"/>
  <c r="AC20" i="1867" s="1"/>
  <c r="O20" i="1867"/>
  <c r="AB20" i="1867"/>
  <c r="AF19" i="1867"/>
  <c r="AC19" i="1867"/>
  <c r="AB19" i="1867"/>
  <c r="Q19" i="1867"/>
  <c r="P19" i="1867"/>
  <c r="O19" i="1867"/>
  <c r="M19" i="1867"/>
  <c r="AF18" i="1867"/>
  <c r="Q18" i="1867"/>
  <c r="P18" i="1867" s="1"/>
  <c r="AC18" i="1867" s="1"/>
  <c r="AF17" i="1867"/>
  <c r="Q17" i="1867"/>
  <c r="P17" i="1867" s="1"/>
  <c r="AC17" i="1867" s="1"/>
  <c r="O17" i="1867"/>
  <c r="K17" i="1867"/>
  <c r="AF16" i="1867"/>
  <c r="AB16" i="1867"/>
  <c r="Q16" i="1867"/>
  <c r="P16" i="1867"/>
  <c r="AC16" i="1867" s="1"/>
  <c r="O16" i="1867"/>
  <c r="M16" i="1867"/>
  <c r="K16" i="1867"/>
  <c r="AF15" i="1867"/>
  <c r="AB15" i="1867"/>
  <c r="Q15" i="1867"/>
  <c r="P15" i="1867"/>
  <c r="AC15" i="1867" s="1"/>
  <c r="O15" i="1867"/>
  <c r="M15" i="1867"/>
  <c r="K15" i="1867"/>
  <c r="AF14" i="1867"/>
  <c r="AB14" i="1867"/>
  <c r="Q14" i="1867"/>
  <c r="P14" i="1867" s="1"/>
  <c r="AC14" i="1867" s="1"/>
  <c r="O14" i="1867"/>
  <c r="M14" i="1867"/>
  <c r="AF13" i="1867"/>
  <c r="Q13" i="1867"/>
  <c r="P13" i="1867" s="1"/>
  <c r="AC13" i="1867" s="1"/>
  <c r="O13" i="1867"/>
  <c r="AB13" i="1867"/>
  <c r="AF12" i="1867"/>
  <c r="AB12" i="1867"/>
  <c r="Q12" i="1867"/>
  <c r="P12" i="1867"/>
  <c r="AC12" i="1867" s="1"/>
  <c r="O12" i="1867"/>
  <c r="M12" i="1867"/>
  <c r="AF11" i="1867"/>
  <c r="AB11" i="1867"/>
  <c r="Q11" i="1867"/>
  <c r="P11" i="1867" s="1"/>
  <c r="AC11" i="1867" s="1"/>
  <c r="O11" i="1867"/>
  <c r="M11" i="1867"/>
  <c r="AF9" i="1867"/>
  <c r="Q9" i="1867"/>
  <c r="P9" i="1867" s="1"/>
  <c r="AC9" i="1867" s="1"/>
  <c r="AF8" i="1867"/>
  <c r="Q8" i="1867"/>
  <c r="P8" i="1867" s="1"/>
  <c r="AC8" i="1867" s="1"/>
  <c r="O8" i="1867"/>
  <c r="AF7" i="1867"/>
  <c r="AB7" i="1867"/>
  <c r="Q7" i="1867"/>
  <c r="P7" i="1867"/>
  <c r="AC7" i="1867" s="1"/>
  <c r="O7" i="1867"/>
  <c r="M7" i="1867"/>
  <c r="K7" i="1867"/>
  <c r="AF6" i="1867"/>
  <c r="AB6" i="1867"/>
  <c r="Q6" i="1867"/>
  <c r="P6" i="1867"/>
  <c r="AC6" i="1867" s="1"/>
  <c r="AD6" i="1867" s="1"/>
  <c r="O6" i="1867"/>
  <c r="M6" i="1867"/>
  <c r="K6" i="1867"/>
  <c r="AD22" i="1867" l="1"/>
  <c r="Q23" i="1867"/>
  <c r="AD10" i="1867"/>
  <c r="AD16" i="1867"/>
  <c r="AD12" i="1867"/>
  <c r="AD15" i="1867"/>
  <c r="AD19" i="1867"/>
  <c r="AD14" i="1867"/>
  <c r="AD11" i="1867"/>
  <c r="AC23" i="1867"/>
  <c r="AD20" i="1867"/>
  <c r="AD13" i="1867"/>
  <c r="AD7" i="1867"/>
  <c r="L23" i="1867"/>
  <c r="O23" i="1867" s="1"/>
  <c r="AB9" i="1867"/>
  <c r="AB18" i="1867"/>
  <c r="M17" i="1867"/>
  <c r="AB17" i="1867"/>
  <c r="AD17" i="1867" s="1"/>
  <c r="O18" i="1867"/>
  <c r="M21" i="1867"/>
  <c r="AB21" i="1867"/>
  <c r="AD21" i="1867" s="1"/>
  <c r="P23" i="1867"/>
  <c r="M9" i="1867"/>
  <c r="M18" i="1867"/>
  <c r="M8" i="1867"/>
  <c r="AB8" i="1867"/>
  <c r="O9" i="1867"/>
  <c r="M13" i="1867"/>
  <c r="K23" i="1867"/>
  <c r="M20" i="1867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2" i="1866"/>
  <c r="L21" i="1866"/>
  <c r="L20" i="1866"/>
  <c r="L19" i="1866"/>
  <c r="L18" i="1866"/>
  <c r="K18" i="1866" s="1"/>
  <c r="AF14" i="1866"/>
  <c r="AB14" i="1866"/>
  <c r="Q14" i="1866"/>
  <c r="P14" i="1866" s="1"/>
  <c r="AC14" i="1866" s="1"/>
  <c r="AD14" i="1866" s="1"/>
  <c r="O14" i="1866"/>
  <c r="M14" i="1866"/>
  <c r="K14" i="1866"/>
  <c r="K15" i="1866"/>
  <c r="L13" i="1866"/>
  <c r="AF11" i="1866"/>
  <c r="AB11" i="1866"/>
  <c r="Q11" i="1866"/>
  <c r="P11" i="1866"/>
  <c r="AC11" i="1866" s="1"/>
  <c r="O11" i="1866"/>
  <c r="M11" i="1866"/>
  <c r="K11" i="1866"/>
  <c r="L10" i="1866"/>
  <c r="K10" i="1866" s="1"/>
  <c r="AF10" i="1866"/>
  <c r="AB10" i="1866"/>
  <c r="Q10" i="1866"/>
  <c r="P10" i="1866" s="1"/>
  <c r="AC10" i="1866" s="1"/>
  <c r="O10" i="1866"/>
  <c r="M10" i="1866"/>
  <c r="L9" i="1866"/>
  <c r="L8" i="1866"/>
  <c r="O8" i="1866" s="1"/>
  <c r="K22" i="1866"/>
  <c r="K21" i="1866"/>
  <c r="K20" i="1866"/>
  <c r="K19" i="1866"/>
  <c r="K13" i="1866"/>
  <c r="K12" i="1866"/>
  <c r="K9" i="1866"/>
  <c r="K7" i="1866"/>
  <c r="A79" i="1866"/>
  <c r="A80" i="1866" s="1"/>
  <c r="A81" i="1866" s="1"/>
  <c r="A82" i="1866" s="1"/>
  <c r="A83" i="1866" s="1"/>
  <c r="A84" i="1866" s="1"/>
  <c r="AF65" i="1866"/>
  <c r="AF63" i="1866"/>
  <c r="AF62" i="1866"/>
  <c r="AA24" i="1866"/>
  <c r="Z24" i="1866"/>
  <c r="Y24" i="1866"/>
  <c r="X24" i="1866"/>
  <c r="W24" i="1866"/>
  <c r="V24" i="1866"/>
  <c r="U24" i="1866"/>
  <c r="T24" i="1866"/>
  <c r="S24" i="1866"/>
  <c r="R24" i="1866"/>
  <c r="N24" i="1866"/>
  <c r="J24" i="1866"/>
  <c r="I24" i="1866"/>
  <c r="AF23" i="1866"/>
  <c r="AB23" i="1866"/>
  <c r="Q23" i="1866"/>
  <c r="P23" i="1866"/>
  <c r="AC23" i="1866" s="1"/>
  <c r="O23" i="1866"/>
  <c r="M23" i="1866"/>
  <c r="K23" i="1866"/>
  <c r="AF22" i="1866"/>
  <c r="Q22" i="1866"/>
  <c r="O22" i="1866"/>
  <c r="AF21" i="1866"/>
  <c r="Q21" i="1866"/>
  <c r="P21" i="1866" s="1"/>
  <c r="AC21" i="1866" s="1"/>
  <c r="AB21" i="1866"/>
  <c r="AF20" i="1866"/>
  <c r="Q20" i="1866"/>
  <c r="P20" i="1866" s="1"/>
  <c r="AC20" i="1866" s="1"/>
  <c r="O20" i="1866"/>
  <c r="AB20" i="1866"/>
  <c r="AF19" i="1866"/>
  <c r="AB19" i="1866"/>
  <c r="Q19" i="1866"/>
  <c r="P19" i="1866" s="1"/>
  <c r="AC19" i="1866" s="1"/>
  <c r="O19" i="1866"/>
  <c r="M19" i="1866"/>
  <c r="AF18" i="1866"/>
  <c r="Q18" i="1866"/>
  <c r="AF17" i="1866"/>
  <c r="AB17" i="1866"/>
  <c r="Q17" i="1866"/>
  <c r="P17" i="1866"/>
  <c r="AC17" i="1866" s="1"/>
  <c r="AD17" i="1866" s="1"/>
  <c r="O17" i="1866"/>
  <c r="M17" i="1866"/>
  <c r="K17" i="1866"/>
  <c r="AF16" i="1866"/>
  <c r="AB16" i="1866"/>
  <c r="Q16" i="1866"/>
  <c r="P16" i="1866"/>
  <c r="AC16" i="1866" s="1"/>
  <c r="O16" i="1866"/>
  <c r="M16" i="1866"/>
  <c r="K16" i="1866"/>
  <c r="AF15" i="1866"/>
  <c r="AB15" i="1866"/>
  <c r="Q15" i="1866"/>
  <c r="P15" i="1866"/>
  <c r="AC15" i="1866" s="1"/>
  <c r="O15" i="1866"/>
  <c r="M15" i="1866"/>
  <c r="AF13" i="1866"/>
  <c r="Q13" i="1866"/>
  <c r="O13" i="1866"/>
  <c r="AF12" i="1866"/>
  <c r="Q12" i="1866"/>
  <c r="P12" i="1866" s="1"/>
  <c r="AC12" i="1866" s="1"/>
  <c r="AB12" i="1866"/>
  <c r="AF9" i="1866"/>
  <c r="AB9" i="1866"/>
  <c r="Q9" i="1866"/>
  <c r="P9" i="1866" s="1"/>
  <c r="AC9" i="1866" s="1"/>
  <c r="O9" i="1866"/>
  <c r="M9" i="1866"/>
  <c r="AF8" i="1866"/>
  <c r="Q8" i="1866"/>
  <c r="AF7" i="1866"/>
  <c r="Q7" i="1866"/>
  <c r="P7" i="1866"/>
  <c r="AC7" i="1866" s="1"/>
  <c r="AB7" i="1866"/>
  <c r="AF6" i="1866"/>
  <c r="AB6" i="1866"/>
  <c r="Q6" i="1866"/>
  <c r="P6" i="1866"/>
  <c r="AC6" i="1866" s="1"/>
  <c r="O6" i="1866"/>
  <c r="M6" i="1866"/>
  <c r="K6" i="1866"/>
  <c r="M23" i="1867" l="1"/>
  <c r="AD18" i="1867"/>
  <c r="AD9" i="1867"/>
  <c r="AB23" i="1867"/>
  <c r="AD8" i="1867"/>
  <c r="O18" i="1866"/>
  <c r="P18" i="1866"/>
  <c r="AC18" i="1866" s="1"/>
  <c r="AD18" i="1866" s="1"/>
  <c r="M18" i="1866"/>
  <c r="AB18" i="1866"/>
  <c r="AD23" i="1866"/>
  <c r="AD11" i="1866"/>
  <c r="AD10" i="1866"/>
  <c r="AD6" i="1866"/>
  <c r="AD15" i="1866"/>
  <c r="AD9" i="1866"/>
  <c r="K8" i="1866"/>
  <c r="K24" i="1866" s="1"/>
  <c r="Q24" i="1866"/>
  <c r="AD19" i="1866"/>
  <c r="AD16" i="1866"/>
  <c r="AD20" i="1866"/>
  <c r="AB13" i="1866"/>
  <c r="M7" i="1866"/>
  <c r="O7" i="1866"/>
  <c r="AD7" i="1866" s="1"/>
  <c r="P8" i="1866"/>
  <c r="AC8" i="1866" s="1"/>
  <c r="O12" i="1866"/>
  <c r="AD12" i="1866" s="1"/>
  <c r="P13" i="1866"/>
  <c r="AC13" i="1866" s="1"/>
  <c r="M20" i="1866"/>
  <c r="O21" i="1866"/>
  <c r="AD21" i="1866" s="1"/>
  <c r="P22" i="1866"/>
  <c r="AC22" i="1866" s="1"/>
  <c r="L24" i="1866"/>
  <c r="O24" i="1866" s="1"/>
  <c r="AB8" i="1866"/>
  <c r="M13" i="1866"/>
  <c r="M22" i="1866"/>
  <c r="AB22" i="1866"/>
  <c r="M8" i="1866"/>
  <c r="M12" i="1866"/>
  <c r="M21" i="186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865"/>
  <c r="L19" i="1865"/>
  <c r="L18" i="1865"/>
  <c r="AB18" i="1865" s="1"/>
  <c r="K16" i="1865"/>
  <c r="L17" i="1865"/>
  <c r="K17" i="1865" s="1"/>
  <c r="L12" i="1865"/>
  <c r="L11" i="1865"/>
  <c r="K11" i="1865" s="1"/>
  <c r="L10" i="1865"/>
  <c r="L9" i="1865"/>
  <c r="L8" i="1865"/>
  <c r="L7" i="1865"/>
  <c r="K7" i="1865"/>
  <c r="K20" i="1865"/>
  <c r="K19" i="1865"/>
  <c r="K18" i="1865"/>
  <c r="K12" i="1865"/>
  <c r="K10" i="1865"/>
  <c r="K9" i="1865"/>
  <c r="K8" i="1865"/>
  <c r="K6" i="1865"/>
  <c r="A77" i="1865"/>
  <c r="A78" i="1865" s="1"/>
  <c r="A79" i="1865" s="1"/>
  <c r="A80" i="1865" s="1"/>
  <c r="A81" i="1865" s="1"/>
  <c r="A82" i="1865" s="1"/>
  <c r="AF61" i="1865"/>
  <c r="AF60" i="1865"/>
  <c r="AF63" i="1865" s="1"/>
  <c r="AA22" i="1865"/>
  <c r="Z22" i="1865"/>
  <c r="Y22" i="1865"/>
  <c r="X22" i="1865"/>
  <c r="W22" i="1865"/>
  <c r="V22" i="1865"/>
  <c r="U22" i="1865"/>
  <c r="T22" i="1865"/>
  <c r="S22" i="1865"/>
  <c r="R22" i="1865"/>
  <c r="N22" i="1865"/>
  <c r="J22" i="1865"/>
  <c r="I22" i="1865"/>
  <c r="AF21" i="1865"/>
  <c r="AB21" i="1865"/>
  <c r="Q21" i="1865"/>
  <c r="P21" i="1865"/>
  <c r="AC21" i="1865" s="1"/>
  <c r="AD21" i="1865" s="1"/>
  <c r="O21" i="1865"/>
  <c r="M21" i="1865"/>
  <c r="K21" i="1865"/>
  <c r="AF20" i="1865"/>
  <c r="AB20" i="1865"/>
  <c r="Q20" i="1865"/>
  <c r="M20" i="1865"/>
  <c r="O20" i="1865"/>
  <c r="AF19" i="1865"/>
  <c r="Q19" i="1865"/>
  <c r="AB19" i="1865"/>
  <c r="AF18" i="1865"/>
  <c r="Q18" i="1865"/>
  <c r="O18" i="1865"/>
  <c r="AF17" i="1865"/>
  <c r="AB17" i="1865"/>
  <c r="Q17" i="1865"/>
  <c r="P17" i="1865"/>
  <c r="AC17" i="1865" s="1"/>
  <c r="O17" i="1865"/>
  <c r="M17" i="1865"/>
  <c r="AF16" i="1865"/>
  <c r="AB16" i="1865"/>
  <c r="Q16" i="1865"/>
  <c r="P16" i="1865" s="1"/>
  <c r="AC16" i="1865" s="1"/>
  <c r="O16" i="1865"/>
  <c r="M16" i="1865"/>
  <c r="AF15" i="1865"/>
  <c r="AB15" i="1865"/>
  <c r="Q15" i="1865"/>
  <c r="P15" i="1865"/>
  <c r="AC15" i="1865" s="1"/>
  <c r="AD15" i="1865" s="1"/>
  <c r="O15" i="1865"/>
  <c r="M15" i="1865"/>
  <c r="K15" i="1865"/>
  <c r="AF14" i="1865"/>
  <c r="AB14" i="1865"/>
  <c r="Q14" i="1865"/>
  <c r="P14" i="1865"/>
  <c r="AC14" i="1865" s="1"/>
  <c r="AD14" i="1865" s="1"/>
  <c r="O14" i="1865"/>
  <c r="M14" i="1865"/>
  <c r="K14" i="1865"/>
  <c r="AF13" i="1865"/>
  <c r="AB13" i="1865"/>
  <c r="Q13" i="1865"/>
  <c r="P13" i="1865"/>
  <c r="AC13" i="1865" s="1"/>
  <c r="O13" i="1865"/>
  <c r="M13" i="1865"/>
  <c r="K13" i="1865"/>
  <c r="AF12" i="1865"/>
  <c r="AB12" i="1865"/>
  <c r="Q12" i="1865"/>
  <c r="O12" i="1865"/>
  <c r="M12" i="1865"/>
  <c r="P12" i="1865"/>
  <c r="AC12" i="1865" s="1"/>
  <c r="AF11" i="1865"/>
  <c r="Q11" i="1865"/>
  <c r="AF10" i="1865"/>
  <c r="Q10" i="1865"/>
  <c r="P10" i="1865"/>
  <c r="AC10" i="1865" s="1"/>
  <c r="O10" i="1865"/>
  <c r="AF9" i="1865"/>
  <c r="AB9" i="1865"/>
  <c r="Q9" i="1865"/>
  <c r="P9" i="1865"/>
  <c r="AC9" i="1865" s="1"/>
  <c r="AD9" i="1865" s="1"/>
  <c r="O9" i="1865"/>
  <c r="M9" i="1865"/>
  <c r="AF8" i="1865"/>
  <c r="AB8" i="1865"/>
  <c r="Q8" i="1865"/>
  <c r="O8" i="1865"/>
  <c r="M8" i="1865"/>
  <c r="P8" i="1865"/>
  <c r="AC8" i="1865" s="1"/>
  <c r="AF7" i="1865"/>
  <c r="AB7" i="1865"/>
  <c r="Q7" i="1865"/>
  <c r="P7" i="1865" s="1"/>
  <c r="AC7" i="1865" s="1"/>
  <c r="O7" i="1865"/>
  <c r="M7" i="1865"/>
  <c r="AF6" i="1865"/>
  <c r="AB6" i="1865"/>
  <c r="Q6" i="1865"/>
  <c r="P6" i="1865"/>
  <c r="AC6" i="1865" s="1"/>
  <c r="O6" i="1865"/>
  <c r="M6" i="1865"/>
  <c r="AD23" i="1867" l="1"/>
  <c r="AE10" i="1867" s="1"/>
  <c r="AC24" i="1866"/>
  <c r="AB24" i="1866"/>
  <c r="AD13" i="1866"/>
  <c r="AD8" i="1866"/>
  <c r="M24" i="1866"/>
  <c r="AD22" i="1866"/>
  <c r="P24" i="1866"/>
  <c r="P18" i="1865"/>
  <c r="AC18" i="1865" s="1"/>
  <c r="AD18" i="1865" s="1"/>
  <c r="AD16" i="1865"/>
  <c r="AD12" i="1865"/>
  <c r="L22" i="1865"/>
  <c r="O22" i="1865" s="1"/>
  <c r="P11" i="1865"/>
  <c r="AC11" i="1865" s="1"/>
  <c r="AD8" i="1865"/>
  <c r="Q22" i="1865"/>
  <c r="AD7" i="1865"/>
  <c r="AD13" i="1865"/>
  <c r="AD17" i="1865"/>
  <c r="AD6" i="1865"/>
  <c r="M11" i="1865"/>
  <c r="AB11" i="1865"/>
  <c r="K22" i="1865"/>
  <c r="M10" i="1865"/>
  <c r="AB10" i="1865"/>
  <c r="AD10" i="1865" s="1"/>
  <c r="O11" i="1865"/>
  <c r="M18" i="1865"/>
  <c r="O19" i="1865"/>
  <c r="P20" i="1865"/>
  <c r="AC20" i="1865" s="1"/>
  <c r="AD20" i="1865" s="1"/>
  <c r="P19" i="1865"/>
  <c r="AC19" i="1865" s="1"/>
  <c r="M19" i="1865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864"/>
  <c r="K20" i="1864" s="1"/>
  <c r="L19" i="1864"/>
  <c r="L18" i="1864"/>
  <c r="K18" i="1864"/>
  <c r="L17" i="1864"/>
  <c r="AB17" i="1864" s="1"/>
  <c r="K17" i="1864"/>
  <c r="AF20" i="1864"/>
  <c r="Q20" i="1864"/>
  <c r="L12" i="1864"/>
  <c r="P12" i="1864" s="1"/>
  <c r="AC12" i="1864" s="1"/>
  <c r="L11" i="1864"/>
  <c r="K11" i="1864" s="1"/>
  <c r="L10" i="1864"/>
  <c r="K10" i="1864" s="1"/>
  <c r="L9" i="1864"/>
  <c r="K9" i="1864" s="1"/>
  <c r="L8" i="1864"/>
  <c r="L6" i="1864"/>
  <c r="AB6" i="1864" s="1"/>
  <c r="K19" i="1864"/>
  <c r="K16" i="1864"/>
  <c r="K12" i="1864"/>
  <c r="A77" i="1864"/>
  <c r="A78" i="1864" s="1"/>
  <c r="A79" i="1864" s="1"/>
  <c r="A80" i="1864" s="1"/>
  <c r="A81" i="1864" s="1"/>
  <c r="A82" i="1864" s="1"/>
  <c r="AF63" i="1864"/>
  <c r="AF61" i="1864"/>
  <c r="AF60" i="1864"/>
  <c r="AA22" i="1864"/>
  <c r="Z22" i="1864"/>
  <c r="Y22" i="1864"/>
  <c r="X22" i="1864"/>
  <c r="W22" i="1864"/>
  <c r="V22" i="1864"/>
  <c r="U22" i="1864"/>
  <c r="T22" i="1864"/>
  <c r="S22" i="1864"/>
  <c r="R22" i="1864"/>
  <c r="N22" i="1864"/>
  <c r="J22" i="1864"/>
  <c r="I22" i="1864"/>
  <c r="AF21" i="1864"/>
  <c r="AB21" i="1864"/>
  <c r="Q21" i="1864"/>
  <c r="P21" i="1864"/>
  <c r="AC21" i="1864" s="1"/>
  <c r="AD21" i="1864" s="1"/>
  <c r="O21" i="1864"/>
  <c r="M21" i="1864"/>
  <c r="K21" i="1864"/>
  <c r="AF19" i="1864"/>
  <c r="Q19" i="1864"/>
  <c r="P19" i="1864" s="1"/>
  <c r="AC19" i="1864" s="1"/>
  <c r="AF18" i="1864"/>
  <c r="AB18" i="1864"/>
  <c r="Q18" i="1864"/>
  <c r="M18" i="1864"/>
  <c r="AF17" i="1864"/>
  <c r="Q17" i="1864"/>
  <c r="P17" i="1864" s="1"/>
  <c r="AC17" i="1864" s="1"/>
  <c r="O17" i="1864"/>
  <c r="M17" i="1864"/>
  <c r="AF16" i="1864"/>
  <c r="Q16" i="1864"/>
  <c r="P16" i="1864"/>
  <c r="AC16" i="1864" s="1"/>
  <c r="O16" i="1864"/>
  <c r="AB16" i="1864"/>
  <c r="AF15" i="1864"/>
  <c r="AC15" i="1864"/>
  <c r="AD15" i="1864" s="1"/>
  <c r="AB15" i="1864"/>
  <c r="Q15" i="1864"/>
  <c r="P15" i="1864"/>
  <c r="O15" i="1864"/>
  <c r="M15" i="1864"/>
  <c r="K15" i="1864"/>
  <c r="AF14" i="1864"/>
  <c r="AB14" i="1864"/>
  <c r="Q14" i="1864"/>
  <c r="P14" i="1864"/>
  <c r="AC14" i="1864" s="1"/>
  <c r="O14" i="1864"/>
  <c r="M14" i="1864"/>
  <c r="K14" i="1864"/>
  <c r="AF13" i="1864"/>
  <c r="AB13" i="1864"/>
  <c r="Q13" i="1864"/>
  <c r="P13" i="1864"/>
  <c r="AC13" i="1864" s="1"/>
  <c r="AD13" i="1864" s="1"/>
  <c r="O13" i="1864"/>
  <c r="M13" i="1864"/>
  <c r="K13" i="1864"/>
  <c r="AF12" i="1864"/>
  <c r="Q12" i="1864"/>
  <c r="AB12" i="1864"/>
  <c r="AF11" i="1864"/>
  <c r="AB11" i="1864"/>
  <c r="Q11" i="1864"/>
  <c r="P11" i="1864"/>
  <c r="AC11" i="1864" s="1"/>
  <c r="O11" i="1864"/>
  <c r="M11" i="1864"/>
  <c r="AF10" i="1864"/>
  <c r="Q10" i="1864"/>
  <c r="AF9" i="1864"/>
  <c r="Q9" i="1864"/>
  <c r="P9" i="1864" s="1"/>
  <c r="AC9" i="1864" s="1"/>
  <c r="AB9" i="1864"/>
  <c r="AF8" i="1864"/>
  <c r="AB8" i="1864"/>
  <c r="Q8" i="1864"/>
  <c r="P8" i="1864" s="1"/>
  <c r="AC8" i="1864" s="1"/>
  <c r="O8" i="1864"/>
  <c r="M8" i="1864"/>
  <c r="K8" i="1864"/>
  <c r="AF7" i="1864"/>
  <c r="AC7" i="1864"/>
  <c r="AD7" i="1864" s="1"/>
  <c r="AB7" i="1864"/>
  <c r="Q7" i="1864"/>
  <c r="P7" i="1864"/>
  <c r="O7" i="1864"/>
  <c r="M7" i="1864"/>
  <c r="K7" i="1864"/>
  <c r="AF6" i="1864"/>
  <c r="Q6" i="1864"/>
  <c r="O6" i="1864"/>
  <c r="AE16" i="1867" l="1"/>
  <c r="AE15" i="1867"/>
  <c r="AE17" i="1867"/>
  <c r="AE6" i="1867"/>
  <c r="AE8" i="1867"/>
  <c r="AE14" i="1867"/>
  <c r="AE20" i="1867"/>
  <c r="AE18" i="1867"/>
  <c r="AE21" i="1867"/>
  <c r="AE9" i="1867"/>
  <c r="AE7" i="1867"/>
  <c r="AE13" i="1867"/>
  <c r="AE12" i="1867"/>
  <c r="AE11" i="1867"/>
  <c r="AE22" i="1867"/>
  <c r="AE19" i="1867"/>
  <c r="AD24" i="1866"/>
  <c r="AE14" i="1866" s="1"/>
  <c r="AD19" i="1865"/>
  <c r="AD11" i="1865"/>
  <c r="AB22" i="1865"/>
  <c r="M22" i="1865"/>
  <c r="AC22" i="1865"/>
  <c r="AD22" i="1865"/>
  <c r="P22" i="1865"/>
  <c r="O20" i="1864"/>
  <c r="M20" i="1864"/>
  <c r="P20" i="1864"/>
  <c r="AC20" i="1864" s="1"/>
  <c r="AB20" i="1864"/>
  <c r="P18" i="1864"/>
  <c r="AC18" i="1864" s="1"/>
  <c r="O18" i="1864"/>
  <c r="AD17" i="1864"/>
  <c r="AD11" i="1864"/>
  <c r="O10" i="1864"/>
  <c r="Q22" i="1864"/>
  <c r="AD8" i="1864"/>
  <c r="K6" i="1864"/>
  <c r="P6" i="1864"/>
  <c r="AC6" i="1864" s="1"/>
  <c r="AD6" i="1864" s="1"/>
  <c r="M6" i="1864"/>
  <c r="AD14" i="1864"/>
  <c r="AD16" i="1864"/>
  <c r="AB10" i="1864"/>
  <c r="M9" i="1864"/>
  <c r="M12" i="1864"/>
  <c r="M19" i="1864"/>
  <c r="AB19" i="1864"/>
  <c r="O9" i="1864"/>
  <c r="AD9" i="1864" s="1"/>
  <c r="K22" i="1864"/>
  <c r="P10" i="1864"/>
  <c r="AC10" i="1864" s="1"/>
  <c r="O12" i="1864"/>
  <c r="AD12" i="1864" s="1"/>
  <c r="M16" i="1864"/>
  <c r="O19" i="1864"/>
  <c r="L22" i="1864"/>
  <c r="O22" i="1864" s="1"/>
  <c r="M10" i="1864"/>
  <c r="K14" i="1863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0" i="1863"/>
  <c r="K20" i="1863"/>
  <c r="L19" i="1863"/>
  <c r="K19" i="1863" s="1"/>
  <c r="L16" i="1863"/>
  <c r="L12" i="1863"/>
  <c r="L10" i="1863"/>
  <c r="K10" i="1863" s="1"/>
  <c r="L9" i="1863"/>
  <c r="K9" i="1863" s="1"/>
  <c r="K16" i="1863"/>
  <c r="K12" i="1863"/>
  <c r="K8" i="1863"/>
  <c r="A77" i="1863"/>
  <c r="A78" i="1863" s="1"/>
  <c r="A79" i="1863" s="1"/>
  <c r="A80" i="1863" s="1"/>
  <c r="A81" i="1863" s="1"/>
  <c r="A82" i="1863" s="1"/>
  <c r="AF61" i="1863"/>
  <c r="AF60" i="1863"/>
  <c r="AF63" i="1863" s="1"/>
  <c r="AA22" i="1863"/>
  <c r="Z22" i="1863"/>
  <c r="Y22" i="1863"/>
  <c r="X22" i="1863"/>
  <c r="W22" i="1863"/>
  <c r="V22" i="1863"/>
  <c r="U22" i="1863"/>
  <c r="T22" i="1863"/>
  <c r="S22" i="1863"/>
  <c r="R22" i="1863"/>
  <c r="N22" i="1863"/>
  <c r="J22" i="1863"/>
  <c r="I22" i="1863"/>
  <c r="AF21" i="1863"/>
  <c r="AB21" i="1863"/>
  <c r="Q21" i="1863"/>
  <c r="P21" i="1863"/>
  <c r="AC21" i="1863" s="1"/>
  <c r="AD21" i="1863" s="1"/>
  <c r="O21" i="1863"/>
  <c r="M21" i="1863"/>
  <c r="K21" i="1863"/>
  <c r="AF20" i="1863"/>
  <c r="AB20" i="1863"/>
  <c r="Q20" i="1863"/>
  <c r="P20" i="1863"/>
  <c r="AC20" i="1863" s="1"/>
  <c r="O20" i="1863"/>
  <c r="M20" i="1863"/>
  <c r="AF19" i="1863"/>
  <c r="AB19" i="1863"/>
  <c r="Q19" i="1863"/>
  <c r="P19" i="1863" s="1"/>
  <c r="AC19" i="1863" s="1"/>
  <c r="O19" i="1863"/>
  <c r="M19" i="1863"/>
  <c r="AF18" i="1863"/>
  <c r="AB18" i="1863"/>
  <c r="Q18" i="1863"/>
  <c r="P18" i="1863"/>
  <c r="AC18" i="1863" s="1"/>
  <c r="AD18" i="1863" s="1"/>
  <c r="O18" i="1863"/>
  <c r="M18" i="1863"/>
  <c r="K18" i="1863"/>
  <c r="AF17" i="1863"/>
  <c r="AC17" i="1863"/>
  <c r="AB17" i="1863"/>
  <c r="Q17" i="1863"/>
  <c r="P17" i="1863"/>
  <c r="O17" i="1863"/>
  <c r="M17" i="1863"/>
  <c r="K17" i="1863"/>
  <c r="AF16" i="1863"/>
  <c r="Q16" i="1863"/>
  <c r="P16" i="1863" s="1"/>
  <c r="AC16" i="1863" s="1"/>
  <c r="AF15" i="1863"/>
  <c r="AB15" i="1863"/>
  <c r="Q15" i="1863"/>
  <c r="P15" i="1863"/>
  <c r="AC15" i="1863" s="1"/>
  <c r="AD15" i="1863" s="1"/>
  <c r="O15" i="1863"/>
  <c r="M15" i="1863"/>
  <c r="K15" i="1863"/>
  <c r="AF14" i="1863"/>
  <c r="AB14" i="1863"/>
  <c r="Q14" i="1863"/>
  <c r="P14" i="1863"/>
  <c r="AC14" i="1863" s="1"/>
  <c r="O14" i="1863"/>
  <c r="M14" i="1863"/>
  <c r="AF13" i="1863"/>
  <c r="AC13" i="1863"/>
  <c r="AB13" i="1863"/>
  <c r="Q13" i="1863"/>
  <c r="P13" i="1863"/>
  <c r="O13" i="1863"/>
  <c r="M13" i="1863"/>
  <c r="K13" i="1863"/>
  <c r="AF12" i="1863"/>
  <c r="Q12" i="1863"/>
  <c r="P12" i="1863"/>
  <c r="AC12" i="1863" s="1"/>
  <c r="AF11" i="1863"/>
  <c r="AB11" i="1863"/>
  <c r="Q11" i="1863"/>
  <c r="P11" i="1863"/>
  <c r="AC11" i="1863" s="1"/>
  <c r="AD11" i="1863" s="1"/>
  <c r="O11" i="1863"/>
  <c r="M11" i="1863"/>
  <c r="K11" i="1863"/>
  <c r="AF10" i="1863"/>
  <c r="AB10" i="1863"/>
  <c r="Q10" i="1863"/>
  <c r="P10" i="1863"/>
  <c r="AC10" i="1863" s="1"/>
  <c r="M10" i="1863"/>
  <c r="O10" i="1863"/>
  <c r="AF9" i="1863"/>
  <c r="AB9" i="1863"/>
  <c r="Q9" i="1863"/>
  <c r="P9" i="1863"/>
  <c r="AC9" i="1863" s="1"/>
  <c r="O9" i="1863"/>
  <c r="M9" i="1863"/>
  <c r="AF8" i="1863"/>
  <c r="Q8" i="1863"/>
  <c r="O8" i="1863"/>
  <c r="AB8" i="1863"/>
  <c r="AF7" i="1863"/>
  <c r="AB7" i="1863"/>
  <c r="Q7" i="1863"/>
  <c r="P7" i="1863"/>
  <c r="AC7" i="1863" s="1"/>
  <c r="AD7" i="1863" s="1"/>
  <c r="O7" i="1863"/>
  <c r="M7" i="1863"/>
  <c r="K7" i="1863"/>
  <c r="AF6" i="1863"/>
  <c r="AB6" i="1863"/>
  <c r="Q6" i="1863"/>
  <c r="P6" i="1863"/>
  <c r="AC6" i="1863" s="1"/>
  <c r="O6" i="1863"/>
  <c r="M6" i="1863"/>
  <c r="K6" i="1863"/>
  <c r="AE22" i="1866" l="1"/>
  <c r="AE11" i="1866"/>
  <c r="AE7" i="1866"/>
  <c r="AE19" i="1866"/>
  <c r="AE18" i="1866"/>
  <c r="AE20" i="1866"/>
  <c r="AE10" i="1866"/>
  <c r="AE21" i="1866"/>
  <c r="AE16" i="1866"/>
  <c r="AE8" i="1866"/>
  <c r="AE15" i="1866"/>
  <c r="AE17" i="1866"/>
  <c r="AE12" i="1866"/>
  <c r="AE23" i="1866"/>
  <c r="AE9" i="1866"/>
  <c r="AE13" i="1866"/>
  <c r="AE6" i="1866"/>
  <c r="AE21" i="1865"/>
  <c r="AE18" i="1865"/>
  <c r="AE11" i="1865"/>
  <c r="AE20" i="1865"/>
  <c r="AE16" i="1865"/>
  <c r="AE14" i="1865"/>
  <c r="AE12" i="1865"/>
  <c r="AE8" i="1865"/>
  <c r="AE17" i="1865"/>
  <c r="AE9" i="1865"/>
  <c r="AE6" i="1865"/>
  <c r="AE15" i="1865"/>
  <c r="AE13" i="1865"/>
  <c r="AE10" i="1865"/>
  <c r="AE19" i="1865"/>
  <c r="AE7" i="1865"/>
  <c r="AD20" i="1864"/>
  <c r="AD22" i="1864" s="1"/>
  <c r="AE20" i="1864" s="1"/>
  <c r="AB22" i="1864"/>
  <c r="AD18" i="1864"/>
  <c r="AD10" i="1864"/>
  <c r="M22" i="1864"/>
  <c r="AD19" i="1864"/>
  <c r="P22" i="1864"/>
  <c r="AC22" i="1864"/>
  <c r="AD20" i="1863"/>
  <c r="Q22" i="1863"/>
  <c r="AD9" i="1863"/>
  <c r="AD13" i="1863"/>
  <c r="AD17" i="1863"/>
  <c r="AD19" i="1863"/>
  <c r="AD14" i="1863"/>
  <c r="AD6" i="1863"/>
  <c r="AD10" i="1863"/>
  <c r="L22" i="1863"/>
  <c r="O22" i="1863" s="1"/>
  <c r="K22" i="1863"/>
  <c r="P8" i="1863"/>
  <c r="AC8" i="1863" s="1"/>
  <c r="AD8" i="1863" s="1"/>
  <c r="M12" i="1863"/>
  <c r="AB12" i="1863"/>
  <c r="M16" i="1863"/>
  <c r="AB16" i="1863"/>
  <c r="O12" i="1863"/>
  <c r="O16" i="1863"/>
  <c r="M8" i="1863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19" i="1862"/>
  <c r="L16" i="1862"/>
  <c r="K16" i="1862" s="1"/>
  <c r="L12" i="1862"/>
  <c r="L10" i="1862"/>
  <c r="K10" i="1862" s="1"/>
  <c r="L8" i="1862"/>
  <c r="K8" i="1862" s="1"/>
  <c r="K19" i="1862"/>
  <c r="K15" i="1862"/>
  <c r="K12" i="1862"/>
  <c r="K9" i="1862"/>
  <c r="K6" i="1862"/>
  <c r="A77" i="1862"/>
  <c r="A78" i="1862" s="1"/>
  <c r="A79" i="1862" s="1"/>
  <c r="A80" i="1862" s="1"/>
  <c r="A81" i="1862" s="1"/>
  <c r="A82" i="1862" s="1"/>
  <c r="AF61" i="1862"/>
  <c r="AF60" i="1862"/>
  <c r="AF63" i="1862" s="1"/>
  <c r="AA22" i="1862"/>
  <c r="Z22" i="1862"/>
  <c r="Y22" i="1862"/>
  <c r="X22" i="1862"/>
  <c r="W22" i="1862"/>
  <c r="V22" i="1862"/>
  <c r="U22" i="1862"/>
  <c r="T22" i="1862"/>
  <c r="S22" i="1862"/>
  <c r="R22" i="1862"/>
  <c r="N22" i="1862"/>
  <c r="J22" i="1862"/>
  <c r="I22" i="1862"/>
  <c r="AF21" i="1862"/>
  <c r="AB21" i="1862"/>
  <c r="Q21" i="1862"/>
  <c r="P21" i="1862"/>
  <c r="AC21" i="1862" s="1"/>
  <c r="AD21" i="1862" s="1"/>
  <c r="O21" i="1862"/>
  <c r="M21" i="1862"/>
  <c r="K21" i="1862"/>
  <c r="AF20" i="1862"/>
  <c r="AB20" i="1862"/>
  <c r="Q20" i="1862"/>
  <c r="P20" i="1862"/>
  <c r="AC20" i="1862" s="1"/>
  <c r="AD20" i="1862" s="1"/>
  <c r="O20" i="1862"/>
  <c r="M20" i="1862"/>
  <c r="K20" i="1862"/>
  <c r="AF19" i="1862"/>
  <c r="AB19" i="1862"/>
  <c r="Q19" i="1862"/>
  <c r="M19" i="1862"/>
  <c r="O19" i="1862"/>
  <c r="AF18" i="1862"/>
  <c r="AB18" i="1862"/>
  <c r="Q18" i="1862"/>
  <c r="P18" i="1862"/>
  <c r="AC18" i="1862" s="1"/>
  <c r="AD18" i="1862" s="1"/>
  <c r="O18" i="1862"/>
  <c r="M18" i="1862"/>
  <c r="K18" i="1862"/>
  <c r="AF17" i="1862"/>
  <c r="AB17" i="1862"/>
  <c r="Q17" i="1862"/>
  <c r="P17" i="1862"/>
  <c r="AC17" i="1862" s="1"/>
  <c r="AD17" i="1862" s="1"/>
  <c r="O17" i="1862"/>
  <c r="M17" i="1862"/>
  <c r="K17" i="1862"/>
  <c r="AF16" i="1862"/>
  <c r="Q16" i="1862"/>
  <c r="P16" i="1862"/>
  <c r="AC16" i="1862" s="1"/>
  <c r="AF15" i="1862"/>
  <c r="AB15" i="1862"/>
  <c r="Q15" i="1862"/>
  <c r="P15" i="1862"/>
  <c r="AC15" i="1862" s="1"/>
  <c r="O15" i="1862"/>
  <c r="M15" i="1862"/>
  <c r="AF14" i="1862"/>
  <c r="AB14" i="1862"/>
  <c r="Q14" i="1862"/>
  <c r="P14" i="1862"/>
  <c r="AC14" i="1862" s="1"/>
  <c r="AD14" i="1862" s="1"/>
  <c r="O14" i="1862"/>
  <c r="M14" i="1862"/>
  <c r="AF13" i="1862"/>
  <c r="AB13" i="1862"/>
  <c r="Q13" i="1862"/>
  <c r="P13" i="1862"/>
  <c r="AC13" i="1862" s="1"/>
  <c r="O13" i="1862"/>
  <c r="M13" i="1862"/>
  <c r="K13" i="1862"/>
  <c r="AF12" i="1862"/>
  <c r="AB12" i="1862"/>
  <c r="Q12" i="1862"/>
  <c r="P12" i="1862"/>
  <c r="AC12" i="1862" s="1"/>
  <c r="M12" i="1862"/>
  <c r="O12" i="1862"/>
  <c r="AF11" i="1862"/>
  <c r="AB11" i="1862"/>
  <c r="Q11" i="1862"/>
  <c r="P11" i="1862"/>
  <c r="AC11" i="1862" s="1"/>
  <c r="AD11" i="1862" s="1"/>
  <c r="O11" i="1862"/>
  <c r="M11" i="1862"/>
  <c r="K11" i="1862"/>
  <c r="AF10" i="1862"/>
  <c r="Q10" i="1862"/>
  <c r="O10" i="1862"/>
  <c r="AB10" i="1862"/>
  <c r="AF9" i="1862"/>
  <c r="AB9" i="1862"/>
  <c r="Q9" i="1862"/>
  <c r="P9" i="1862"/>
  <c r="AC9" i="1862" s="1"/>
  <c r="AD9" i="1862" s="1"/>
  <c r="M9" i="1862"/>
  <c r="O9" i="1862"/>
  <c r="AF8" i="1862"/>
  <c r="AB8" i="1862"/>
  <c r="Q8" i="1862"/>
  <c r="P8" i="1862" s="1"/>
  <c r="AC8" i="1862" s="1"/>
  <c r="M8" i="1862"/>
  <c r="AF7" i="1862"/>
  <c r="AB7" i="1862"/>
  <c r="Q7" i="1862"/>
  <c r="P7" i="1862"/>
  <c r="AC7" i="1862" s="1"/>
  <c r="AD7" i="1862" s="1"/>
  <c r="O7" i="1862"/>
  <c r="M7" i="1862"/>
  <c r="K7" i="1862"/>
  <c r="AF6" i="1862"/>
  <c r="Q6" i="1862"/>
  <c r="P6" i="1862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19" i="1861"/>
  <c r="L16" i="1861"/>
  <c r="L15" i="1861"/>
  <c r="L12" i="1861"/>
  <c r="L10" i="1861"/>
  <c r="L9" i="1861"/>
  <c r="K8" i="1861"/>
  <c r="AE21" i="1864" l="1"/>
  <c r="AE18" i="1864"/>
  <c r="AE16" i="1864"/>
  <c r="AE14" i="1864"/>
  <c r="AE9" i="1864"/>
  <c r="AE10" i="1864"/>
  <c r="AE19" i="1864"/>
  <c r="AE17" i="1864"/>
  <c r="AE15" i="1864"/>
  <c r="AE13" i="1864"/>
  <c r="AE11" i="1864"/>
  <c r="AE8" i="1864"/>
  <c r="AE6" i="1864"/>
  <c r="AE12" i="1864"/>
  <c r="AE7" i="1864"/>
  <c r="M22" i="1863"/>
  <c r="AD16" i="1863"/>
  <c r="AB22" i="1863"/>
  <c r="P22" i="1863"/>
  <c r="AC22" i="1863"/>
  <c r="AD12" i="1863"/>
  <c r="P19" i="1862"/>
  <c r="AC19" i="1862" s="1"/>
  <c r="AD19" i="1862" s="1"/>
  <c r="Q22" i="1862"/>
  <c r="O8" i="1862"/>
  <c r="AD8" i="1862" s="1"/>
  <c r="AD15" i="1862"/>
  <c r="AD13" i="1862"/>
  <c r="AC6" i="1862"/>
  <c r="AD12" i="1862"/>
  <c r="L22" i="1862"/>
  <c r="O22" i="1862" s="1"/>
  <c r="M6" i="1862"/>
  <c r="AB6" i="1862"/>
  <c r="P10" i="1862"/>
  <c r="AC10" i="1862" s="1"/>
  <c r="AD10" i="1862" s="1"/>
  <c r="M16" i="1862"/>
  <c r="AB16" i="1862"/>
  <c r="AD16" i="1862" s="1"/>
  <c r="O6" i="1862"/>
  <c r="O16" i="1862"/>
  <c r="M10" i="1862"/>
  <c r="AD22" i="1863" l="1"/>
  <c r="AE21" i="1863" s="1"/>
  <c r="AE16" i="1863"/>
  <c r="AB22" i="1862"/>
  <c r="K22" i="1862"/>
  <c r="M22" i="1862"/>
  <c r="P22" i="1862"/>
  <c r="AD6" i="1862"/>
  <c r="AD22" i="1862" s="1"/>
  <c r="AC22" i="1862"/>
  <c r="AE15" i="1863" l="1"/>
  <c r="AE10" i="1863"/>
  <c r="AE8" i="1863"/>
  <c r="AE18" i="1863"/>
  <c r="AE13" i="1863"/>
  <c r="AE9" i="1863"/>
  <c r="AE19" i="1863"/>
  <c r="AE20" i="1863"/>
  <c r="AE14" i="1863"/>
  <c r="AE6" i="1863"/>
  <c r="AE17" i="1863"/>
  <c r="AE11" i="1863"/>
  <c r="AE12" i="1863"/>
  <c r="AE7" i="1863"/>
  <c r="AE21" i="1862"/>
  <c r="AE19" i="1862"/>
  <c r="AE12" i="1862"/>
  <c r="AE9" i="1862"/>
  <c r="AE17" i="1862"/>
  <c r="AE14" i="1862"/>
  <c r="AE7" i="1862"/>
  <c r="AE10" i="1862"/>
  <c r="AE6" i="1862"/>
  <c r="AE20" i="1862"/>
  <c r="AE15" i="1862"/>
  <c r="AE13" i="1862"/>
  <c r="AE18" i="1862"/>
  <c r="AE16" i="1862"/>
  <c r="AE11" i="1862"/>
  <c r="AE8" i="1862"/>
  <c r="L6" i="1861" l="1"/>
  <c r="K6" i="1861" s="1"/>
  <c r="K19" i="1861"/>
  <c r="K18" i="1861"/>
  <c r="K16" i="1861"/>
  <c r="K15" i="1861"/>
  <c r="K12" i="1861"/>
  <c r="K11" i="1861"/>
  <c r="K10" i="1861"/>
  <c r="K9" i="1861"/>
  <c r="K7" i="1861"/>
  <c r="A77" i="1861"/>
  <c r="A78" i="1861" s="1"/>
  <c r="A79" i="1861" s="1"/>
  <c r="A80" i="1861" s="1"/>
  <c r="A81" i="1861" s="1"/>
  <c r="A82" i="1861" s="1"/>
  <c r="AF61" i="1861"/>
  <c r="AF63" i="1861" s="1"/>
  <c r="AF60" i="1861"/>
  <c r="AA22" i="1861"/>
  <c r="Z22" i="1861"/>
  <c r="Y22" i="1861"/>
  <c r="X22" i="1861"/>
  <c r="W22" i="1861"/>
  <c r="V22" i="1861"/>
  <c r="U22" i="1861"/>
  <c r="T22" i="1861"/>
  <c r="S22" i="1861"/>
  <c r="R22" i="1861"/>
  <c r="N22" i="1861"/>
  <c r="J22" i="1861"/>
  <c r="I22" i="1861"/>
  <c r="AF21" i="1861"/>
  <c r="AB21" i="1861"/>
  <c r="Q21" i="1861"/>
  <c r="P21" i="1861"/>
  <c r="AC21" i="1861" s="1"/>
  <c r="AD21" i="1861" s="1"/>
  <c r="O21" i="1861"/>
  <c r="M21" i="1861"/>
  <c r="K21" i="1861"/>
  <c r="AF20" i="1861"/>
  <c r="AB20" i="1861"/>
  <c r="Q20" i="1861"/>
  <c r="P20" i="1861"/>
  <c r="AC20" i="1861" s="1"/>
  <c r="O20" i="1861"/>
  <c r="M20" i="1861"/>
  <c r="K20" i="1861"/>
  <c r="AF19" i="1861"/>
  <c r="AB19" i="1861"/>
  <c r="Q19" i="1861"/>
  <c r="P19" i="1861" s="1"/>
  <c r="AC19" i="1861" s="1"/>
  <c r="O19" i="1861"/>
  <c r="M19" i="1861"/>
  <c r="AF18" i="1861"/>
  <c r="AB18" i="1861"/>
  <c r="Q18" i="1861"/>
  <c r="P18" i="1861" s="1"/>
  <c r="AC18" i="1861" s="1"/>
  <c r="AD18" i="1861" s="1"/>
  <c r="O18" i="1861"/>
  <c r="M18" i="1861"/>
  <c r="AF17" i="1861"/>
  <c r="AB17" i="1861"/>
  <c r="Q17" i="1861"/>
  <c r="P17" i="1861"/>
  <c r="AC17" i="1861" s="1"/>
  <c r="O17" i="1861"/>
  <c r="M17" i="1861"/>
  <c r="K17" i="1861"/>
  <c r="AF16" i="1861"/>
  <c r="Q16" i="1861"/>
  <c r="P16" i="1861" s="1"/>
  <c r="AC16" i="1861" s="1"/>
  <c r="AF15" i="1861"/>
  <c r="AB15" i="1861"/>
  <c r="Q15" i="1861"/>
  <c r="P15" i="1861"/>
  <c r="AC15" i="1861" s="1"/>
  <c r="M15" i="1861"/>
  <c r="O15" i="1861"/>
  <c r="AF14" i="1861"/>
  <c r="AB14" i="1861"/>
  <c r="Q14" i="1861"/>
  <c r="P14" i="1861"/>
  <c r="AC14" i="1861" s="1"/>
  <c r="AD14" i="1861" s="1"/>
  <c r="O14" i="1861"/>
  <c r="M14" i="1861"/>
  <c r="AF13" i="1861"/>
  <c r="AB13" i="1861"/>
  <c r="Q13" i="1861"/>
  <c r="P13" i="1861"/>
  <c r="AC13" i="1861" s="1"/>
  <c r="O13" i="1861"/>
  <c r="M13" i="1861"/>
  <c r="K13" i="1861"/>
  <c r="AF12" i="1861"/>
  <c r="AB12" i="1861"/>
  <c r="Q12" i="1861"/>
  <c r="P12" i="1861" s="1"/>
  <c r="AC12" i="1861" s="1"/>
  <c r="O12" i="1861"/>
  <c r="M12" i="1861"/>
  <c r="AF11" i="1861"/>
  <c r="Q11" i="1861"/>
  <c r="P11" i="1861"/>
  <c r="AC11" i="1861" s="1"/>
  <c r="AF10" i="1861"/>
  <c r="AB10" i="1861"/>
  <c r="Q10" i="1861"/>
  <c r="P10" i="1861"/>
  <c r="AC10" i="1861" s="1"/>
  <c r="M10" i="1861"/>
  <c r="O10" i="1861"/>
  <c r="AF9" i="1861"/>
  <c r="Q9" i="1861"/>
  <c r="O9" i="1861"/>
  <c r="AB9" i="1861"/>
  <c r="AF8" i="1861"/>
  <c r="AB8" i="1861"/>
  <c r="Q8" i="1861"/>
  <c r="P8" i="1861" s="1"/>
  <c r="AC8" i="1861" s="1"/>
  <c r="M8" i="1861"/>
  <c r="O8" i="1861"/>
  <c r="AF7" i="1861"/>
  <c r="Q7" i="1861"/>
  <c r="P7" i="1861"/>
  <c r="AC7" i="1861" s="1"/>
  <c r="AF6" i="1861"/>
  <c r="AB6" i="1861"/>
  <c r="Q6" i="1861"/>
  <c r="P6" i="1861"/>
  <c r="AC6" i="1861" s="1"/>
  <c r="M6" i="1861"/>
  <c r="O6" i="1861"/>
  <c r="AD10" i="1861" l="1"/>
  <c r="Q22" i="1861"/>
  <c r="AD13" i="1861"/>
  <c r="AD12" i="1861"/>
  <c r="AD15" i="1861"/>
  <c r="AD17" i="1861"/>
  <c r="AD20" i="1861"/>
  <c r="AD19" i="1861"/>
  <c r="AD6" i="1861"/>
  <c r="AD8" i="1861"/>
  <c r="L22" i="1861"/>
  <c r="O22" i="1861" s="1"/>
  <c r="M7" i="1861"/>
  <c r="AB7" i="1861"/>
  <c r="P9" i="1861"/>
  <c r="AC9" i="1861" s="1"/>
  <c r="AD9" i="1861" s="1"/>
  <c r="M11" i="1861"/>
  <c r="AB11" i="1861"/>
  <c r="M16" i="1861"/>
  <c r="AB16" i="1861"/>
  <c r="AD16" i="1861" s="1"/>
  <c r="O7" i="1861"/>
  <c r="O11" i="1861"/>
  <c r="O16" i="1861"/>
  <c r="K22" i="1861"/>
  <c r="M9" i="1861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19" i="1860"/>
  <c r="K19" i="1860"/>
  <c r="L16" i="1860"/>
  <c r="L15" i="1860"/>
  <c r="AB15" i="1860" s="1"/>
  <c r="L12" i="1860"/>
  <c r="O12" i="1860" s="1"/>
  <c r="L11" i="1860"/>
  <c r="O11" i="1860" s="1"/>
  <c r="L10" i="1860"/>
  <c r="AB10" i="1860" s="1"/>
  <c r="L9" i="1860"/>
  <c r="O9" i="1860" s="1"/>
  <c r="L8" i="1860"/>
  <c r="L7" i="1860"/>
  <c r="L6" i="1860"/>
  <c r="AB6" i="1860" s="1"/>
  <c r="K20" i="1860"/>
  <c r="K18" i="1860"/>
  <c r="K15" i="1860"/>
  <c r="K12" i="1860"/>
  <c r="K11" i="1860"/>
  <c r="K10" i="1860"/>
  <c r="K9" i="1860"/>
  <c r="K8" i="1860"/>
  <c r="K7" i="1860"/>
  <c r="A77" i="1860"/>
  <c r="A78" i="1860" s="1"/>
  <c r="A79" i="1860" s="1"/>
  <c r="A80" i="1860" s="1"/>
  <c r="A81" i="1860" s="1"/>
  <c r="A82" i="1860" s="1"/>
  <c r="AF61" i="1860"/>
  <c r="AF60" i="1860"/>
  <c r="AF63" i="1860" s="1"/>
  <c r="AA22" i="1860"/>
  <c r="Z22" i="1860"/>
  <c r="Y22" i="1860"/>
  <c r="X22" i="1860"/>
  <c r="W22" i="1860"/>
  <c r="V22" i="1860"/>
  <c r="U22" i="1860"/>
  <c r="T22" i="1860"/>
  <c r="S22" i="1860"/>
  <c r="R22" i="1860"/>
  <c r="N22" i="1860"/>
  <c r="J22" i="1860"/>
  <c r="I22" i="1860"/>
  <c r="AF21" i="1860"/>
  <c r="AB21" i="1860"/>
  <c r="Q21" i="1860"/>
  <c r="P21" i="1860"/>
  <c r="AC21" i="1860" s="1"/>
  <c r="AD21" i="1860" s="1"/>
  <c r="O21" i="1860"/>
  <c r="M21" i="1860"/>
  <c r="K21" i="1860"/>
  <c r="AF20" i="1860"/>
  <c r="AB20" i="1860"/>
  <c r="Q20" i="1860"/>
  <c r="P20" i="1860"/>
  <c r="AC20" i="1860" s="1"/>
  <c r="M20" i="1860"/>
  <c r="O20" i="1860"/>
  <c r="AF19" i="1860"/>
  <c r="AB19" i="1860"/>
  <c r="Q19" i="1860"/>
  <c r="P19" i="1860" s="1"/>
  <c r="AC19" i="1860" s="1"/>
  <c r="O19" i="1860"/>
  <c r="M19" i="1860"/>
  <c r="AF18" i="1860"/>
  <c r="Q18" i="1860"/>
  <c r="P18" i="1860"/>
  <c r="AC18" i="1860" s="1"/>
  <c r="AF17" i="1860"/>
  <c r="AB17" i="1860"/>
  <c r="Q17" i="1860"/>
  <c r="P17" i="1860"/>
  <c r="AC17" i="1860" s="1"/>
  <c r="O17" i="1860"/>
  <c r="M17" i="1860"/>
  <c r="K17" i="1860"/>
  <c r="AF16" i="1860"/>
  <c r="AB16" i="1860"/>
  <c r="Q16" i="1860"/>
  <c r="P16" i="1860" s="1"/>
  <c r="AC16" i="1860" s="1"/>
  <c r="O16" i="1860"/>
  <c r="M16" i="1860"/>
  <c r="K16" i="1860"/>
  <c r="AF15" i="1860"/>
  <c r="Q15" i="1860"/>
  <c r="P15" i="1860" s="1"/>
  <c r="AC15" i="1860" s="1"/>
  <c r="O15" i="1860"/>
  <c r="M15" i="1860"/>
  <c r="AF14" i="1860"/>
  <c r="AB14" i="1860"/>
  <c r="Q14" i="1860"/>
  <c r="P14" i="1860"/>
  <c r="AC14" i="1860" s="1"/>
  <c r="AD14" i="1860" s="1"/>
  <c r="O14" i="1860"/>
  <c r="M14" i="1860"/>
  <c r="AF13" i="1860"/>
  <c r="AB13" i="1860"/>
  <c r="Q13" i="1860"/>
  <c r="P13" i="1860"/>
  <c r="AC13" i="1860" s="1"/>
  <c r="O13" i="1860"/>
  <c r="M13" i="1860"/>
  <c r="K13" i="1860"/>
  <c r="AF12" i="1860"/>
  <c r="AB12" i="1860"/>
  <c r="Q12" i="1860"/>
  <c r="P12" i="1860"/>
  <c r="AC12" i="1860" s="1"/>
  <c r="M12" i="1860"/>
  <c r="AF11" i="1860"/>
  <c r="AB11" i="1860"/>
  <c r="Q11" i="1860"/>
  <c r="P11" i="1860" s="1"/>
  <c r="AC11" i="1860" s="1"/>
  <c r="AF10" i="1860"/>
  <c r="Q10" i="1860"/>
  <c r="O10" i="1860"/>
  <c r="AF9" i="1860"/>
  <c r="AB9" i="1860"/>
  <c r="Q9" i="1860"/>
  <c r="P9" i="1860" s="1"/>
  <c r="AC9" i="1860" s="1"/>
  <c r="M9" i="1860"/>
  <c r="AF8" i="1860"/>
  <c r="Q8" i="1860"/>
  <c r="P8" i="1860" s="1"/>
  <c r="AC8" i="1860" s="1"/>
  <c r="AF7" i="1860"/>
  <c r="AB7" i="1860"/>
  <c r="Q7" i="1860"/>
  <c r="P7" i="1860"/>
  <c r="AC7" i="1860" s="1"/>
  <c r="M7" i="1860"/>
  <c r="O7" i="1860"/>
  <c r="AF6" i="1860"/>
  <c r="Q6" i="1860"/>
  <c r="M22" i="1861" l="1"/>
  <c r="AD11" i="1861"/>
  <c r="AB22" i="1861"/>
  <c r="P22" i="1861"/>
  <c r="AC22" i="1861"/>
  <c r="AD7" i="1861"/>
  <c r="AD22" i="1861" s="1"/>
  <c r="AD19" i="1860"/>
  <c r="AD16" i="1860"/>
  <c r="M11" i="1860"/>
  <c r="Q22" i="1860"/>
  <c r="O6" i="1860"/>
  <c r="K6" i="1860"/>
  <c r="AD11" i="1860"/>
  <c r="AD12" i="1860"/>
  <c r="AD15" i="1860"/>
  <c r="AD13" i="1860"/>
  <c r="AD7" i="1860"/>
  <c r="AD9" i="1860"/>
  <c r="AD17" i="1860"/>
  <c r="AD20" i="1860"/>
  <c r="P6" i="1860"/>
  <c r="M8" i="1860"/>
  <c r="AB8" i="1860"/>
  <c r="P10" i="1860"/>
  <c r="AC10" i="1860" s="1"/>
  <c r="AD10" i="1860" s="1"/>
  <c r="M18" i="1860"/>
  <c r="AB18" i="1860"/>
  <c r="L22" i="1860"/>
  <c r="O22" i="1860" s="1"/>
  <c r="O8" i="1860"/>
  <c r="O18" i="1860"/>
  <c r="M6" i="1860"/>
  <c r="M10" i="1860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0" i="1859"/>
  <c r="O20" i="1859" s="1"/>
  <c r="L18" i="1859"/>
  <c r="K18" i="1859" s="1"/>
  <c r="L16" i="1859"/>
  <c r="K16" i="1859"/>
  <c r="K15" i="1859"/>
  <c r="L12" i="1859"/>
  <c r="K11" i="1859"/>
  <c r="L10" i="1859"/>
  <c r="L9" i="1859"/>
  <c r="L8" i="1859"/>
  <c r="L7" i="1859"/>
  <c r="K7" i="1859" s="1"/>
  <c r="L6" i="1859"/>
  <c r="K19" i="1859"/>
  <c r="K12" i="1859"/>
  <c r="K10" i="1859"/>
  <c r="K9" i="1859"/>
  <c r="K8" i="1859"/>
  <c r="K6" i="1859"/>
  <c r="A77" i="1859"/>
  <c r="A78" i="1859" s="1"/>
  <c r="A79" i="1859" s="1"/>
  <c r="A80" i="1859" s="1"/>
  <c r="A81" i="1859" s="1"/>
  <c r="A82" i="1859" s="1"/>
  <c r="AF61" i="1859"/>
  <c r="AF60" i="1859"/>
  <c r="AF63" i="1859" s="1"/>
  <c r="AA22" i="1859"/>
  <c r="Z22" i="1859"/>
  <c r="Y22" i="1859"/>
  <c r="X22" i="1859"/>
  <c r="W22" i="1859"/>
  <c r="V22" i="1859"/>
  <c r="U22" i="1859"/>
  <c r="T22" i="1859"/>
  <c r="S22" i="1859"/>
  <c r="R22" i="1859"/>
  <c r="N22" i="1859"/>
  <c r="J22" i="1859"/>
  <c r="I22" i="1859"/>
  <c r="AF21" i="1859"/>
  <c r="AB21" i="1859"/>
  <c r="Q21" i="1859"/>
  <c r="P21" i="1859"/>
  <c r="AC21" i="1859" s="1"/>
  <c r="AD21" i="1859" s="1"/>
  <c r="O21" i="1859"/>
  <c r="M21" i="1859"/>
  <c r="K21" i="1859"/>
  <c r="AF20" i="1859"/>
  <c r="Q20" i="1859"/>
  <c r="M20" i="1859"/>
  <c r="AF19" i="1859"/>
  <c r="Q19" i="1859"/>
  <c r="AB19" i="1859"/>
  <c r="AF18" i="1859"/>
  <c r="Q18" i="1859"/>
  <c r="AF17" i="1859"/>
  <c r="AB17" i="1859"/>
  <c r="Q17" i="1859"/>
  <c r="P17" i="1859"/>
  <c r="AC17" i="1859" s="1"/>
  <c r="O17" i="1859"/>
  <c r="M17" i="1859"/>
  <c r="K17" i="1859"/>
  <c r="AF16" i="1859"/>
  <c r="Q16" i="1859"/>
  <c r="P16" i="1859"/>
  <c r="AC16" i="1859" s="1"/>
  <c r="O16" i="1859"/>
  <c r="AB16" i="1859"/>
  <c r="AF15" i="1859"/>
  <c r="AB15" i="1859"/>
  <c r="Q15" i="1859"/>
  <c r="P15" i="1859" s="1"/>
  <c r="AC15" i="1859" s="1"/>
  <c r="O15" i="1859"/>
  <c r="M15" i="1859"/>
  <c r="AF14" i="1859"/>
  <c r="AB14" i="1859"/>
  <c r="Q14" i="1859"/>
  <c r="P14" i="1859"/>
  <c r="AC14" i="1859" s="1"/>
  <c r="O14" i="1859"/>
  <c r="M14" i="1859"/>
  <c r="AF13" i="1859"/>
  <c r="AC13" i="1859"/>
  <c r="AB13" i="1859"/>
  <c r="Q13" i="1859"/>
  <c r="P13" i="1859"/>
  <c r="O13" i="1859"/>
  <c r="M13" i="1859"/>
  <c r="K13" i="1859"/>
  <c r="AF12" i="1859"/>
  <c r="Q12" i="1859"/>
  <c r="P12" i="1859"/>
  <c r="AC12" i="1859" s="1"/>
  <c r="O12" i="1859"/>
  <c r="AF11" i="1859"/>
  <c r="AB11" i="1859"/>
  <c r="Q11" i="1859"/>
  <c r="P11" i="1859" s="1"/>
  <c r="AC11" i="1859" s="1"/>
  <c r="O11" i="1859"/>
  <c r="M11" i="1859"/>
  <c r="AF10" i="1859"/>
  <c r="Q10" i="1859"/>
  <c r="P10" i="1859"/>
  <c r="AC10" i="1859" s="1"/>
  <c r="AF9" i="1859"/>
  <c r="Q9" i="1859"/>
  <c r="P9" i="1859" s="1"/>
  <c r="AC9" i="1859" s="1"/>
  <c r="O9" i="1859"/>
  <c r="AF8" i="1859"/>
  <c r="AB8" i="1859"/>
  <c r="Q8" i="1859"/>
  <c r="P8" i="1859" s="1"/>
  <c r="AC8" i="1859" s="1"/>
  <c r="O8" i="1859"/>
  <c r="M8" i="1859"/>
  <c r="AF7" i="1859"/>
  <c r="Q7" i="1859"/>
  <c r="AF6" i="1859"/>
  <c r="Q6" i="1859"/>
  <c r="AE21" i="1861" l="1"/>
  <c r="AE19" i="1861"/>
  <c r="AE12" i="1861"/>
  <c r="AE8" i="1861"/>
  <c r="AE9" i="1861"/>
  <c r="AE11" i="1861"/>
  <c r="AE7" i="1861"/>
  <c r="AE17" i="1861"/>
  <c r="AE14" i="1861"/>
  <c r="AE18" i="1861"/>
  <c r="AE20" i="1861"/>
  <c r="AE15" i="1861"/>
  <c r="AE13" i="1861"/>
  <c r="AE10" i="1861"/>
  <c r="AE6" i="1861"/>
  <c r="AE16" i="1861"/>
  <c r="AD18" i="1860"/>
  <c r="AD8" i="1860"/>
  <c r="AB22" i="1860"/>
  <c r="P22" i="1860"/>
  <c r="AC6" i="1860"/>
  <c r="M22" i="1860"/>
  <c r="K22" i="1860"/>
  <c r="AB20" i="1859"/>
  <c r="K20" i="1859"/>
  <c r="M18" i="1859"/>
  <c r="AB18" i="1859"/>
  <c r="O18" i="1859"/>
  <c r="P18" i="1859"/>
  <c r="AC18" i="1859" s="1"/>
  <c r="AD18" i="1859" s="1"/>
  <c r="AD15" i="1859"/>
  <c r="Q22" i="1859"/>
  <c r="AD8" i="1859"/>
  <c r="M7" i="1859"/>
  <c r="AB7" i="1859"/>
  <c r="O7" i="1859"/>
  <c r="P7" i="1859"/>
  <c r="AC7" i="1859" s="1"/>
  <c r="AD7" i="1859" s="1"/>
  <c r="P6" i="1859"/>
  <c r="AC6" i="1859" s="1"/>
  <c r="AD11" i="1859"/>
  <c r="AD13" i="1859"/>
  <c r="AD17" i="1859"/>
  <c r="AD14" i="1859"/>
  <c r="AD16" i="1859"/>
  <c r="M6" i="1859"/>
  <c r="M10" i="1859"/>
  <c r="AB10" i="1859"/>
  <c r="O6" i="1859"/>
  <c r="M9" i="1859"/>
  <c r="AB9" i="1859"/>
  <c r="AD9" i="1859" s="1"/>
  <c r="O10" i="1859"/>
  <c r="M12" i="1859"/>
  <c r="AB12" i="1859"/>
  <c r="AD12" i="1859" s="1"/>
  <c r="M16" i="1859"/>
  <c r="O19" i="1859"/>
  <c r="P20" i="1859"/>
  <c r="AC20" i="1859" s="1"/>
  <c r="L22" i="1859"/>
  <c r="O22" i="1859" s="1"/>
  <c r="AB6" i="1859"/>
  <c r="P19" i="1859"/>
  <c r="AC19" i="1859" s="1"/>
  <c r="AD19" i="1859" s="1"/>
  <c r="M19" i="1859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1858"/>
  <c r="L19" i="1858"/>
  <c r="AF19" i="1858"/>
  <c r="AB19" i="1858"/>
  <c r="Q19" i="1858"/>
  <c r="P19" i="1858" s="1"/>
  <c r="AC19" i="1858" s="1"/>
  <c r="AD19" i="1858" s="1"/>
  <c r="O19" i="1858"/>
  <c r="M19" i="1858"/>
  <c r="K19" i="1858"/>
  <c r="L16" i="1858"/>
  <c r="K16" i="1858" s="1"/>
  <c r="L12" i="1858"/>
  <c r="O12" i="1858" s="1"/>
  <c r="L10" i="1858"/>
  <c r="K10" i="1858" s="1"/>
  <c r="L9" i="1858"/>
  <c r="K9" i="1858" s="1"/>
  <c r="L8" i="1858"/>
  <c r="L7" i="1858"/>
  <c r="L6" i="1858"/>
  <c r="K20" i="1858"/>
  <c r="K18" i="1858"/>
  <c r="K13" i="1858"/>
  <c r="K12" i="1858"/>
  <c r="K11" i="1858"/>
  <c r="K7" i="1858"/>
  <c r="K6" i="1858"/>
  <c r="A77" i="1858"/>
  <c r="A78" i="1858" s="1"/>
  <c r="A79" i="1858" s="1"/>
  <c r="A80" i="1858" s="1"/>
  <c r="A81" i="1858" s="1"/>
  <c r="A82" i="1858" s="1"/>
  <c r="AF61" i="1858"/>
  <c r="AF60" i="1858"/>
  <c r="AF63" i="1858" s="1"/>
  <c r="AA22" i="1858"/>
  <c r="Z22" i="1858"/>
  <c r="Y22" i="1858"/>
  <c r="X22" i="1858"/>
  <c r="W22" i="1858"/>
  <c r="V22" i="1858"/>
  <c r="U22" i="1858"/>
  <c r="T22" i="1858"/>
  <c r="S22" i="1858"/>
  <c r="R22" i="1858"/>
  <c r="N22" i="1858"/>
  <c r="J22" i="1858"/>
  <c r="I22" i="1858"/>
  <c r="AF21" i="1858"/>
  <c r="AB21" i="1858"/>
  <c r="Q21" i="1858"/>
  <c r="P21" i="1858"/>
  <c r="AC21" i="1858" s="1"/>
  <c r="AD21" i="1858" s="1"/>
  <c r="O21" i="1858"/>
  <c r="M21" i="1858"/>
  <c r="K21" i="1858"/>
  <c r="AF20" i="1858"/>
  <c r="Q20" i="1858"/>
  <c r="P20" i="1858" s="1"/>
  <c r="AC20" i="1858" s="1"/>
  <c r="O20" i="1858"/>
  <c r="AF18" i="1858"/>
  <c r="Q18" i="1858"/>
  <c r="P18" i="1858"/>
  <c r="AC18" i="1858" s="1"/>
  <c r="AF17" i="1858"/>
  <c r="AB17" i="1858"/>
  <c r="Q17" i="1858"/>
  <c r="P17" i="1858"/>
  <c r="AC17" i="1858" s="1"/>
  <c r="O17" i="1858"/>
  <c r="M17" i="1858"/>
  <c r="K17" i="1858"/>
  <c r="AF16" i="1858"/>
  <c r="Q16" i="1858"/>
  <c r="AF15" i="1858"/>
  <c r="AB15" i="1858"/>
  <c r="Q15" i="1858"/>
  <c r="P15" i="1858"/>
  <c r="AC15" i="1858" s="1"/>
  <c r="O15" i="1858"/>
  <c r="M15" i="1858"/>
  <c r="K15" i="1858"/>
  <c r="AF14" i="1858"/>
  <c r="AC14" i="1858"/>
  <c r="AD14" i="1858" s="1"/>
  <c r="AB14" i="1858"/>
  <c r="Q14" i="1858"/>
  <c r="P14" i="1858"/>
  <c r="O14" i="1858"/>
  <c r="M14" i="1858"/>
  <c r="AF13" i="1858"/>
  <c r="Q13" i="1858"/>
  <c r="P13" i="1858"/>
  <c r="AC13" i="1858" s="1"/>
  <c r="AD13" i="1858" s="1"/>
  <c r="O13" i="1858"/>
  <c r="AB13" i="1858"/>
  <c r="AF12" i="1858"/>
  <c r="AB12" i="1858"/>
  <c r="Q12" i="1858"/>
  <c r="P12" i="1858"/>
  <c r="AC12" i="1858" s="1"/>
  <c r="M12" i="1858"/>
  <c r="AF11" i="1858"/>
  <c r="AB11" i="1858"/>
  <c r="Q11" i="1858"/>
  <c r="M11" i="1858"/>
  <c r="P11" i="1858"/>
  <c r="AC11" i="1858" s="1"/>
  <c r="AF10" i="1858"/>
  <c r="Q10" i="1858"/>
  <c r="P10" i="1858"/>
  <c r="AC10" i="1858" s="1"/>
  <c r="AF9" i="1858"/>
  <c r="AB9" i="1858"/>
  <c r="Q9" i="1858"/>
  <c r="P9" i="1858" s="1"/>
  <c r="AC9" i="1858" s="1"/>
  <c r="O9" i="1858"/>
  <c r="M9" i="1858"/>
  <c r="AF8" i="1858"/>
  <c r="AB8" i="1858"/>
  <c r="Q8" i="1858"/>
  <c r="P8" i="1858"/>
  <c r="AC8" i="1858" s="1"/>
  <c r="O8" i="1858"/>
  <c r="M8" i="1858"/>
  <c r="K8" i="1858"/>
  <c r="AF7" i="1858"/>
  <c r="Q7" i="1858"/>
  <c r="P7" i="1858"/>
  <c r="AC7" i="1858" s="1"/>
  <c r="O7" i="1858"/>
  <c r="AB7" i="1858"/>
  <c r="AF6" i="1858"/>
  <c r="AB6" i="1858"/>
  <c r="Q6" i="1858"/>
  <c r="P6" i="1858"/>
  <c r="AC6" i="1858" s="1"/>
  <c r="O6" i="1858"/>
  <c r="M6" i="1858"/>
  <c r="AC22" i="1860" l="1"/>
  <c r="AD6" i="1860"/>
  <c r="AD22" i="1860" s="1"/>
  <c r="AD20" i="1859"/>
  <c r="AB22" i="1859"/>
  <c r="AD10" i="1859"/>
  <c r="P22" i="1859"/>
  <c r="K22" i="1859"/>
  <c r="M22" i="1859"/>
  <c r="AC22" i="1859"/>
  <c r="AD6" i="1859"/>
  <c r="AB16" i="1858"/>
  <c r="P16" i="1858"/>
  <c r="AC16" i="1858" s="1"/>
  <c r="M16" i="1858"/>
  <c r="Q22" i="1858"/>
  <c r="AD8" i="1858"/>
  <c r="AD6" i="1858"/>
  <c r="AD12" i="1858"/>
  <c r="AD15" i="1858"/>
  <c r="AD17" i="1858"/>
  <c r="AD9" i="1858"/>
  <c r="AD7" i="1858"/>
  <c r="M10" i="1858"/>
  <c r="O11" i="1858"/>
  <c r="AD11" i="1858" s="1"/>
  <c r="O16" i="1858"/>
  <c r="M18" i="1858"/>
  <c r="AB18" i="1858"/>
  <c r="AC22" i="1858"/>
  <c r="L22" i="1858"/>
  <c r="O22" i="1858" s="1"/>
  <c r="P22" i="1858"/>
  <c r="AB10" i="1858"/>
  <c r="M7" i="1858"/>
  <c r="O10" i="1858"/>
  <c r="M13" i="1858"/>
  <c r="O18" i="1858"/>
  <c r="M20" i="1858"/>
  <c r="AB20" i="1858"/>
  <c r="AD20" i="1858" s="1"/>
  <c r="K22" i="1858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0" i="1857"/>
  <c r="K20" i="1857"/>
  <c r="L18" i="1857"/>
  <c r="K18" i="1857" s="1"/>
  <c r="L16" i="1857"/>
  <c r="L13" i="1857"/>
  <c r="K13" i="1857" s="1"/>
  <c r="L12" i="1857"/>
  <c r="L11" i="1857"/>
  <c r="L10" i="1857"/>
  <c r="K8" i="1857"/>
  <c r="L7" i="1857"/>
  <c r="L6" i="1857"/>
  <c r="K6" i="1857"/>
  <c r="K17" i="1857"/>
  <c r="K16" i="1857"/>
  <c r="K15" i="1857"/>
  <c r="K12" i="1857"/>
  <c r="K10" i="1857"/>
  <c r="K9" i="1857"/>
  <c r="K7" i="1857"/>
  <c r="A77" i="1857"/>
  <c r="A78" i="1857" s="1"/>
  <c r="A79" i="1857" s="1"/>
  <c r="A80" i="1857" s="1"/>
  <c r="A81" i="1857" s="1"/>
  <c r="A82" i="1857" s="1"/>
  <c r="AF61" i="1857"/>
  <c r="AF60" i="1857"/>
  <c r="AF63" i="1857" s="1"/>
  <c r="AA22" i="1857"/>
  <c r="Z22" i="1857"/>
  <c r="Y22" i="1857"/>
  <c r="X22" i="1857"/>
  <c r="W22" i="1857"/>
  <c r="V22" i="1857"/>
  <c r="U22" i="1857"/>
  <c r="T22" i="1857"/>
  <c r="S22" i="1857"/>
  <c r="R22" i="1857"/>
  <c r="N22" i="1857"/>
  <c r="J22" i="1857"/>
  <c r="I22" i="1857"/>
  <c r="AF21" i="1857"/>
  <c r="AB21" i="1857"/>
  <c r="Q21" i="1857"/>
  <c r="P21" i="1857"/>
  <c r="AC21" i="1857" s="1"/>
  <c r="AD21" i="1857" s="1"/>
  <c r="O21" i="1857"/>
  <c r="M21" i="1857"/>
  <c r="K21" i="1857"/>
  <c r="AF20" i="1857"/>
  <c r="Q20" i="1857"/>
  <c r="O20" i="1857"/>
  <c r="AF19" i="1857"/>
  <c r="AB19" i="1857"/>
  <c r="Q19" i="1857"/>
  <c r="P19" i="1857"/>
  <c r="AC19" i="1857" s="1"/>
  <c r="AD19" i="1857" s="1"/>
  <c r="O19" i="1857"/>
  <c r="M19" i="1857"/>
  <c r="K19" i="1857"/>
  <c r="AF18" i="1857"/>
  <c r="AB18" i="1857"/>
  <c r="Q18" i="1857"/>
  <c r="P18" i="1857" s="1"/>
  <c r="AC18" i="1857" s="1"/>
  <c r="O18" i="1857"/>
  <c r="M18" i="1857"/>
  <c r="AF17" i="1857"/>
  <c r="Q17" i="1857"/>
  <c r="O17" i="1857"/>
  <c r="AF16" i="1857"/>
  <c r="Q16" i="1857"/>
  <c r="P16" i="1857"/>
  <c r="AC16" i="1857" s="1"/>
  <c r="AB16" i="1857"/>
  <c r="AF15" i="1857"/>
  <c r="AB15" i="1857"/>
  <c r="Q15" i="1857"/>
  <c r="P15" i="1857"/>
  <c r="AC15" i="1857" s="1"/>
  <c r="AD15" i="1857" s="1"/>
  <c r="O15" i="1857"/>
  <c r="M15" i="1857"/>
  <c r="AF14" i="1857"/>
  <c r="AB14" i="1857"/>
  <c r="Q14" i="1857"/>
  <c r="P14" i="1857"/>
  <c r="AC14" i="1857" s="1"/>
  <c r="AD14" i="1857" s="1"/>
  <c r="O14" i="1857"/>
  <c r="M14" i="1857"/>
  <c r="AF13" i="1857"/>
  <c r="AB13" i="1857"/>
  <c r="Q13" i="1857"/>
  <c r="M13" i="1857"/>
  <c r="AF12" i="1857"/>
  <c r="Q12" i="1857"/>
  <c r="O12" i="1857"/>
  <c r="AF11" i="1857"/>
  <c r="AB11" i="1857"/>
  <c r="Q11" i="1857"/>
  <c r="P11" i="1857" s="1"/>
  <c r="AC11" i="1857" s="1"/>
  <c r="O11" i="1857"/>
  <c r="M11" i="1857"/>
  <c r="K11" i="1857"/>
  <c r="AF10" i="1857"/>
  <c r="AB10" i="1857"/>
  <c r="Q10" i="1857"/>
  <c r="O10" i="1857"/>
  <c r="M10" i="1857"/>
  <c r="P10" i="1857"/>
  <c r="AC10" i="1857" s="1"/>
  <c r="AF9" i="1857"/>
  <c r="Q9" i="1857"/>
  <c r="O9" i="1857"/>
  <c r="AF8" i="1857"/>
  <c r="Q8" i="1857"/>
  <c r="P8" i="1857"/>
  <c r="AC8" i="1857" s="1"/>
  <c r="AB8" i="1857"/>
  <c r="AF7" i="1857"/>
  <c r="AB7" i="1857"/>
  <c r="Q7" i="1857"/>
  <c r="P7" i="1857"/>
  <c r="AC7" i="1857" s="1"/>
  <c r="O7" i="1857"/>
  <c r="M7" i="1857"/>
  <c r="AF6" i="1857"/>
  <c r="AB6" i="1857"/>
  <c r="Q6" i="1857"/>
  <c r="O6" i="1857"/>
  <c r="M6" i="1857"/>
  <c r="AE21" i="1860" l="1"/>
  <c r="AE16" i="1860"/>
  <c r="AE12" i="1860"/>
  <c r="AE9" i="1860"/>
  <c r="AE14" i="1860"/>
  <c r="AE10" i="1860"/>
  <c r="AE19" i="1860"/>
  <c r="AE6" i="1860"/>
  <c r="AE18" i="1860"/>
  <c r="AE15" i="1860"/>
  <c r="AE20" i="1860"/>
  <c r="AE17" i="1860"/>
  <c r="AE13" i="1860"/>
  <c r="AE7" i="1860"/>
  <c r="AE11" i="1860"/>
  <c r="AE8" i="1860"/>
  <c r="AD22" i="1859"/>
  <c r="AE18" i="1859" s="1"/>
  <c r="AE21" i="1859"/>
  <c r="AE19" i="1859"/>
  <c r="AE6" i="1859"/>
  <c r="AE13" i="1859"/>
  <c r="AE7" i="1859"/>
  <c r="AE8" i="1859"/>
  <c r="AE12" i="1859"/>
  <c r="AE10" i="1859"/>
  <c r="M22" i="1858"/>
  <c r="AB22" i="1858"/>
  <c r="AD16" i="1858"/>
  <c r="AD18" i="1858"/>
  <c r="AD10" i="1858"/>
  <c r="AD22" i="1858" s="1"/>
  <c r="AE19" i="1858" s="1"/>
  <c r="O13" i="1857"/>
  <c r="P13" i="1857"/>
  <c r="AC13" i="1857" s="1"/>
  <c r="AD13" i="1857" s="1"/>
  <c r="Q22" i="1857"/>
  <c r="P6" i="1857"/>
  <c r="AC6" i="1857" s="1"/>
  <c r="AD10" i="1857"/>
  <c r="AD7" i="1857"/>
  <c r="AD11" i="1857"/>
  <c r="AD18" i="1857"/>
  <c r="AD8" i="1857"/>
  <c r="O8" i="1857"/>
  <c r="P9" i="1857"/>
  <c r="AC9" i="1857" s="1"/>
  <c r="AD9" i="1857" s="1"/>
  <c r="P12" i="1857"/>
  <c r="AC12" i="1857" s="1"/>
  <c r="O16" i="1857"/>
  <c r="AD16" i="1857" s="1"/>
  <c r="P17" i="1857"/>
  <c r="AC17" i="1857" s="1"/>
  <c r="P20" i="1857"/>
  <c r="AC20" i="1857" s="1"/>
  <c r="L22" i="1857"/>
  <c r="O22" i="1857" s="1"/>
  <c r="M17" i="1857"/>
  <c r="AB17" i="1857"/>
  <c r="M20" i="1857"/>
  <c r="AB20" i="1857"/>
  <c r="M9" i="1857"/>
  <c r="AB9" i="1857"/>
  <c r="M12" i="1857"/>
  <c r="AB12" i="1857"/>
  <c r="M8" i="1857"/>
  <c r="M16" i="1857"/>
  <c r="Q18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1856"/>
  <c r="L18" i="1856"/>
  <c r="K18" i="1856" s="1"/>
  <c r="L17" i="1856"/>
  <c r="L16" i="1856"/>
  <c r="O16" i="1856" s="1"/>
  <c r="L15" i="1856"/>
  <c r="L12" i="1856"/>
  <c r="K12" i="1856" s="1"/>
  <c r="L10" i="1856"/>
  <c r="L9" i="1856"/>
  <c r="K9" i="1856" s="1"/>
  <c r="L8" i="1856"/>
  <c r="AB8" i="1856" s="1"/>
  <c r="L7" i="1856"/>
  <c r="AB7" i="1856" s="1"/>
  <c r="K7" i="1856"/>
  <c r="L6" i="1856"/>
  <c r="K6" i="1856" s="1"/>
  <c r="K15" i="1856"/>
  <c r="K13" i="1856"/>
  <c r="K11" i="1856"/>
  <c r="K20" i="1856"/>
  <c r="K19" i="1856"/>
  <c r="K17" i="1856"/>
  <c r="K10" i="1856"/>
  <c r="A77" i="1856"/>
  <c r="A78" i="1856" s="1"/>
  <c r="A79" i="1856" s="1"/>
  <c r="A80" i="1856" s="1"/>
  <c r="A81" i="1856" s="1"/>
  <c r="A82" i="1856" s="1"/>
  <c r="AF61" i="1856"/>
  <c r="AF63" i="1856" s="1"/>
  <c r="AF60" i="1856"/>
  <c r="AA22" i="1856"/>
  <c r="Z22" i="1856"/>
  <c r="Y22" i="1856"/>
  <c r="X22" i="1856"/>
  <c r="W22" i="1856"/>
  <c r="V22" i="1856"/>
  <c r="U22" i="1856"/>
  <c r="T22" i="1856"/>
  <c r="S22" i="1856"/>
  <c r="R22" i="1856"/>
  <c r="N22" i="1856"/>
  <c r="J22" i="1856"/>
  <c r="I22" i="1856"/>
  <c r="AF21" i="1856"/>
  <c r="AB21" i="1856"/>
  <c r="Q21" i="1856"/>
  <c r="P21" i="1856"/>
  <c r="AC21" i="1856" s="1"/>
  <c r="O21" i="1856"/>
  <c r="M21" i="1856"/>
  <c r="K21" i="1856"/>
  <c r="AF20" i="1856"/>
  <c r="Q20" i="1856"/>
  <c r="P20" i="1856" s="1"/>
  <c r="AC20" i="1856" s="1"/>
  <c r="O20" i="1856"/>
  <c r="AF19" i="1856"/>
  <c r="AB19" i="1856"/>
  <c r="Q19" i="1856"/>
  <c r="P19" i="1856" s="1"/>
  <c r="AC19" i="1856" s="1"/>
  <c r="O19" i="1856"/>
  <c r="M19" i="1856"/>
  <c r="AF18" i="1856"/>
  <c r="Q18" i="1856"/>
  <c r="AF17" i="1856"/>
  <c r="Q17" i="1856"/>
  <c r="P17" i="1856"/>
  <c r="AC17" i="1856" s="1"/>
  <c r="O17" i="1856"/>
  <c r="AF16" i="1856"/>
  <c r="Q16" i="1856"/>
  <c r="AF15" i="1856"/>
  <c r="AB15" i="1856"/>
  <c r="Q15" i="1856"/>
  <c r="O15" i="1856"/>
  <c r="M15" i="1856"/>
  <c r="AF14" i="1856"/>
  <c r="AB14" i="1856"/>
  <c r="Q14" i="1856"/>
  <c r="P14" i="1856"/>
  <c r="AC14" i="1856" s="1"/>
  <c r="AD14" i="1856" s="1"/>
  <c r="O14" i="1856"/>
  <c r="M14" i="1856"/>
  <c r="AF13" i="1856"/>
  <c r="AB13" i="1856"/>
  <c r="Q13" i="1856"/>
  <c r="P13" i="1856"/>
  <c r="AC13" i="1856" s="1"/>
  <c r="O13" i="1856"/>
  <c r="M13" i="1856"/>
  <c r="AF12" i="1856"/>
  <c r="Q12" i="1856"/>
  <c r="P12" i="1856"/>
  <c r="AC12" i="1856" s="1"/>
  <c r="AF11" i="1856"/>
  <c r="AB11" i="1856"/>
  <c r="Q11" i="1856"/>
  <c r="P11" i="1856"/>
  <c r="AC11" i="1856" s="1"/>
  <c r="AD11" i="1856" s="1"/>
  <c r="O11" i="1856"/>
  <c r="M11" i="1856"/>
  <c r="AF10" i="1856"/>
  <c r="Q10" i="1856"/>
  <c r="P10" i="1856"/>
  <c r="AC10" i="1856" s="1"/>
  <c r="AF9" i="1856"/>
  <c r="Q9" i="1856"/>
  <c r="O9" i="1856"/>
  <c r="AF8" i="1856"/>
  <c r="Q8" i="1856"/>
  <c r="AF7" i="1856"/>
  <c r="Q7" i="1856"/>
  <c r="P7" i="1856" s="1"/>
  <c r="AC7" i="1856" s="1"/>
  <c r="O7" i="1856"/>
  <c r="M7" i="1856"/>
  <c r="AF6" i="1856"/>
  <c r="Q6" i="1856"/>
  <c r="AE14" i="1859" l="1"/>
  <c r="AE11" i="1859"/>
  <c r="AE17" i="1859"/>
  <c r="AE16" i="1859"/>
  <c r="AE9" i="1859"/>
  <c r="AE15" i="1859"/>
  <c r="AE20" i="1859"/>
  <c r="AE21" i="1858"/>
  <c r="AE16" i="1858"/>
  <c r="AE11" i="1858"/>
  <c r="AE8" i="1858"/>
  <c r="AE14" i="1858"/>
  <c r="AE12" i="1858"/>
  <c r="AE6" i="1858"/>
  <c r="AE7" i="1858"/>
  <c r="AE20" i="1858"/>
  <c r="AE17" i="1858"/>
  <c r="AE13" i="1858"/>
  <c r="AE9" i="1858"/>
  <c r="AE18" i="1858"/>
  <c r="AE15" i="1858"/>
  <c r="AE10" i="1858"/>
  <c r="AD20" i="1857"/>
  <c r="AB22" i="1857"/>
  <c r="AD17" i="1857"/>
  <c r="M22" i="1857"/>
  <c r="AD12" i="1857"/>
  <c r="P22" i="1857"/>
  <c r="K22" i="1857"/>
  <c r="AD6" i="1857"/>
  <c r="AC22" i="1857"/>
  <c r="P18" i="1856"/>
  <c r="AC18" i="1856" s="1"/>
  <c r="AB16" i="1856"/>
  <c r="K16" i="1856"/>
  <c r="P15" i="1856"/>
  <c r="AC15" i="1856" s="1"/>
  <c r="AD15" i="1856" s="1"/>
  <c r="P9" i="1856"/>
  <c r="AC9" i="1856" s="1"/>
  <c r="K8" i="1856"/>
  <c r="O8" i="1856"/>
  <c r="P8" i="1856"/>
  <c r="AC8" i="1856" s="1"/>
  <c r="Q22" i="1856"/>
  <c r="AD7" i="1856"/>
  <c r="P6" i="1856"/>
  <c r="AC6" i="1856" s="1"/>
  <c r="AD13" i="1856"/>
  <c r="AD21" i="1856"/>
  <c r="AD19" i="1856"/>
  <c r="AD8" i="1856"/>
  <c r="L22" i="1856"/>
  <c r="O22" i="1856" s="1"/>
  <c r="AB6" i="1856"/>
  <c r="M10" i="1856"/>
  <c r="AB10" i="1856"/>
  <c r="M12" i="1856"/>
  <c r="AB12" i="1856"/>
  <c r="P16" i="1856"/>
  <c r="AC16" i="1856" s="1"/>
  <c r="AD16" i="1856" s="1"/>
  <c r="M18" i="1856"/>
  <c r="AB18" i="1856"/>
  <c r="M6" i="1856"/>
  <c r="AB9" i="1856"/>
  <c r="O10" i="1856"/>
  <c r="O12" i="1856"/>
  <c r="M17" i="1856"/>
  <c r="AB17" i="1856"/>
  <c r="AD17" i="1856" s="1"/>
  <c r="O18" i="1856"/>
  <c r="M20" i="1856"/>
  <c r="AB20" i="1856"/>
  <c r="AD20" i="1856" s="1"/>
  <c r="Q17" i="16" s="1"/>
  <c r="O6" i="1856"/>
  <c r="M9" i="1856"/>
  <c r="M8" i="1856"/>
  <c r="M16" i="185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1855"/>
  <c r="AB20" i="1855" s="1"/>
  <c r="L18" i="1855"/>
  <c r="L17" i="1855"/>
  <c r="P17" i="1855" s="1"/>
  <c r="AC17" i="1855" s="1"/>
  <c r="L16" i="1855"/>
  <c r="P16" i="1855" s="1"/>
  <c r="AC16" i="1855" s="1"/>
  <c r="L12" i="1855"/>
  <c r="K12" i="1855" s="1"/>
  <c r="L10" i="1855"/>
  <c r="AB10" i="1855" s="1"/>
  <c r="L9" i="1855"/>
  <c r="L8" i="1855"/>
  <c r="K8" i="1855" s="1"/>
  <c r="L7" i="1855"/>
  <c r="K7" i="1855" s="1"/>
  <c r="L6" i="1855"/>
  <c r="K19" i="1855"/>
  <c r="K10" i="1855"/>
  <c r="A77" i="1855"/>
  <c r="A78" i="1855" s="1"/>
  <c r="A79" i="1855" s="1"/>
  <c r="A80" i="1855" s="1"/>
  <c r="A81" i="1855" s="1"/>
  <c r="A82" i="1855" s="1"/>
  <c r="AF61" i="1855"/>
  <c r="AF60" i="1855"/>
  <c r="AF63" i="1855" s="1"/>
  <c r="AA22" i="1855"/>
  <c r="Z22" i="1855"/>
  <c r="Y22" i="1855"/>
  <c r="X22" i="1855"/>
  <c r="W22" i="1855"/>
  <c r="V22" i="1855"/>
  <c r="U22" i="1855"/>
  <c r="T22" i="1855"/>
  <c r="S22" i="1855"/>
  <c r="R22" i="1855"/>
  <c r="N22" i="1855"/>
  <c r="J22" i="1855"/>
  <c r="I22" i="1855"/>
  <c r="AF21" i="1855"/>
  <c r="AB21" i="1855"/>
  <c r="Q21" i="1855"/>
  <c r="P21" i="1855"/>
  <c r="AC21" i="1855" s="1"/>
  <c r="AD21" i="1855" s="1"/>
  <c r="O21" i="1855"/>
  <c r="M21" i="1855"/>
  <c r="K21" i="1855"/>
  <c r="AF20" i="1855"/>
  <c r="Q20" i="1855"/>
  <c r="O20" i="1855"/>
  <c r="AF19" i="1855"/>
  <c r="Q19" i="1855"/>
  <c r="O19" i="1855"/>
  <c r="AB19" i="1855"/>
  <c r="AF18" i="1855"/>
  <c r="Q18" i="1855"/>
  <c r="AF17" i="1855"/>
  <c r="Q17" i="1855"/>
  <c r="AF16" i="1855"/>
  <c r="Q16" i="1855"/>
  <c r="M16" i="1855"/>
  <c r="AF15" i="1855"/>
  <c r="Q15" i="1855"/>
  <c r="O15" i="1855"/>
  <c r="AB15" i="1855"/>
  <c r="AF14" i="1855"/>
  <c r="AB14" i="1855"/>
  <c r="Q14" i="1855"/>
  <c r="P14" i="1855"/>
  <c r="AC14" i="1855" s="1"/>
  <c r="O14" i="1855"/>
  <c r="M14" i="1855"/>
  <c r="AF13" i="1855"/>
  <c r="AB13" i="1855"/>
  <c r="Q13" i="1855"/>
  <c r="P13" i="1855"/>
  <c r="AC13" i="1855" s="1"/>
  <c r="O13" i="1855"/>
  <c r="M13" i="1855"/>
  <c r="AF12" i="1855"/>
  <c r="AB12" i="1855"/>
  <c r="Q12" i="1855"/>
  <c r="O12" i="1855"/>
  <c r="AF11" i="1855"/>
  <c r="AB11" i="1855"/>
  <c r="Q11" i="1855"/>
  <c r="P11" i="1855"/>
  <c r="AC11" i="1855" s="1"/>
  <c r="AD11" i="1855" s="1"/>
  <c r="O11" i="1855"/>
  <c r="M11" i="1855"/>
  <c r="AF10" i="1855"/>
  <c r="Q10" i="1855"/>
  <c r="AF9" i="1855"/>
  <c r="AB9" i="1855"/>
  <c r="Q9" i="1855"/>
  <c r="M9" i="1855"/>
  <c r="AF8" i="1855"/>
  <c r="Q8" i="1855"/>
  <c r="P8" i="1855" s="1"/>
  <c r="AC8" i="1855" s="1"/>
  <c r="O8" i="1855"/>
  <c r="M8" i="1855"/>
  <c r="AF7" i="1855"/>
  <c r="Q7" i="1855"/>
  <c r="O7" i="1855"/>
  <c r="M7" i="1855"/>
  <c r="AF6" i="1855"/>
  <c r="Q6" i="1855"/>
  <c r="AD22" i="1857" l="1"/>
  <c r="AD10" i="1856"/>
  <c r="AD9" i="1856"/>
  <c r="AD12" i="1856"/>
  <c r="AD18" i="1856"/>
  <c r="P22" i="1856"/>
  <c r="AB22" i="1856"/>
  <c r="M22" i="1856"/>
  <c r="K22" i="1856"/>
  <c r="AD6" i="1856"/>
  <c r="AC22" i="1856"/>
  <c r="P20" i="1855"/>
  <c r="AC20" i="1855" s="1"/>
  <c r="AD20" i="1855" s="1"/>
  <c r="K20" i="1855"/>
  <c r="M20" i="1855"/>
  <c r="P18" i="1855"/>
  <c r="AC18" i="1855" s="1"/>
  <c r="AB18" i="1855"/>
  <c r="AD18" i="1855" s="1"/>
  <c r="K18" i="1855"/>
  <c r="M18" i="1855"/>
  <c r="O18" i="1855"/>
  <c r="K17" i="1855"/>
  <c r="AB16" i="1855"/>
  <c r="AD16" i="1855" s="1"/>
  <c r="O16" i="1855"/>
  <c r="K16" i="1855"/>
  <c r="P12" i="1855"/>
  <c r="AC12" i="1855" s="1"/>
  <c r="AD12" i="1855" s="1"/>
  <c r="M12" i="1855"/>
  <c r="P9" i="1855"/>
  <c r="AC9" i="1855" s="1"/>
  <c r="AD9" i="1855" s="1"/>
  <c r="O9" i="1855"/>
  <c r="K9" i="1855"/>
  <c r="AB8" i="1855"/>
  <c r="AD8" i="1855" s="1"/>
  <c r="Q22" i="1855"/>
  <c r="P7" i="1855"/>
  <c r="AC7" i="1855" s="1"/>
  <c r="AB7" i="1855"/>
  <c r="P6" i="1855"/>
  <c r="AC6" i="1855" s="1"/>
  <c r="K6" i="1855"/>
  <c r="AD14" i="1855"/>
  <c r="AD13" i="1855"/>
  <c r="O10" i="1855"/>
  <c r="L22" i="1855"/>
  <c r="O22" i="1855" s="1"/>
  <c r="M6" i="1855"/>
  <c r="AB6" i="1855"/>
  <c r="P10" i="1855"/>
  <c r="AC10" i="1855" s="1"/>
  <c r="AD10" i="1855" s="1"/>
  <c r="P15" i="1855"/>
  <c r="AC15" i="1855" s="1"/>
  <c r="AD15" i="1855" s="1"/>
  <c r="M17" i="1855"/>
  <c r="AB17" i="1855"/>
  <c r="P19" i="1855"/>
  <c r="AC19" i="1855" s="1"/>
  <c r="AD19" i="1855" s="1"/>
  <c r="O6" i="1855"/>
  <c r="O17" i="1855"/>
  <c r="M10" i="1855"/>
  <c r="M15" i="1855"/>
  <c r="M19" i="1855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0" i="1854"/>
  <c r="K20" i="1854"/>
  <c r="L19" i="1854"/>
  <c r="K19" i="1854" s="1"/>
  <c r="L18" i="1854"/>
  <c r="L17" i="1854"/>
  <c r="K17" i="1854" s="1"/>
  <c r="L16" i="1854"/>
  <c r="L15" i="1854"/>
  <c r="K15" i="1854" s="1"/>
  <c r="L12" i="1854"/>
  <c r="L10" i="1854"/>
  <c r="L8" i="1854"/>
  <c r="L6" i="1854"/>
  <c r="K6" i="1854"/>
  <c r="K18" i="1854"/>
  <c r="K16" i="1854"/>
  <c r="K12" i="1854"/>
  <c r="K10" i="1854"/>
  <c r="K9" i="1854"/>
  <c r="K8" i="1854"/>
  <c r="K7" i="1854"/>
  <c r="A77" i="1854"/>
  <c r="A78" i="1854" s="1"/>
  <c r="A79" i="1854" s="1"/>
  <c r="A80" i="1854" s="1"/>
  <c r="A81" i="1854" s="1"/>
  <c r="A82" i="1854" s="1"/>
  <c r="AF61" i="1854"/>
  <c r="AF60" i="1854"/>
  <c r="AF63" i="1854" s="1"/>
  <c r="AA22" i="1854"/>
  <c r="Z22" i="1854"/>
  <c r="Y22" i="1854"/>
  <c r="X22" i="1854"/>
  <c r="W22" i="1854"/>
  <c r="V22" i="1854"/>
  <c r="U22" i="1854"/>
  <c r="T22" i="1854"/>
  <c r="S22" i="1854"/>
  <c r="R22" i="1854"/>
  <c r="N22" i="1854"/>
  <c r="J22" i="1854"/>
  <c r="I22" i="1854"/>
  <c r="AF21" i="1854"/>
  <c r="AB21" i="1854"/>
  <c r="Q21" i="1854"/>
  <c r="P21" i="1854"/>
  <c r="AC21" i="1854" s="1"/>
  <c r="AD21" i="1854" s="1"/>
  <c r="O21" i="1854"/>
  <c r="M21" i="1854"/>
  <c r="K21" i="1854"/>
  <c r="AF20" i="1854"/>
  <c r="AB20" i="1854"/>
  <c r="Q20" i="1854"/>
  <c r="P20" i="1854" s="1"/>
  <c r="AC20" i="1854" s="1"/>
  <c r="O20" i="1854"/>
  <c r="M20" i="1854"/>
  <c r="AF19" i="1854"/>
  <c r="Q19" i="1854"/>
  <c r="AF18" i="1854"/>
  <c r="AB18" i="1854"/>
  <c r="Q18" i="1854"/>
  <c r="O18" i="1854"/>
  <c r="M18" i="1854"/>
  <c r="AF17" i="1854"/>
  <c r="AB17" i="1854"/>
  <c r="Q17" i="1854"/>
  <c r="P17" i="1854" s="1"/>
  <c r="AC17" i="1854" s="1"/>
  <c r="O17" i="1854"/>
  <c r="M17" i="1854"/>
  <c r="AF16" i="1854"/>
  <c r="Q16" i="1854"/>
  <c r="P16" i="1854"/>
  <c r="AC16" i="1854" s="1"/>
  <c r="AF15" i="1854"/>
  <c r="Q15" i="1854"/>
  <c r="P15" i="1854" s="1"/>
  <c r="AC15" i="1854" s="1"/>
  <c r="O15" i="1854"/>
  <c r="AF14" i="1854"/>
  <c r="AB14" i="1854"/>
  <c r="Q14" i="1854"/>
  <c r="P14" i="1854"/>
  <c r="AC14" i="1854" s="1"/>
  <c r="AD14" i="1854" s="1"/>
  <c r="O14" i="1854"/>
  <c r="M14" i="1854"/>
  <c r="K14" i="1854"/>
  <c r="AF13" i="1854"/>
  <c r="AB13" i="1854"/>
  <c r="Q13" i="1854"/>
  <c r="P13" i="1854"/>
  <c r="AC13" i="1854" s="1"/>
  <c r="O13" i="1854"/>
  <c r="M13" i="1854"/>
  <c r="K13" i="1854"/>
  <c r="AF12" i="1854"/>
  <c r="AB12" i="1854"/>
  <c r="Q12" i="1854"/>
  <c r="P12" i="1854"/>
  <c r="AC12" i="1854" s="1"/>
  <c r="AD12" i="1854" s="1"/>
  <c r="O12" i="1854"/>
  <c r="M12" i="1854"/>
  <c r="AF11" i="1854"/>
  <c r="AB11" i="1854"/>
  <c r="Q11" i="1854"/>
  <c r="P11" i="1854"/>
  <c r="AC11" i="1854" s="1"/>
  <c r="AD11" i="1854" s="1"/>
  <c r="O11" i="1854"/>
  <c r="M11" i="1854"/>
  <c r="K11" i="1854"/>
  <c r="AF10" i="1854"/>
  <c r="Q10" i="1854"/>
  <c r="P10" i="1854"/>
  <c r="AC10" i="1854" s="1"/>
  <c r="O10" i="1854"/>
  <c r="AF9" i="1854"/>
  <c r="AB9" i="1854"/>
  <c r="Q9" i="1854"/>
  <c r="P9" i="1854" s="1"/>
  <c r="AC9" i="1854" s="1"/>
  <c r="O9" i="1854"/>
  <c r="M9" i="1854"/>
  <c r="AF8" i="1854"/>
  <c r="AB8" i="1854"/>
  <c r="Q8" i="1854"/>
  <c r="O8" i="1854"/>
  <c r="M8" i="1854"/>
  <c r="AF7" i="1854"/>
  <c r="AB7" i="1854"/>
  <c r="Q7" i="1854"/>
  <c r="P7" i="1854" s="1"/>
  <c r="AC7" i="1854" s="1"/>
  <c r="O7" i="1854"/>
  <c r="M7" i="1854"/>
  <c r="AF6" i="1854"/>
  <c r="AB6" i="1854"/>
  <c r="Q6" i="1854"/>
  <c r="M6" i="1854"/>
  <c r="AE21" i="1857" l="1"/>
  <c r="AE15" i="1857"/>
  <c r="AE13" i="1857"/>
  <c r="AE7" i="1857"/>
  <c r="AE11" i="1857"/>
  <c r="AE8" i="1857"/>
  <c r="AE12" i="1857"/>
  <c r="AE19" i="1857"/>
  <c r="AE16" i="1857"/>
  <c r="AE20" i="1857"/>
  <c r="AE17" i="1857"/>
  <c r="AE18" i="1857"/>
  <c r="AE14" i="1857"/>
  <c r="AE10" i="1857"/>
  <c r="AE6" i="1857"/>
  <c r="AE9" i="1857"/>
  <c r="AD22" i="1856"/>
  <c r="AD17" i="1855"/>
  <c r="AD7" i="1855"/>
  <c r="AD6" i="1855"/>
  <c r="AC22" i="1855"/>
  <c r="AB22" i="1855"/>
  <c r="K22" i="1855"/>
  <c r="M22" i="1855"/>
  <c r="P22" i="1855"/>
  <c r="AD20" i="1854"/>
  <c r="P19" i="1854"/>
  <c r="AC19" i="1854" s="1"/>
  <c r="O19" i="1854"/>
  <c r="P18" i="1854"/>
  <c r="AC18" i="1854" s="1"/>
  <c r="AC22" i="1854" s="1"/>
  <c r="AD18" i="1854"/>
  <c r="AD9" i="1854"/>
  <c r="Q22" i="1854"/>
  <c r="P6" i="1854"/>
  <c r="AC6" i="1854" s="1"/>
  <c r="L22" i="1854"/>
  <c r="O22" i="1854" s="1"/>
  <c r="O6" i="1854"/>
  <c r="AD7" i="1854"/>
  <c r="AD17" i="1854"/>
  <c r="AD13" i="1854"/>
  <c r="M16" i="1854"/>
  <c r="P8" i="1854"/>
  <c r="AC8" i="1854" s="1"/>
  <c r="AD8" i="1854" s="1"/>
  <c r="M10" i="1854"/>
  <c r="AB10" i="1854"/>
  <c r="M15" i="1854"/>
  <c r="AB15" i="1854"/>
  <c r="AD15" i="1854" s="1"/>
  <c r="O16" i="1854"/>
  <c r="K22" i="1854"/>
  <c r="M19" i="1854"/>
  <c r="AB19" i="1854"/>
  <c r="AD6" i="1854"/>
  <c r="AB16" i="1854"/>
  <c r="AD16" i="1854" s="1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19" i="1853"/>
  <c r="L18" i="1853"/>
  <c r="L17" i="1853"/>
  <c r="K17" i="1853" s="1"/>
  <c r="L16" i="1853"/>
  <c r="K16" i="1853" s="1"/>
  <c r="L15" i="1853"/>
  <c r="K15" i="1853"/>
  <c r="L12" i="1853"/>
  <c r="L10" i="1853"/>
  <c r="L9" i="1853"/>
  <c r="K9" i="1853" s="1"/>
  <c r="L8" i="1853"/>
  <c r="K7" i="1853"/>
  <c r="AE21" i="1856" l="1"/>
  <c r="Q19" i="16"/>
  <c r="AE6" i="1856"/>
  <c r="AE9" i="1856"/>
  <c r="AE20" i="1856"/>
  <c r="AE8" i="1856"/>
  <c r="AE11" i="1856"/>
  <c r="AE12" i="1856"/>
  <c r="AE13" i="1856"/>
  <c r="AE16" i="1856"/>
  <c r="AE15" i="1856"/>
  <c r="AE10" i="1856"/>
  <c r="AE14" i="1856"/>
  <c r="AE7" i="1856"/>
  <c r="AE18" i="1856"/>
  <c r="AE17" i="1856"/>
  <c r="AE19" i="1856"/>
  <c r="AD22" i="1855"/>
  <c r="AE18" i="1855" s="1"/>
  <c r="AD19" i="1854"/>
  <c r="AB22" i="1854"/>
  <c r="M22" i="1854"/>
  <c r="AD10" i="1854"/>
  <c r="P22" i="1854"/>
  <c r="K19" i="1853"/>
  <c r="K18" i="1853"/>
  <c r="K12" i="1853"/>
  <c r="K10" i="1853"/>
  <c r="K8" i="1853"/>
  <c r="K6" i="1853"/>
  <c r="A77" i="1853"/>
  <c r="A78" i="1853" s="1"/>
  <c r="A79" i="1853" s="1"/>
  <c r="A80" i="1853" s="1"/>
  <c r="A81" i="1853" s="1"/>
  <c r="A82" i="1853" s="1"/>
  <c r="AF61" i="1853"/>
  <c r="AF60" i="1853"/>
  <c r="AF63" i="1853" s="1"/>
  <c r="AA22" i="1853"/>
  <c r="Z22" i="1853"/>
  <c r="Y22" i="1853"/>
  <c r="X22" i="1853"/>
  <c r="W22" i="1853"/>
  <c r="V22" i="1853"/>
  <c r="U22" i="1853"/>
  <c r="T22" i="1853"/>
  <c r="S22" i="1853"/>
  <c r="R22" i="1853"/>
  <c r="N22" i="1853"/>
  <c r="J22" i="1853"/>
  <c r="AF21" i="1853"/>
  <c r="AB21" i="1853"/>
  <c r="Q21" i="1853"/>
  <c r="P21" i="1853"/>
  <c r="AC21" i="1853" s="1"/>
  <c r="AD21" i="1853" s="1"/>
  <c r="O21" i="1853"/>
  <c r="M21" i="1853"/>
  <c r="K21" i="1853"/>
  <c r="AF20" i="1853"/>
  <c r="AC20" i="1853"/>
  <c r="AD20" i="1853" s="1"/>
  <c r="AB20" i="1853"/>
  <c r="Q20" i="1853"/>
  <c r="P20" i="1853"/>
  <c r="O20" i="1853"/>
  <c r="M20" i="1853"/>
  <c r="K20" i="1853"/>
  <c r="AF19" i="1853"/>
  <c r="Q19" i="1853"/>
  <c r="P19" i="1853"/>
  <c r="AC19" i="1853" s="1"/>
  <c r="O19" i="1853"/>
  <c r="AF18" i="1853"/>
  <c r="Q18" i="1853"/>
  <c r="P18" i="1853" s="1"/>
  <c r="AC18" i="1853" s="1"/>
  <c r="O18" i="1853"/>
  <c r="AB18" i="1853"/>
  <c r="AF17" i="1853"/>
  <c r="AB17" i="1853"/>
  <c r="Q17" i="1853"/>
  <c r="P17" i="1853" s="1"/>
  <c r="AC17" i="1853" s="1"/>
  <c r="O17" i="1853"/>
  <c r="M17" i="1853"/>
  <c r="AF16" i="1853"/>
  <c r="Q16" i="1853"/>
  <c r="P16" i="1853"/>
  <c r="AC16" i="1853" s="1"/>
  <c r="O16" i="1853"/>
  <c r="AF15" i="1853"/>
  <c r="AC15" i="1853"/>
  <c r="AD15" i="1853" s="1"/>
  <c r="AB15" i="1853"/>
  <c r="Q15" i="1853"/>
  <c r="P15" i="1853"/>
  <c r="O15" i="1853"/>
  <c r="M15" i="1853"/>
  <c r="I22" i="1853"/>
  <c r="AF14" i="1853"/>
  <c r="AB14" i="1853"/>
  <c r="Q14" i="1853"/>
  <c r="P14" i="1853"/>
  <c r="AC14" i="1853" s="1"/>
  <c r="AD14" i="1853" s="1"/>
  <c r="O14" i="1853"/>
  <c r="M14" i="1853"/>
  <c r="K14" i="1853"/>
  <c r="AF13" i="1853"/>
  <c r="AB13" i="1853"/>
  <c r="Q13" i="1853"/>
  <c r="P13" i="1853"/>
  <c r="AC13" i="1853" s="1"/>
  <c r="O13" i="1853"/>
  <c r="M13" i="1853"/>
  <c r="K13" i="1853"/>
  <c r="AF12" i="1853"/>
  <c r="AB12" i="1853"/>
  <c r="Q12" i="1853"/>
  <c r="P12" i="1853"/>
  <c r="AC12" i="1853" s="1"/>
  <c r="O12" i="1853"/>
  <c r="M12" i="1853"/>
  <c r="AF11" i="1853"/>
  <c r="AC11" i="1853"/>
  <c r="AB11" i="1853"/>
  <c r="Q11" i="1853"/>
  <c r="P11" i="1853"/>
  <c r="O11" i="1853"/>
  <c r="M11" i="1853"/>
  <c r="K11" i="1853"/>
  <c r="AF10" i="1853"/>
  <c r="Q10" i="1853"/>
  <c r="P10" i="1853"/>
  <c r="AC10" i="1853" s="1"/>
  <c r="O10" i="1853"/>
  <c r="AB10" i="1853"/>
  <c r="AF9" i="1853"/>
  <c r="AB9" i="1853"/>
  <c r="Q9" i="1853"/>
  <c r="P9" i="1853" s="1"/>
  <c r="AC9" i="1853" s="1"/>
  <c r="O9" i="1853"/>
  <c r="M9" i="1853"/>
  <c r="AF8" i="1853"/>
  <c r="Q8" i="1853"/>
  <c r="P8" i="1853"/>
  <c r="AC8" i="1853" s="1"/>
  <c r="O8" i="1853"/>
  <c r="AF7" i="1853"/>
  <c r="Q7" i="1853"/>
  <c r="P7" i="1853"/>
  <c r="AC7" i="1853" s="1"/>
  <c r="O7" i="1853"/>
  <c r="AB7" i="1853"/>
  <c r="AF6" i="1853"/>
  <c r="AC6" i="1853"/>
  <c r="AB6" i="1853"/>
  <c r="Q6" i="1853"/>
  <c r="P6" i="1853"/>
  <c r="O6" i="1853"/>
  <c r="M6" i="1853"/>
  <c r="L22" i="1853"/>
  <c r="O22" i="1853" s="1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9" i="1852"/>
  <c r="P19" i="1852" s="1"/>
  <c r="AC19" i="1852" s="1"/>
  <c r="L18" i="1852"/>
  <c r="O18" i="1852" s="1"/>
  <c r="L16" i="1852"/>
  <c r="L12" i="1852"/>
  <c r="K12" i="1852" s="1"/>
  <c r="L10" i="1852"/>
  <c r="K10" i="1852" s="1"/>
  <c r="L8" i="1852"/>
  <c r="P8" i="1852" s="1"/>
  <c r="AC8" i="1852" s="1"/>
  <c r="L7" i="1852"/>
  <c r="K7" i="1852"/>
  <c r="L6" i="1852"/>
  <c r="K6" i="1852" s="1"/>
  <c r="K19" i="1852"/>
  <c r="K18" i="1852"/>
  <c r="K16" i="1852"/>
  <c r="A77" i="1852"/>
  <c r="A78" i="1852" s="1"/>
  <c r="A79" i="1852" s="1"/>
  <c r="A80" i="1852" s="1"/>
  <c r="A81" i="1852" s="1"/>
  <c r="A82" i="1852" s="1"/>
  <c r="AF61" i="1852"/>
  <c r="AF60" i="1852"/>
  <c r="AF63" i="1852" s="1"/>
  <c r="AA22" i="1852"/>
  <c r="Z22" i="1852"/>
  <c r="Y22" i="1852"/>
  <c r="X22" i="1852"/>
  <c r="W22" i="1852"/>
  <c r="V22" i="1852"/>
  <c r="U22" i="1852"/>
  <c r="T22" i="1852"/>
  <c r="S22" i="1852"/>
  <c r="R22" i="1852"/>
  <c r="N22" i="1852"/>
  <c r="J22" i="1852"/>
  <c r="AF21" i="1852"/>
  <c r="AB21" i="1852"/>
  <c r="Q21" i="1852"/>
  <c r="P21" i="1852"/>
  <c r="AC21" i="1852" s="1"/>
  <c r="AD21" i="1852" s="1"/>
  <c r="O21" i="1852"/>
  <c r="M21" i="1852"/>
  <c r="K21" i="1852"/>
  <c r="AF20" i="1852"/>
  <c r="AB20" i="1852"/>
  <c r="Q20" i="1852"/>
  <c r="P20" i="1852"/>
  <c r="AC20" i="1852" s="1"/>
  <c r="AD20" i="1852" s="1"/>
  <c r="O20" i="1852"/>
  <c r="M20" i="1852"/>
  <c r="K20" i="1852"/>
  <c r="AF19" i="1852"/>
  <c r="Q19" i="1852"/>
  <c r="AF18" i="1852"/>
  <c r="AB18" i="1852"/>
  <c r="Q18" i="1852"/>
  <c r="P18" i="1852"/>
  <c r="AC18" i="1852" s="1"/>
  <c r="M18" i="1852"/>
  <c r="AF17" i="1852"/>
  <c r="AB17" i="1852"/>
  <c r="Q17" i="1852"/>
  <c r="P17" i="1852"/>
  <c r="AC17" i="1852" s="1"/>
  <c r="O17" i="1852"/>
  <c r="M17" i="1852"/>
  <c r="K17" i="1852"/>
  <c r="AF16" i="1852"/>
  <c r="Q16" i="1852"/>
  <c r="P16" i="1852"/>
  <c r="AC16" i="1852" s="1"/>
  <c r="O16" i="1852"/>
  <c r="AF15" i="1852"/>
  <c r="AC15" i="1852"/>
  <c r="AB15" i="1852"/>
  <c r="Q15" i="1852"/>
  <c r="P15" i="1852"/>
  <c r="O15" i="1852"/>
  <c r="M15" i="1852"/>
  <c r="K15" i="1852"/>
  <c r="I15" i="1852"/>
  <c r="I22" i="1852" s="1"/>
  <c r="AF14" i="1852"/>
  <c r="AC14" i="1852"/>
  <c r="AB14" i="1852"/>
  <c r="Q14" i="1852"/>
  <c r="P14" i="1852"/>
  <c r="O14" i="1852"/>
  <c r="M14" i="1852"/>
  <c r="K14" i="1852"/>
  <c r="AF13" i="1852"/>
  <c r="AB13" i="1852"/>
  <c r="Q13" i="1852"/>
  <c r="P13" i="1852"/>
  <c r="AC13" i="1852" s="1"/>
  <c r="O13" i="1852"/>
  <c r="M13" i="1852"/>
  <c r="K13" i="1852"/>
  <c r="AF12" i="1852"/>
  <c r="AB12" i="1852"/>
  <c r="Q12" i="1852"/>
  <c r="M12" i="1852"/>
  <c r="P12" i="1852"/>
  <c r="AC12" i="1852" s="1"/>
  <c r="AF11" i="1852"/>
  <c r="AB11" i="1852"/>
  <c r="Q11" i="1852"/>
  <c r="P11" i="1852"/>
  <c r="AC11" i="1852" s="1"/>
  <c r="O11" i="1852"/>
  <c r="M11" i="1852"/>
  <c r="K11" i="1852"/>
  <c r="AF10" i="1852"/>
  <c r="Q10" i="1852"/>
  <c r="O10" i="1852"/>
  <c r="AF9" i="1852"/>
  <c r="AC9" i="1852"/>
  <c r="AB9" i="1852"/>
  <c r="Q9" i="1852"/>
  <c r="P9" i="1852"/>
  <c r="O9" i="1852"/>
  <c r="M9" i="1852"/>
  <c r="K9" i="1852"/>
  <c r="AF8" i="1852"/>
  <c r="Q8" i="1852"/>
  <c r="AF7" i="1852"/>
  <c r="AB7" i="1852"/>
  <c r="Q7" i="1852"/>
  <c r="P7" i="1852" s="1"/>
  <c r="AC7" i="1852" s="1"/>
  <c r="O7" i="1852"/>
  <c r="M7" i="1852"/>
  <c r="AF6" i="1852"/>
  <c r="Q6" i="1852"/>
  <c r="P6" i="1852"/>
  <c r="AE17" i="1855" l="1"/>
  <c r="AE8" i="1855"/>
  <c r="AE9" i="1855"/>
  <c r="AE7" i="1855"/>
  <c r="AE19" i="1855"/>
  <c r="AE20" i="1855"/>
  <c r="AE21" i="1855"/>
  <c r="AE6" i="1855"/>
  <c r="AE13" i="1855"/>
  <c r="AE10" i="1855"/>
  <c r="AE12" i="1855"/>
  <c r="AE11" i="1855"/>
  <c r="AE16" i="1855"/>
  <c r="AE15" i="1855"/>
  <c r="AE14" i="1855"/>
  <c r="AD22" i="1854"/>
  <c r="AE21" i="1854" s="1"/>
  <c r="AE12" i="1854"/>
  <c r="AE9" i="1854"/>
  <c r="AE13" i="1854"/>
  <c r="AD9" i="1853"/>
  <c r="Q22" i="1853"/>
  <c r="AD17" i="1853"/>
  <c r="AD13" i="1853"/>
  <c r="P22" i="1853"/>
  <c r="AD12" i="1853"/>
  <c r="AD11" i="1853"/>
  <c r="K22" i="1853"/>
  <c r="AD7" i="1853"/>
  <c r="AC22" i="1853"/>
  <c r="AD10" i="1853"/>
  <c r="AD18" i="1853"/>
  <c r="AD6" i="1853"/>
  <c r="M8" i="1853"/>
  <c r="AB8" i="1853"/>
  <c r="AD8" i="1853" s="1"/>
  <c r="M16" i="1853"/>
  <c r="AB16" i="1853"/>
  <c r="AD16" i="1853" s="1"/>
  <c r="M19" i="1853"/>
  <c r="AB19" i="1853"/>
  <c r="AD19" i="1853" s="1"/>
  <c r="M7" i="1853"/>
  <c r="M10" i="1853"/>
  <c r="M18" i="1853"/>
  <c r="O12" i="1852"/>
  <c r="AD12" i="1852" s="1"/>
  <c r="M10" i="1852"/>
  <c r="AB10" i="1852"/>
  <c r="AD10" i="1852" s="1"/>
  <c r="P10" i="1852"/>
  <c r="AC10" i="1852" s="1"/>
  <c r="O8" i="1852"/>
  <c r="K8" i="1852"/>
  <c r="K22" i="1852" s="1"/>
  <c r="Q22" i="1852"/>
  <c r="AD14" i="1852"/>
  <c r="AD7" i="1852"/>
  <c r="AD9" i="1852"/>
  <c r="AD11" i="1852"/>
  <c r="AD15" i="1852"/>
  <c r="AD17" i="1852"/>
  <c r="AD18" i="1852"/>
  <c r="AD13" i="1852"/>
  <c r="AC6" i="1852"/>
  <c r="P22" i="1852"/>
  <c r="M6" i="1852"/>
  <c r="M19" i="1852"/>
  <c r="AB19" i="1852"/>
  <c r="L22" i="1852"/>
  <c r="O22" i="1852" s="1"/>
  <c r="AB6" i="1852"/>
  <c r="O6" i="1852"/>
  <c r="M8" i="1852"/>
  <c r="AB8" i="1852"/>
  <c r="AD8" i="1852" s="1"/>
  <c r="M16" i="1852"/>
  <c r="AB16" i="1852"/>
  <c r="AD16" i="1852" s="1"/>
  <c r="O19" i="1852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9" i="1851"/>
  <c r="L16" i="1851"/>
  <c r="L12" i="1851"/>
  <c r="L10" i="1851"/>
  <c r="L8" i="1851"/>
  <c r="L6" i="1851"/>
  <c r="AB6" i="1851" s="1"/>
  <c r="K19" i="1851"/>
  <c r="K18" i="1851"/>
  <c r="K16" i="1851"/>
  <c r="K13" i="1851"/>
  <c r="K12" i="1851"/>
  <c r="K10" i="1851"/>
  <c r="K8" i="1851"/>
  <c r="K6" i="1851"/>
  <c r="A77" i="1851"/>
  <c r="A78" i="1851" s="1"/>
  <c r="A79" i="1851" s="1"/>
  <c r="A80" i="1851" s="1"/>
  <c r="A81" i="1851" s="1"/>
  <c r="A82" i="1851" s="1"/>
  <c r="AF63" i="1851"/>
  <c r="AF61" i="1851"/>
  <c r="AF60" i="1851"/>
  <c r="AA22" i="1851"/>
  <c r="Z22" i="1851"/>
  <c r="Y22" i="1851"/>
  <c r="X22" i="1851"/>
  <c r="W22" i="1851"/>
  <c r="V22" i="1851"/>
  <c r="U22" i="1851"/>
  <c r="T22" i="1851"/>
  <c r="S22" i="1851"/>
  <c r="R22" i="1851"/>
  <c r="N22" i="1851"/>
  <c r="J22" i="1851"/>
  <c r="AF21" i="1851"/>
  <c r="AB21" i="1851"/>
  <c r="Q21" i="1851"/>
  <c r="P21" i="1851"/>
  <c r="AC21" i="1851" s="1"/>
  <c r="AD21" i="1851" s="1"/>
  <c r="O21" i="1851"/>
  <c r="M21" i="1851"/>
  <c r="K21" i="1851"/>
  <c r="AF20" i="1851"/>
  <c r="AB20" i="1851"/>
  <c r="Q20" i="1851"/>
  <c r="P20" i="1851"/>
  <c r="AC20" i="1851" s="1"/>
  <c r="AD20" i="1851" s="1"/>
  <c r="O20" i="1851"/>
  <c r="M20" i="1851"/>
  <c r="K20" i="1851"/>
  <c r="AF19" i="1851"/>
  <c r="Q19" i="1851"/>
  <c r="P19" i="1851" s="1"/>
  <c r="AC19" i="1851" s="1"/>
  <c r="O19" i="1851"/>
  <c r="AB19" i="1851"/>
  <c r="AF18" i="1851"/>
  <c r="AB18" i="1851"/>
  <c r="Q18" i="1851"/>
  <c r="P18" i="1851" s="1"/>
  <c r="AC18" i="1851" s="1"/>
  <c r="O18" i="1851"/>
  <c r="M18" i="1851"/>
  <c r="AF17" i="1851"/>
  <c r="AB17" i="1851"/>
  <c r="Q17" i="1851"/>
  <c r="P17" i="1851"/>
  <c r="AC17" i="1851" s="1"/>
  <c r="AD17" i="1851" s="1"/>
  <c r="O17" i="1851"/>
  <c r="M17" i="1851"/>
  <c r="K17" i="1851"/>
  <c r="AF16" i="1851"/>
  <c r="Q16" i="1851"/>
  <c r="P16" i="1851"/>
  <c r="AC16" i="1851" s="1"/>
  <c r="O16" i="1851"/>
  <c r="AB16" i="1851"/>
  <c r="AF15" i="1851"/>
  <c r="AB15" i="1851"/>
  <c r="Q15" i="1851"/>
  <c r="P15" i="1851"/>
  <c r="AC15" i="1851" s="1"/>
  <c r="AD15" i="1851" s="1"/>
  <c r="O15" i="1851"/>
  <c r="M15" i="1851"/>
  <c r="K15" i="1851"/>
  <c r="I15" i="1851"/>
  <c r="I22" i="1851" s="1"/>
  <c r="AF14" i="1851"/>
  <c r="AB14" i="1851"/>
  <c r="Q14" i="1851"/>
  <c r="P14" i="1851"/>
  <c r="AC14" i="1851" s="1"/>
  <c r="AD14" i="1851" s="1"/>
  <c r="O14" i="1851"/>
  <c r="M14" i="1851"/>
  <c r="K14" i="1851"/>
  <c r="AF13" i="1851"/>
  <c r="Q13" i="1851"/>
  <c r="P13" i="1851"/>
  <c r="AC13" i="1851" s="1"/>
  <c r="O13" i="1851"/>
  <c r="AB13" i="1851"/>
  <c r="AF12" i="1851"/>
  <c r="AB12" i="1851"/>
  <c r="Q12" i="1851"/>
  <c r="P12" i="1851" s="1"/>
  <c r="AC12" i="1851" s="1"/>
  <c r="O12" i="1851"/>
  <c r="M12" i="1851"/>
  <c r="AF11" i="1851"/>
  <c r="AB11" i="1851"/>
  <c r="Q11" i="1851"/>
  <c r="P11" i="1851"/>
  <c r="AC11" i="1851" s="1"/>
  <c r="AD11" i="1851" s="1"/>
  <c r="O11" i="1851"/>
  <c r="M11" i="1851"/>
  <c r="K11" i="1851"/>
  <c r="AF10" i="1851"/>
  <c r="Q10" i="1851"/>
  <c r="P10" i="1851"/>
  <c r="AC10" i="1851" s="1"/>
  <c r="O10" i="1851"/>
  <c r="AB10" i="1851"/>
  <c r="AF9" i="1851"/>
  <c r="AC9" i="1851"/>
  <c r="AB9" i="1851"/>
  <c r="Q9" i="1851"/>
  <c r="P9" i="1851"/>
  <c r="O9" i="1851"/>
  <c r="M9" i="1851"/>
  <c r="K9" i="1851"/>
  <c r="AF8" i="1851"/>
  <c r="Q8" i="1851"/>
  <c r="AB8" i="1851"/>
  <c r="AF7" i="1851"/>
  <c r="AB7" i="1851"/>
  <c r="Q7" i="1851"/>
  <c r="P7" i="1851"/>
  <c r="AC7" i="1851" s="1"/>
  <c r="AD7" i="1851" s="1"/>
  <c r="O7" i="1851"/>
  <c r="M7" i="1851"/>
  <c r="K7" i="1851"/>
  <c r="AF6" i="1851"/>
  <c r="Q6" i="1851"/>
  <c r="M6" i="1851"/>
  <c r="O6" i="1851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9" i="1850"/>
  <c r="K19" i="1850" s="1"/>
  <c r="L18" i="1850"/>
  <c r="K18" i="1850" s="1"/>
  <c r="L16" i="1850"/>
  <c r="K16" i="1850" s="1"/>
  <c r="L13" i="1850"/>
  <c r="K13" i="1850" s="1"/>
  <c r="L12" i="1850"/>
  <c r="K12" i="1850"/>
  <c r="L10" i="1850"/>
  <c r="K10" i="1850" s="1"/>
  <c r="L8" i="1850"/>
  <c r="O8" i="1850" s="1"/>
  <c r="L6" i="1850"/>
  <c r="K6" i="1850" s="1"/>
  <c r="K20" i="1850"/>
  <c r="K9" i="1850"/>
  <c r="A77" i="1850"/>
  <c r="A78" i="1850" s="1"/>
  <c r="A79" i="1850" s="1"/>
  <c r="A80" i="1850" s="1"/>
  <c r="A81" i="1850" s="1"/>
  <c r="A82" i="1850" s="1"/>
  <c r="AF61" i="1850"/>
  <c r="AF60" i="1850"/>
  <c r="AA22" i="1850"/>
  <c r="Z22" i="1850"/>
  <c r="Y22" i="1850"/>
  <c r="X22" i="1850"/>
  <c r="W22" i="1850"/>
  <c r="V22" i="1850"/>
  <c r="U22" i="1850"/>
  <c r="T22" i="1850"/>
  <c r="S22" i="1850"/>
  <c r="R22" i="1850"/>
  <c r="N22" i="1850"/>
  <c r="J22" i="1850"/>
  <c r="AF21" i="1850"/>
  <c r="AB21" i="1850"/>
  <c r="Q21" i="1850"/>
  <c r="P21" i="1850"/>
  <c r="AC21" i="1850" s="1"/>
  <c r="O21" i="1850"/>
  <c r="M21" i="1850"/>
  <c r="K21" i="1850"/>
  <c r="AF20" i="1850"/>
  <c r="Q20" i="1850"/>
  <c r="O20" i="1850"/>
  <c r="AF19" i="1850"/>
  <c r="Q19" i="1850"/>
  <c r="O19" i="1850"/>
  <c r="AF18" i="1850"/>
  <c r="Q18" i="1850"/>
  <c r="O18" i="1850"/>
  <c r="AF17" i="1850"/>
  <c r="AB17" i="1850"/>
  <c r="Q17" i="1850"/>
  <c r="P17" i="1850"/>
  <c r="AC17" i="1850" s="1"/>
  <c r="O17" i="1850"/>
  <c r="M17" i="1850"/>
  <c r="K17" i="1850"/>
  <c r="AF16" i="1850"/>
  <c r="AB16" i="1850"/>
  <c r="Q16" i="1850"/>
  <c r="P16" i="1850" s="1"/>
  <c r="AC16" i="1850" s="1"/>
  <c r="O16" i="1850"/>
  <c r="M16" i="1850"/>
  <c r="AF15" i="1850"/>
  <c r="AB15" i="1850"/>
  <c r="Q15" i="1850"/>
  <c r="P15" i="1850"/>
  <c r="AC15" i="1850" s="1"/>
  <c r="O15" i="1850"/>
  <c r="M15" i="1850"/>
  <c r="K15" i="1850"/>
  <c r="I15" i="1850"/>
  <c r="I22" i="1850" s="1"/>
  <c r="AF14" i="1850"/>
  <c r="AB14" i="1850"/>
  <c r="Q14" i="1850"/>
  <c r="P14" i="1850"/>
  <c r="AC14" i="1850" s="1"/>
  <c r="O14" i="1850"/>
  <c r="M14" i="1850"/>
  <c r="K14" i="1850"/>
  <c r="AF13" i="1850"/>
  <c r="Q13" i="1850"/>
  <c r="AF12" i="1850"/>
  <c r="AB12" i="1850"/>
  <c r="Q12" i="1850"/>
  <c r="P12" i="1850" s="1"/>
  <c r="AC12" i="1850" s="1"/>
  <c r="O12" i="1850"/>
  <c r="M12" i="1850"/>
  <c r="AF11" i="1850"/>
  <c r="AB11" i="1850"/>
  <c r="Q11" i="1850"/>
  <c r="P11" i="1850"/>
  <c r="AC11" i="1850" s="1"/>
  <c r="O11" i="1850"/>
  <c r="M11" i="1850"/>
  <c r="K11" i="1850"/>
  <c r="AF10" i="1850"/>
  <c r="Q10" i="1850"/>
  <c r="P10" i="1850" s="1"/>
  <c r="AC10" i="1850" s="1"/>
  <c r="AB10" i="1850"/>
  <c r="AF9" i="1850"/>
  <c r="Q9" i="1850"/>
  <c r="P9" i="1850"/>
  <c r="AC9" i="1850" s="1"/>
  <c r="O9" i="1850"/>
  <c r="AB9" i="1850"/>
  <c r="AF8" i="1850"/>
  <c r="Q8" i="1850"/>
  <c r="AB8" i="1850"/>
  <c r="AF7" i="1850"/>
  <c r="AB7" i="1850"/>
  <c r="Q7" i="1850"/>
  <c r="P7" i="1850"/>
  <c r="AC7" i="1850" s="1"/>
  <c r="O7" i="1850"/>
  <c r="M7" i="1850"/>
  <c r="K7" i="1850"/>
  <c r="AF6" i="1850"/>
  <c r="Q6" i="1850"/>
  <c r="AB6" i="1850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4" i="1849"/>
  <c r="L23" i="1849"/>
  <c r="K23" i="1849" s="1"/>
  <c r="AF22" i="1849"/>
  <c r="AB22" i="1849"/>
  <c r="Q22" i="1849"/>
  <c r="P22" i="1849" s="1"/>
  <c r="AC22" i="1849" s="1"/>
  <c r="AD22" i="1849" s="1"/>
  <c r="O22" i="1849"/>
  <c r="M22" i="1849"/>
  <c r="K22" i="1849"/>
  <c r="L21" i="1849"/>
  <c r="O21" i="1849" s="1"/>
  <c r="L19" i="1849"/>
  <c r="K19" i="1849"/>
  <c r="AF19" i="1849"/>
  <c r="Q19" i="1849"/>
  <c r="O19" i="1849"/>
  <c r="AB19" i="1849"/>
  <c r="L18" i="1849"/>
  <c r="L15" i="1849"/>
  <c r="K14" i="1849"/>
  <c r="L12" i="1849"/>
  <c r="L11" i="1849"/>
  <c r="K11" i="1849" s="1"/>
  <c r="L10" i="1849"/>
  <c r="K10" i="1849" s="1"/>
  <c r="AF11" i="1849"/>
  <c r="Q11" i="1849"/>
  <c r="AF10" i="1849"/>
  <c r="Q10" i="1849"/>
  <c r="M10" i="1849"/>
  <c r="L8" i="1849"/>
  <c r="L6" i="1849"/>
  <c r="AF6" i="1849"/>
  <c r="AB6" i="1849"/>
  <c r="Q6" i="1849"/>
  <c r="O6" i="1849"/>
  <c r="M6" i="1849"/>
  <c r="K6" i="1849"/>
  <c r="K24" i="1849"/>
  <c r="K21" i="1849"/>
  <c r="K20" i="1849"/>
  <c r="K18" i="1849"/>
  <c r="K12" i="1849"/>
  <c r="K9" i="1849"/>
  <c r="K8" i="1849"/>
  <c r="A82" i="1849"/>
  <c r="A83" i="1849" s="1"/>
  <c r="A84" i="1849" s="1"/>
  <c r="A85" i="1849" s="1"/>
  <c r="A86" i="1849" s="1"/>
  <c r="A81" i="1849"/>
  <c r="AF65" i="1849"/>
  <c r="AF64" i="1849"/>
  <c r="AF67" i="1849" s="1"/>
  <c r="AA26" i="1849"/>
  <c r="Z26" i="1849"/>
  <c r="Y26" i="1849"/>
  <c r="X26" i="1849"/>
  <c r="W26" i="1849"/>
  <c r="V26" i="1849"/>
  <c r="U26" i="1849"/>
  <c r="T26" i="1849"/>
  <c r="S26" i="1849"/>
  <c r="R26" i="1849"/>
  <c r="N26" i="1849"/>
  <c r="J26" i="1849"/>
  <c r="AF25" i="1849"/>
  <c r="AB25" i="1849"/>
  <c r="Q25" i="1849"/>
  <c r="P25" i="1849"/>
  <c r="AC25" i="1849" s="1"/>
  <c r="O25" i="1849"/>
  <c r="M25" i="1849"/>
  <c r="K25" i="1849"/>
  <c r="AF24" i="1849"/>
  <c r="Q24" i="1849"/>
  <c r="O24" i="1849"/>
  <c r="AF23" i="1849"/>
  <c r="Q23" i="1849"/>
  <c r="AF21" i="1849"/>
  <c r="Q21" i="1849"/>
  <c r="P21" i="1849"/>
  <c r="AC21" i="1849" s="1"/>
  <c r="AF20" i="1849"/>
  <c r="AB20" i="1849"/>
  <c r="Q20" i="1849"/>
  <c r="P20" i="1849"/>
  <c r="AC20" i="1849" s="1"/>
  <c r="O20" i="1849"/>
  <c r="M20" i="1849"/>
  <c r="AF18" i="1849"/>
  <c r="AB18" i="1849"/>
  <c r="Q18" i="1849"/>
  <c r="M18" i="1849"/>
  <c r="O18" i="1849"/>
  <c r="AF17" i="1849"/>
  <c r="AB17" i="1849"/>
  <c r="Q17" i="1849"/>
  <c r="P17" i="1849"/>
  <c r="AC17" i="1849" s="1"/>
  <c r="O17" i="1849"/>
  <c r="M17" i="1849"/>
  <c r="K17" i="1849"/>
  <c r="I17" i="1849"/>
  <c r="I26" i="1849" s="1"/>
  <c r="AF16" i="1849"/>
  <c r="AB16" i="1849"/>
  <c r="Q16" i="1849"/>
  <c r="P16" i="1849"/>
  <c r="AC16" i="1849" s="1"/>
  <c r="O16" i="1849"/>
  <c r="M16" i="1849"/>
  <c r="K16" i="1849"/>
  <c r="AF15" i="1849"/>
  <c r="AB15" i="1849"/>
  <c r="Q15" i="1849"/>
  <c r="P15" i="1849" s="1"/>
  <c r="AC15" i="1849" s="1"/>
  <c r="O15" i="1849"/>
  <c r="M15" i="1849"/>
  <c r="K15" i="1849"/>
  <c r="AF14" i="1849"/>
  <c r="AB14" i="1849"/>
  <c r="Q14" i="1849"/>
  <c r="P14" i="1849" s="1"/>
  <c r="AC14" i="1849" s="1"/>
  <c r="O14" i="1849"/>
  <c r="M14" i="1849"/>
  <c r="AF13" i="1849"/>
  <c r="AB13" i="1849"/>
  <c r="Q13" i="1849"/>
  <c r="P13" i="1849"/>
  <c r="AC13" i="1849" s="1"/>
  <c r="O13" i="1849"/>
  <c r="M13" i="1849"/>
  <c r="K13" i="1849"/>
  <c r="AF12" i="1849"/>
  <c r="AB12" i="1849"/>
  <c r="Q12" i="1849"/>
  <c r="P12" i="1849" s="1"/>
  <c r="AC12" i="1849" s="1"/>
  <c r="O12" i="1849"/>
  <c r="M12" i="1849"/>
  <c r="AF9" i="1849"/>
  <c r="AB9" i="1849"/>
  <c r="Q9" i="1849"/>
  <c r="M9" i="1849"/>
  <c r="O9" i="1849"/>
  <c r="AF8" i="1849"/>
  <c r="Q8" i="1849"/>
  <c r="AB8" i="1849"/>
  <c r="AF7" i="1849"/>
  <c r="AB7" i="1849"/>
  <c r="Q7" i="1849"/>
  <c r="P7" i="1849"/>
  <c r="AC7" i="1849" s="1"/>
  <c r="O7" i="1849"/>
  <c r="M7" i="1849"/>
  <c r="K7" i="1849"/>
  <c r="AE14" i="1854" l="1"/>
  <c r="AE19" i="1854"/>
  <c r="AE11" i="1854"/>
  <c r="AE8" i="1854"/>
  <c r="AE7" i="1854"/>
  <c r="AE16" i="1854"/>
  <c r="AE6" i="1854"/>
  <c r="AE18" i="1854"/>
  <c r="AE17" i="1854"/>
  <c r="AE15" i="1854"/>
  <c r="AE10" i="1854"/>
  <c r="AE20" i="1854"/>
  <c r="AB22" i="1853"/>
  <c r="M22" i="1853"/>
  <c r="AD22" i="1853"/>
  <c r="AD19" i="1852"/>
  <c r="AB22" i="1852"/>
  <c r="M22" i="1852"/>
  <c r="AD6" i="1852"/>
  <c r="AC22" i="1852"/>
  <c r="AD19" i="1851"/>
  <c r="Q22" i="1851"/>
  <c r="AD18" i="1851"/>
  <c r="AD9" i="1851"/>
  <c r="AD12" i="1851"/>
  <c r="AD13" i="1851"/>
  <c r="AD16" i="1851"/>
  <c r="AD10" i="1851"/>
  <c r="AB22" i="1851"/>
  <c r="P6" i="1851"/>
  <c r="O8" i="1851"/>
  <c r="M10" i="1851"/>
  <c r="M13" i="1851"/>
  <c r="M16" i="1851"/>
  <c r="M19" i="1851"/>
  <c r="L22" i="1851"/>
  <c r="O22" i="1851" s="1"/>
  <c r="P8" i="1851"/>
  <c r="AC8" i="1851" s="1"/>
  <c r="M8" i="1851"/>
  <c r="M22" i="1851" s="1"/>
  <c r="P8" i="1850"/>
  <c r="AC8" i="1850" s="1"/>
  <c r="K8" i="1850"/>
  <c r="K22" i="1850" s="1"/>
  <c r="P19" i="1850"/>
  <c r="AC19" i="1850" s="1"/>
  <c r="M19" i="1850"/>
  <c r="AB19" i="1850"/>
  <c r="AD16" i="1850"/>
  <c r="O13" i="1850"/>
  <c r="AD7" i="1850"/>
  <c r="AF63" i="1850"/>
  <c r="AD12" i="1850"/>
  <c r="AD14" i="1850"/>
  <c r="AD11" i="1850"/>
  <c r="AD21" i="1850"/>
  <c r="Q22" i="1850"/>
  <c r="P6" i="1850"/>
  <c r="AC6" i="1850" s="1"/>
  <c r="AD15" i="1850"/>
  <c r="AD17" i="1850"/>
  <c r="AD8" i="1850"/>
  <c r="AD9" i="1850"/>
  <c r="O6" i="1850"/>
  <c r="M8" i="1850"/>
  <c r="M9" i="1850"/>
  <c r="O10" i="1850"/>
  <c r="AD10" i="1850" s="1"/>
  <c r="P13" i="1850"/>
  <c r="AC13" i="1850" s="1"/>
  <c r="P18" i="1850"/>
  <c r="AC18" i="1850" s="1"/>
  <c r="P20" i="1850"/>
  <c r="AC20" i="1850" s="1"/>
  <c r="L22" i="1850"/>
  <c r="O22" i="1850" s="1"/>
  <c r="M13" i="1850"/>
  <c r="AB13" i="1850"/>
  <c r="M18" i="1850"/>
  <c r="AB18" i="1850"/>
  <c r="M20" i="1850"/>
  <c r="AB20" i="1850"/>
  <c r="M6" i="1850"/>
  <c r="M10" i="1850"/>
  <c r="AB23" i="1849"/>
  <c r="AB21" i="1849"/>
  <c r="AD21" i="1849" s="1"/>
  <c r="K26" i="1849"/>
  <c r="P19" i="1849"/>
  <c r="AC19" i="1849" s="1"/>
  <c r="AD19" i="1849" s="1"/>
  <c r="AD13" i="1849"/>
  <c r="M19" i="1849"/>
  <c r="O10" i="1849"/>
  <c r="AD20" i="1849"/>
  <c r="P10" i="1849"/>
  <c r="AC10" i="1849" s="1"/>
  <c r="AB10" i="1849"/>
  <c r="O11" i="1849"/>
  <c r="P11" i="1849"/>
  <c r="AC11" i="1849" s="1"/>
  <c r="M11" i="1849"/>
  <c r="AB11" i="1849"/>
  <c r="AD25" i="1849"/>
  <c r="Q26" i="1849"/>
  <c r="P6" i="1849"/>
  <c r="AC6" i="1849" s="1"/>
  <c r="AD6" i="1849" s="1"/>
  <c r="AD14" i="1849"/>
  <c r="AD16" i="1849"/>
  <c r="AD17" i="1849"/>
  <c r="AD15" i="1849"/>
  <c r="AD7" i="1849"/>
  <c r="AD12" i="1849"/>
  <c r="O8" i="1849"/>
  <c r="P9" i="1849"/>
  <c r="AC9" i="1849" s="1"/>
  <c r="AD9" i="1849" s="1"/>
  <c r="P18" i="1849"/>
  <c r="AC18" i="1849" s="1"/>
  <c r="AD18" i="1849" s="1"/>
  <c r="M21" i="1849"/>
  <c r="O23" i="1849"/>
  <c r="P24" i="1849"/>
  <c r="AC24" i="1849" s="1"/>
  <c r="L26" i="1849"/>
  <c r="O26" i="1849" s="1"/>
  <c r="P8" i="1849"/>
  <c r="AC8" i="1849" s="1"/>
  <c r="P23" i="1849"/>
  <c r="AC23" i="1849" s="1"/>
  <c r="M24" i="1849"/>
  <c r="AB24" i="1849"/>
  <c r="M8" i="1849"/>
  <c r="M23" i="1849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1848"/>
  <c r="P21" i="1848"/>
  <c r="AC21" i="1848" s="1"/>
  <c r="L20" i="1848"/>
  <c r="L19" i="1848"/>
  <c r="L18" i="1848"/>
  <c r="K18" i="1848"/>
  <c r="L17" i="1848"/>
  <c r="O17" i="1848" s="1"/>
  <c r="L13" i="1848"/>
  <c r="O13" i="1848" s="1"/>
  <c r="AF13" i="1848"/>
  <c r="Q13" i="1848"/>
  <c r="M13" i="1848"/>
  <c r="L10" i="1848"/>
  <c r="L9" i="1848"/>
  <c r="K9" i="1848" s="1"/>
  <c r="L8" i="1848"/>
  <c r="K8" i="1848" s="1"/>
  <c r="K20" i="1848"/>
  <c r="K19" i="1848"/>
  <c r="K12" i="1848"/>
  <c r="K11" i="1848"/>
  <c r="K10" i="1848"/>
  <c r="K7" i="1848"/>
  <c r="A78" i="1848"/>
  <c r="A79" i="1848" s="1"/>
  <c r="A80" i="1848" s="1"/>
  <c r="A81" i="1848" s="1"/>
  <c r="A82" i="1848" s="1"/>
  <c r="A83" i="1848" s="1"/>
  <c r="AF62" i="1848"/>
  <c r="AF61" i="1848"/>
  <c r="AF64" i="1848" s="1"/>
  <c r="AA23" i="1848"/>
  <c r="Z23" i="1848"/>
  <c r="Y23" i="1848"/>
  <c r="X23" i="1848"/>
  <c r="W23" i="1848"/>
  <c r="V23" i="1848"/>
  <c r="U23" i="1848"/>
  <c r="T23" i="1848"/>
  <c r="S23" i="1848"/>
  <c r="R23" i="1848"/>
  <c r="N23" i="1848"/>
  <c r="J23" i="1848"/>
  <c r="AF22" i="1848"/>
  <c r="AB22" i="1848"/>
  <c r="Q22" i="1848"/>
  <c r="P22" i="1848"/>
  <c r="AC22" i="1848" s="1"/>
  <c r="O22" i="1848"/>
  <c r="M22" i="1848"/>
  <c r="K22" i="1848"/>
  <c r="AF21" i="1848"/>
  <c r="Q21" i="1848"/>
  <c r="O21" i="1848"/>
  <c r="AF20" i="1848"/>
  <c r="AB20" i="1848"/>
  <c r="Q20" i="1848"/>
  <c r="O20" i="1848"/>
  <c r="M20" i="1848"/>
  <c r="AF19" i="1848"/>
  <c r="Q19" i="1848"/>
  <c r="P19" i="1848" s="1"/>
  <c r="AC19" i="1848" s="1"/>
  <c r="O19" i="1848"/>
  <c r="AF18" i="1848"/>
  <c r="AB18" i="1848"/>
  <c r="Q18" i="1848"/>
  <c r="O18" i="1848"/>
  <c r="M18" i="1848"/>
  <c r="AF17" i="1848"/>
  <c r="Q17" i="1848"/>
  <c r="P17" i="1848"/>
  <c r="AC17" i="1848" s="1"/>
  <c r="AF16" i="1848"/>
  <c r="AB16" i="1848"/>
  <c r="Q16" i="1848"/>
  <c r="P16" i="1848"/>
  <c r="AC16" i="1848" s="1"/>
  <c r="O16" i="1848"/>
  <c r="M16" i="1848"/>
  <c r="K16" i="1848"/>
  <c r="I16" i="1848"/>
  <c r="I23" i="1848" s="1"/>
  <c r="AF15" i="1848"/>
  <c r="AB15" i="1848"/>
  <c r="Q15" i="1848"/>
  <c r="P15" i="1848"/>
  <c r="AC15" i="1848" s="1"/>
  <c r="O15" i="1848"/>
  <c r="M15" i="1848"/>
  <c r="K15" i="1848"/>
  <c r="AF14" i="1848"/>
  <c r="AB14" i="1848"/>
  <c r="Q14" i="1848"/>
  <c r="P14" i="1848"/>
  <c r="AC14" i="1848" s="1"/>
  <c r="O14" i="1848"/>
  <c r="M14" i="1848"/>
  <c r="K14" i="1848"/>
  <c r="AF12" i="1848"/>
  <c r="AB12" i="1848"/>
  <c r="Q12" i="1848"/>
  <c r="P12" i="1848" s="1"/>
  <c r="AC12" i="1848" s="1"/>
  <c r="M12" i="1848"/>
  <c r="O12" i="1848"/>
  <c r="AF11" i="1848"/>
  <c r="Q11" i="1848"/>
  <c r="AB11" i="1848"/>
  <c r="AF10" i="1848"/>
  <c r="AB10" i="1848"/>
  <c r="Q10" i="1848"/>
  <c r="P10" i="1848" s="1"/>
  <c r="AC10" i="1848" s="1"/>
  <c r="O10" i="1848"/>
  <c r="M10" i="1848"/>
  <c r="AF9" i="1848"/>
  <c r="Q9" i="1848"/>
  <c r="AF8" i="1848"/>
  <c r="AB8" i="1848"/>
  <c r="Q8" i="1848"/>
  <c r="P8" i="1848" s="1"/>
  <c r="AC8" i="1848" s="1"/>
  <c r="M8" i="1848"/>
  <c r="O8" i="1848"/>
  <c r="AF7" i="1848"/>
  <c r="AB7" i="1848"/>
  <c r="Q7" i="1848"/>
  <c r="P7" i="1848" s="1"/>
  <c r="AC7" i="1848" s="1"/>
  <c r="O7" i="1848"/>
  <c r="M7" i="1848"/>
  <c r="AF6" i="1848"/>
  <c r="AB6" i="1848"/>
  <c r="Q6" i="1848"/>
  <c r="P6" i="1848"/>
  <c r="AC6" i="1848" s="1"/>
  <c r="O6" i="1848"/>
  <c r="M6" i="1848"/>
  <c r="K6" i="1848"/>
  <c r="AE21" i="1853" l="1"/>
  <c r="AE19" i="1853"/>
  <c r="AE13" i="1853"/>
  <c r="AE11" i="1853"/>
  <c r="AE20" i="1853"/>
  <c r="AE17" i="1853"/>
  <c r="AE14" i="1853"/>
  <c r="AE12" i="1853"/>
  <c r="AE9" i="1853"/>
  <c r="AE6" i="1853"/>
  <c r="AE16" i="1853"/>
  <c r="AE8" i="1853"/>
  <c r="AE18" i="1853"/>
  <c r="AE15" i="1853"/>
  <c r="AE10" i="1853"/>
  <c r="AE7" i="1853"/>
  <c r="AD22" i="1852"/>
  <c r="AE21" i="1852" s="1"/>
  <c r="AE12" i="1852"/>
  <c r="AE20" i="1852"/>
  <c r="AE16" i="1852"/>
  <c r="AE8" i="1852"/>
  <c r="AD8" i="1851"/>
  <c r="AC6" i="1851"/>
  <c r="P22" i="1851"/>
  <c r="K22" i="1851"/>
  <c r="AD19" i="1850"/>
  <c r="AD18" i="1850"/>
  <c r="AD13" i="1850"/>
  <c r="AB22" i="1850"/>
  <c r="P22" i="1850"/>
  <c r="AD20" i="1850"/>
  <c r="AD6" i="1850"/>
  <c r="AC22" i="1850"/>
  <c r="M22" i="1850"/>
  <c r="AD10" i="1849"/>
  <c r="AB26" i="1849"/>
  <c r="AD11" i="1849"/>
  <c r="M26" i="1849"/>
  <c r="AD8" i="1849"/>
  <c r="AD23" i="1849"/>
  <c r="AD24" i="1849"/>
  <c r="P26" i="1849"/>
  <c r="AC26" i="1849"/>
  <c r="K21" i="1848"/>
  <c r="P9" i="1848"/>
  <c r="AC9" i="1848" s="1"/>
  <c r="P13" i="1848"/>
  <c r="AC13" i="1848" s="1"/>
  <c r="K13" i="1848"/>
  <c r="AB13" i="1848"/>
  <c r="P20" i="1848"/>
  <c r="AC20" i="1848" s="1"/>
  <c r="AD20" i="1848" s="1"/>
  <c r="P18" i="1848"/>
  <c r="AC18" i="1848" s="1"/>
  <c r="M17" i="1848"/>
  <c r="AB17" i="1848"/>
  <c r="AD17" i="1848" s="1"/>
  <c r="K17" i="1848"/>
  <c r="AD6" i="1848"/>
  <c r="AD22" i="1848"/>
  <c r="L23" i="1848"/>
  <c r="O23" i="1848" s="1"/>
  <c r="O9" i="1848"/>
  <c r="AD16" i="1848"/>
  <c r="AD7" i="1848"/>
  <c r="Q23" i="1848"/>
  <c r="AD8" i="1848"/>
  <c r="AD15" i="1848"/>
  <c r="AD10" i="1848"/>
  <c r="AD14" i="1848"/>
  <c r="AD18" i="1848"/>
  <c r="AD12" i="1848"/>
  <c r="O11" i="1848"/>
  <c r="K23" i="1848"/>
  <c r="M9" i="1848"/>
  <c r="AB9" i="1848"/>
  <c r="P11" i="1848"/>
  <c r="AC11" i="1848" s="1"/>
  <c r="M19" i="1848"/>
  <c r="AB19" i="1848"/>
  <c r="AD19" i="1848" s="1"/>
  <c r="M21" i="1848"/>
  <c r="AB21" i="1848"/>
  <c r="AD21" i="1848" s="1"/>
  <c r="M11" i="1848"/>
  <c r="P67" i="1847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3" i="1847"/>
  <c r="L21" i="1847"/>
  <c r="O21" i="1847" s="1"/>
  <c r="L20" i="1847"/>
  <c r="K20" i="1847" s="1"/>
  <c r="K19" i="1847"/>
  <c r="L18" i="1847"/>
  <c r="L14" i="1847"/>
  <c r="O14" i="1847" s="1"/>
  <c r="L13" i="1847"/>
  <c r="K13" i="1847" s="1"/>
  <c r="M13" i="1847"/>
  <c r="Q13" i="1847"/>
  <c r="P13" i="1847" s="1"/>
  <c r="AC13" i="1847" s="1"/>
  <c r="AB13" i="1847"/>
  <c r="AF13" i="1847"/>
  <c r="L12" i="1847"/>
  <c r="O12" i="1847" s="1"/>
  <c r="L11" i="1847"/>
  <c r="K11" i="1847" s="1"/>
  <c r="L10" i="1847"/>
  <c r="M10" i="1847" s="1"/>
  <c r="AF10" i="1847"/>
  <c r="Q10" i="1847"/>
  <c r="L9" i="1847"/>
  <c r="M9" i="1847" s="1"/>
  <c r="AF9" i="1847"/>
  <c r="Q9" i="1847"/>
  <c r="P9" i="1847" s="1"/>
  <c r="AC9" i="1847" s="1"/>
  <c r="L8" i="1847"/>
  <c r="K8" i="1847" s="1"/>
  <c r="K7" i="1847"/>
  <c r="K23" i="1847"/>
  <c r="K22" i="1847"/>
  <c r="K18" i="1847"/>
  <c r="A80" i="1847"/>
  <c r="A81" i="1847" s="1"/>
  <c r="A82" i="1847" s="1"/>
  <c r="A83" i="1847" s="1"/>
  <c r="A84" i="1847" s="1"/>
  <c r="A85" i="1847" s="1"/>
  <c r="AF64" i="1847"/>
  <c r="AF63" i="1847"/>
  <c r="AA25" i="1847"/>
  <c r="Z25" i="1847"/>
  <c r="Y25" i="1847"/>
  <c r="X25" i="1847"/>
  <c r="W25" i="1847"/>
  <c r="V25" i="1847"/>
  <c r="U25" i="1847"/>
  <c r="T25" i="1847"/>
  <c r="S25" i="1847"/>
  <c r="R25" i="1847"/>
  <c r="N25" i="1847"/>
  <c r="J25" i="1847"/>
  <c r="AF24" i="1847"/>
  <c r="AB24" i="1847"/>
  <c r="Q24" i="1847"/>
  <c r="P24" i="1847"/>
  <c r="AC24" i="1847" s="1"/>
  <c r="O24" i="1847"/>
  <c r="M24" i="1847"/>
  <c r="K24" i="1847"/>
  <c r="AF23" i="1847"/>
  <c r="Q23" i="1847"/>
  <c r="P23" i="1847"/>
  <c r="AC23" i="1847" s="1"/>
  <c r="O23" i="1847"/>
  <c r="AF22" i="1847"/>
  <c r="Q22" i="1847"/>
  <c r="P22" i="1847" s="1"/>
  <c r="AC22" i="1847" s="1"/>
  <c r="O22" i="1847"/>
  <c r="AB22" i="1847"/>
  <c r="AF21" i="1847"/>
  <c r="Q21" i="1847"/>
  <c r="P21" i="1847" s="1"/>
  <c r="AC21" i="1847" s="1"/>
  <c r="AF20" i="1847"/>
  <c r="Q20" i="1847"/>
  <c r="AF19" i="1847"/>
  <c r="Q19" i="1847"/>
  <c r="P19" i="1847" s="1"/>
  <c r="AC19" i="1847" s="1"/>
  <c r="O19" i="1847"/>
  <c r="AF18" i="1847"/>
  <c r="Q18" i="1847"/>
  <c r="P18" i="1847" s="1"/>
  <c r="AC18" i="1847" s="1"/>
  <c r="O18" i="1847"/>
  <c r="AB18" i="1847"/>
  <c r="AF17" i="1847"/>
  <c r="AB17" i="1847"/>
  <c r="Q17" i="1847"/>
  <c r="P17" i="1847"/>
  <c r="AC17" i="1847" s="1"/>
  <c r="O17" i="1847"/>
  <c r="M17" i="1847"/>
  <c r="K17" i="1847"/>
  <c r="I17" i="1847"/>
  <c r="I25" i="1847" s="1"/>
  <c r="AF16" i="1847"/>
  <c r="AB16" i="1847"/>
  <c r="Q16" i="1847"/>
  <c r="P16" i="1847"/>
  <c r="AC16" i="1847" s="1"/>
  <c r="O16" i="1847"/>
  <c r="M16" i="1847"/>
  <c r="K16" i="1847"/>
  <c r="AF15" i="1847"/>
  <c r="AB15" i="1847"/>
  <c r="Q15" i="1847"/>
  <c r="P15" i="1847"/>
  <c r="AC15" i="1847" s="1"/>
  <c r="O15" i="1847"/>
  <c r="M15" i="1847"/>
  <c r="K15" i="1847"/>
  <c r="AF14" i="1847"/>
  <c r="Q14" i="1847"/>
  <c r="AF12" i="1847"/>
  <c r="Q12" i="1847"/>
  <c r="P12" i="1847" s="1"/>
  <c r="AC12" i="1847" s="1"/>
  <c r="AF11" i="1847"/>
  <c r="Q11" i="1847"/>
  <c r="P11" i="1847" s="1"/>
  <c r="AC11" i="1847" s="1"/>
  <c r="AF8" i="1847"/>
  <c r="Q8" i="1847"/>
  <c r="O8" i="1847"/>
  <c r="AF7" i="1847"/>
  <c r="Q7" i="1847"/>
  <c r="P7" i="1847" s="1"/>
  <c r="AC7" i="1847" s="1"/>
  <c r="O7" i="1847"/>
  <c r="AB7" i="1847"/>
  <c r="AF6" i="1847"/>
  <c r="AB6" i="1847"/>
  <c r="Q6" i="1847"/>
  <c r="P6" i="1847"/>
  <c r="AC6" i="1847" s="1"/>
  <c r="O6" i="1847"/>
  <c r="M6" i="1847"/>
  <c r="K6" i="1847"/>
  <c r="AE18" i="1852" l="1"/>
  <c r="AE7" i="1852"/>
  <c r="AE19" i="1852"/>
  <c r="AE14" i="1852"/>
  <c r="AE6" i="1852"/>
  <c r="AE10" i="1852"/>
  <c r="AE13" i="1852"/>
  <c r="AE17" i="1852"/>
  <c r="AE11" i="1852"/>
  <c r="AE15" i="1852"/>
  <c r="AE9" i="1852"/>
  <c r="AC22" i="1851"/>
  <c r="AD6" i="1851"/>
  <c r="AD22" i="1851" s="1"/>
  <c r="AD22" i="1850"/>
  <c r="AD26" i="1849"/>
  <c r="AD13" i="1848"/>
  <c r="AC23" i="1848"/>
  <c r="AB23" i="1848"/>
  <c r="M23" i="1848"/>
  <c r="AD11" i="1848"/>
  <c r="P23" i="1848"/>
  <c r="AD9" i="1848"/>
  <c r="M21" i="1847"/>
  <c r="AB21" i="1847"/>
  <c r="AD21" i="1847" s="1"/>
  <c r="K21" i="1847"/>
  <c r="P20" i="1847"/>
  <c r="AC20" i="1847" s="1"/>
  <c r="K14" i="1847"/>
  <c r="P14" i="1847"/>
  <c r="AC14" i="1847" s="1"/>
  <c r="M14" i="1847"/>
  <c r="AB14" i="1847"/>
  <c r="AD14" i="1847" s="1"/>
  <c r="O13" i="1847"/>
  <c r="AD13" i="1847"/>
  <c r="O10" i="1847"/>
  <c r="AB9" i="1847"/>
  <c r="AD9" i="1847" s="1"/>
  <c r="O9" i="1847"/>
  <c r="K9" i="1847"/>
  <c r="M12" i="1847"/>
  <c r="AB12" i="1847"/>
  <c r="AD12" i="1847" s="1"/>
  <c r="K12" i="1847"/>
  <c r="K10" i="1847"/>
  <c r="AB10" i="1847"/>
  <c r="AF66" i="1847"/>
  <c r="P10" i="1847"/>
  <c r="AC10" i="1847" s="1"/>
  <c r="AD24" i="1847"/>
  <c r="Q25" i="1847"/>
  <c r="P8" i="1847"/>
  <c r="AC8" i="1847" s="1"/>
  <c r="AC25" i="1847" s="1"/>
  <c r="AD15" i="1847"/>
  <c r="AD16" i="1847"/>
  <c r="AD17" i="1847"/>
  <c r="AD7" i="1847"/>
  <c r="AD18" i="1847"/>
  <c r="AD22" i="1847"/>
  <c r="L25" i="1847"/>
  <c r="O25" i="1847" s="1"/>
  <c r="AB11" i="1847"/>
  <c r="M20" i="1847"/>
  <c r="AD6" i="1847"/>
  <c r="M8" i="1847"/>
  <c r="O11" i="1847"/>
  <c r="M19" i="1847"/>
  <c r="AB19" i="1847"/>
  <c r="AD19" i="1847" s="1"/>
  <c r="O20" i="1847"/>
  <c r="M23" i="1847"/>
  <c r="AB23" i="1847"/>
  <c r="AD23" i="1847" s="1"/>
  <c r="M11" i="1847"/>
  <c r="AB20" i="1847"/>
  <c r="AB8" i="1847"/>
  <c r="M7" i="1847"/>
  <c r="M18" i="1847"/>
  <c r="M22" i="1847"/>
  <c r="F19" i="16"/>
  <c r="F18" i="16"/>
  <c r="AG18" i="16" s="1"/>
  <c r="F17" i="16"/>
  <c r="AG17" i="16" s="1"/>
  <c r="F16" i="16"/>
  <c r="AG16" i="16" s="1"/>
  <c r="F15" i="16"/>
  <c r="AG15" i="16" s="1"/>
  <c r="F14" i="16"/>
  <c r="F13" i="16"/>
  <c r="F12" i="16"/>
  <c r="F11" i="16"/>
  <c r="AG11" i="16" s="1"/>
  <c r="F10" i="16"/>
  <c r="F9" i="16"/>
  <c r="F8" i="16"/>
  <c r="F7" i="16"/>
  <c r="AG7" i="16" s="1"/>
  <c r="F6" i="16"/>
  <c r="F5" i="16"/>
  <c r="F4" i="16"/>
  <c r="F3" i="16"/>
  <c r="AG19" i="16"/>
  <c r="AG14" i="16"/>
  <c r="AG13" i="16"/>
  <c r="AG12" i="16"/>
  <c r="AG10" i="16"/>
  <c r="AG9" i="16"/>
  <c r="AG8" i="16"/>
  <c r="AG6" i="16"/>
  <c r="AG5" i="16"/>
  <c r="AG4" i="16"/>
  <c r="AG3" i="16"/>
  <c r="L21" i="1846"/>
  <c r="K21" i="1846"/>
  <c r="L20" i="1846"/>
  <c r="K20" i="1846" s="1"/>
  <c r="AF19" i="1846"/>
  <c r="AB19" i="1846"/>
  <c r="Q19" i="1846"/>
  <c r="O19" i="1846"/>
  <c r="M19" i="1846"/>
  <c r="L19" i="1846"/>
  <c r="P19" i="1846" s="1"/>
  <c r="AC19" i="1846" s="1"/>
  <c r="AD19" i="1846" s="1"/>
  <c r="L18" i="1846"/>
  <c r="AB18" i="1846" s="1"/>
  <c r="K18" i="1846"/>
  <c r="L17" i="1846"/>
  <c r="K17" i="1846"/>
  <c r="L16" i="1846"/>
  <c r="K13" i="1846"/>
  <c r="L11" i="1846"/>
  <c r="L10" i="1846"/>
  <c r="K10" i="1846"/>
  <c r="L9" i="1846"/>
  <c r="K9" i="1846" s="1"/>
  <c r="L8" i="1846"/>
  <c r="K8" i="1846"/>
  <c r="L7" i="1846"/>
  <c r="K7" i="1846"/>
  <c r="K16" i="1846"/>
  <c r="K14" i="1846"/>
  <c r="K11" i="1846"/>
  <c r="A78" i="1846"/>
  <c r="A79" i="1846" s="1"/>
  <c r="A80" i="1846" s="1"/>
  <c r="A81" i="1846" s="1"/>
  <c r="A82" i="1846" s="1"/>
  <c r="A83" i="1846" s="1"/>
  <c r="AF64" i="1846"/>
  <c r="AF62" i="1846"/>
  <c r="AF61" i="1846"/>
  <c r="AA23" i="1846"/>
  <c r="Z23" i="1846"/>
  <c r="Y23" i="1846"/>
  <c r="X23" i="1846"/>
  <c r="W23" i="1846"/>
  <c r="V23" i="1846"/>
  <c r="U23" i="1846"/>
  <c r="T23" i="1846"/>
  <c r="S23" i="1846"/>
  <c r="R23" i="1846"/>
  <c r="N23" i="1846"/>
  <c r="J23" i="1846"/>
  <c r="AF22" i="1846"/>
  <c r="AB22" i="1846"/>
  <c r="Q22" i="1846"/>
  <c r="P22" i="1846"/>
  <c r="AC22" i="1846" s="1"/>
  <c r="O22" i="1846"/>
  <c r="M22" i="1846"/>
  <c r="K22" i="1846"/>
  <c r="AF21" i="1846"/>
  <c r="AB21" i="1846"/>
  <c r="Q21" i="1846"/>
  <c r="P21" i="1846" s="1"/>
  <c r="AC21" i="1846" s="1"/>
  <c r="O21" i="1846"/>
  <c r="M21" i="1846"/>
  <c r="AF20" i="1846"/>
  <c r="Q20" i="1846"/>
  <c r="O20" i="1846"/>
  <c r="AB20" i="1846"/>
  <c r="AF18" i="1846"/>
  <c r="Q18" i="1846"/>
  <c r="P18" i="1846" s="1"/>
  <c r="AC18" i="1846" s="1"/>
  <c r="O18" i="1846"/>
  <c r="M18" i="1846"/>
  <c r="AF17" i="1846"/>
  <c r="AB17" i="1846"/>
  <c r="Q17" i="1846"/>
  <c r="P17" i="1846"/>
  <c r="AC17" i="1846" s="1"/>
  <c r="O17" i="1846"/>
  <c r="M17" i="1846"/>
  <c r="AF16" i="1846"/>
  <c r="Q16" i="1846"/>
  <c r="P16" i="1846"/>
  <c r="AC16" i="1846" s="1"/>
  <c r="O16" i="1846"/>
  <c r="AB16" i="1846"/>
  <c r="AF15" i="1846"/>
  <c r="AB15" i="1846"/>
  <c r="Q15" i="1846"/>
  <c r="P15" i="1846"/>
  <c r="AC15" i="1846" s="1"/>
  <c r="O15" i="1846"/>
  <c r="M15" i="1846"/>
  <c r="K15" i="1846"/>
  <c r="I15" i="1846"/>
  <c r="AF14" i="1846"/>
  <c r="AB14" i="1846"/>
  <c r="Q14" i="1846"/>
  <c r="P14" i="1846" s="1"/>
  <c r="AC14" i="1846" s="1"/>
  <c r="O14" i="1846"/>
  <c r="M14" i="1846"/>
  <c r="AF13" i="1846"/>
  <c r="AB13" i="1846"/>
  <c r="Q13" i="1846"/>
  <c r="P13" i="1846"/>
  <c r="AC13" i="1846" s="1"/>
  <c r="O13" i="1846"/>
  <c r="M13" i="1846"/>
  <c r="AF12" i="1846"/>
  <c r="AC12" i="1846"/>
  <c r="AB12" i="1846"/>
  <c r="Q12" i="1846"/>
  <c r="P12" i="1846"/>
  <c r="O12" i="1846"/>
  <c r="M12" i="1846"/>
  <c r="K12" i="1846"/>
  <c r="AF11" i="1846"/>
  <c r="Q11" i="1846"/>
  <c r="P11" i="1846" s="1"/>
  <c r="AC11" i="1846" s="1"/>
  <c r="O11" i="1846"/>
  <c r="AB11" i="1846"/>
  <c r="AF10" i="1846"/>
  <c r="AB10" i="1846"/>
  <c r="Q10" i="1846"/>
  <c r="P10" i="1846" s="1"/>
  <c r="AC10" i="1846" s="1"/>
  <c r="O10" i="1846"/>
  <c r="M10" i="1846"/>
  <c r="AF9" i="1846"/>
  <c r="Q9" i="1846"/>
  <c r="I23" i="1846"/>
  <c r="AF8" i="1846"/>
  <c r="Q8" i="1846"/>
  <c r="O8" i="1846"/>
  <c r="AF7" i="1846"/>
  <c r="AB7" i="1846"/>
  <c r="Q7" i="1846"/>
  <c r="O7" i="1846"/>
  <c r="M7" i="1846"/>
  <c r="AF6" i="1846"/>
  <c r="AC6" i="1846"/>
  <c r="AB6" i="1846"/>
  <c r="Q6" i="1846"/>
  <c r="P6" i="1846"/>
  <c r="O6" i="1846"/>
  <c r="M6" i="1846"/>
  <c r="K6" i="1846"/>
  <c r="AE21" i="1851" l="1"/>
  <c r="AE19" i="1851"/>
  <c r="AE16" i="1851"/>
  <c r="AE13" i="1851"/>
  <c r="AE10" i="1851"/>
  <c r="AE7" i="1851"/>
  <c r="AE8" i="1851"/>
  <c r="AE20" i="1851"/>
  <c r="AE17" i="1851"/>
  <c r="AE14" i="1851"/>
  <c r="AE11" i="1851"/>
  <c r="AE6" i="1851"/>
  <c r="AE18" i="1851"/>
  <c r="AE15" i="1851"/>
  <c r="AE12" i="1851"/>
  <c r="AE9" i="1851"/>
  <c r="AE21" i="1850"/>
  <c r="AE19" i="1850"/>
  <c r="AE14" i="1850"/>
  <c r="AE9" i="1850"/>
  <c r="AE8" i="1850"/>
  <c r="AE17" i="1850"/>
  <c r="AE15" i="1850"/>
  <c r="AE12" i="1850"/>
  <c r="AE10" i="1850"/>
  <c r="AE20" i="1850"/>
  <c r="AE18" i="1850"/>
  <c r="AE13" i="1850"/>
  <c r="AE16" i="1850"/>
  <c r="AE11" i="1850"/>
  <c r="AE7" i="1850"/>
  <c r="AE6" i="1850"/>
  <c r="AE19" i="1849"/>
  <c r="AE22" i="1849"/>
  <c r="AE9" i="1849"/>
  <c r="AE23" i="1849"/>
  <c r="AE20" i="1849"/>
  <c r="AE7" i="1849"/>
  <c r="AE24" i="1849"/>
  <c r="AE25" i="1849"/>
  <c r="AE8" i="1849"/>
  <c r="AE11" i="1849"/>
  <c r="AE12" i="1849"/>
  <c r="AE15" i="1849"/>
  <c r="AE13" i="1849"/>
  <c r="AE16" i="1849"/>
  <c r="AE10" i="1849"/>
  <c r="AE14" i="1849"/>
  <c r="AE18" i="1849"/>
  <c r="AE17" i="1849"/>
  <c r="AE21" i="1849"/>
  <c r="AE6" i="1849"/>
  <c r="AD23" i="1848"/>
  <c r="K25" i="1847"/>
  <c r="AD10" i="1847"/>
  <c r="AD20" i="1847"/>
  <c r="P25" i="1847"/>
  <c r="AD8" i="1847"/>
  <c r="M25" i="1847"/>
  <c r="AD11" i="1847"/>
  <c r="AB25" i="1847"/>
  <c r="P20" i="1846"/>
  <c r="AC20" i="1846" s="1"/>
  <c r="AD20" i="1846" s="1"/>
  <c r="AD15" i="1846"/>
  <c r="AD22" i="1846"/>
  <c r="K19" i="1846"/>
  <c r="AD6" i="1846"/>
  <c r="AD18" i="1846"/>
  <c r="AD10" i="1846"/>
  <c r="O9" i="1846"/>
  <c r="Q23" i="1846"/>
  <c r="P7" i="1846"/>
  <c r="AC7" i="1846" s="1"/>
  <c r="AD7" i="1846" s="1"/>
  <c r="AD12" i="1846"/>
  <c r="AD13" i="1846"/>
  <c r="AD14" i="1846"/>
  <c r="AD21" i="1846"/>
  <c r="AD17" i="1846"/>
  <c r="AD11" i="1846"/>
  <c r="AD16" i="1846"/>
  <c r="K23" i="1846"/>
  <c r="P8" i="1846"/>
  <c r="AC8" i="1846" s="1"/>
  <c r="P9" i="1846"/>
  <c r="AC9" i="1846" s="1"/>
  <c r="M11" i="1846"/>
  <c r="M16" i="1846"/>
  <c r="M20" i="1846"/>
  <c r="L23" i="1846"/>
  <c r="O23" i="1846" s="1"/>
  <c r="M8" i="1846"/>
  <c r="AB8" i="1846"/>
  <c r="M9" i="1846"/>
  <c r="AB9" i="1846"/>
  <c r="AE15" i="1848" l="1"/>
  <c r="AE7" i="1848"/>
  <c r="AE21" i="1848"/>
  <c r="AE18" i="1848"/>
  <c r="AE16" i="1848"/>
  <c r="AE12" i="1848"/>
  <c r="AE19" i="1848"/>
  <c r="AE9" i="1848"/>
  <c r="AE8" i="1848"/>
  <c r="AE17" i="1848"/>
  <c r="AE13" i="1848"/>
  <c r="AE11" i="1848"/>
  <c r="AE22" i="1848"/>
  <c r="AE10" i="1848"/>
  <c r="AE6" i="1848"/>
  <c r="AE20" i="1848"/>
  <c r="AE14" i="1848"/>
  <c r="AD25" i="1847"/>
  <c r="AE13" i="1847" s="1"/>
  <c r="AB23" i="1846"/>
  <c r="AD9" i="1846"/>
  <c r="M23" i="1846"/>
  <c r="AD8" i="1846"/>
  <c r="P23" i="1846"/>
  <c r="AC23" i="1846"/>
  <c r="AE14" i="1847" l="1"/>
  <c r="AE17" i="1847"/>
  <c r="AE18" i="1847"/>
  <c r="AE16" i="1847"/>
  <c r="AE15" i="1847"/>
  <c r="AE21" i="1847"/>
  <c r="AE23" i="1847"/>
  <c r="AE11" i="1847"/>
  <c r="AE19" i="1847"/>
  <c r="AE12" i="1847"/>
  <c r="AE7" i="1847"/>
  <c r="AE20" i="1847"/>
  <c r="AE22" i="1847"/>
  <c r="AE8" i="1847"/>
  <c r="AE6" i="1847"/>
  <c r="AE24" i="1847"/>
  <c r="AE9" i="1847"/>
  <c r="AE10" i="1847"/>
  <c r="AD23" i="1846"/>
  <c r="AE22" i="1846" l="1"/>
  <c r="AE19" i="1846"/>
  <c r="AE15" i="1846"/>
  <c r="AE16" i="1846"/>
  <c r="AE18" i="1846"/>
  <c r="AE9" i="1846"/>
  <c r="AE8" i="1846"/>
  <c r="AE14" i="1846"/>
  <c r="AE17" i="1846"/>
  <c r="AE13" i="1846"/>
  <c r="AE6" i="1846"/>
  <c r="AE21" i="1846"/>
  <c r="AE7" i="1846"/>
  <c r="AE20" i="1846"/>
  <c r="AE10" i="1846"/>
  <c r="AE12" i="1846"/>
  <c r="AE11" i="1846"/>
</calcChain>
</file>

<file path=xl/sharedStrings.xml><?xml version="1.0" encoding="utf-8"?>
<sst xmlns="http://schemas.openxmlformats.org/spreadsheetml/2006/main" count="4933" uniqueCount="521">
  <si>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</si>
  <si>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</si>
  <si>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</si>
  <si>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</si>
  <si>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</si>
  <si>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</si>
  <si>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</si>
  <si>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</si>
  <si>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</si>
  <si>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</si>
  <si>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</si>
  <si>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</si>
  <si>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</si>
  <si>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</si>
  <si>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</si>
  <si>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</si>
  <si>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</si>
  <si>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</si>
  <si>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</si>
  <si>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</si>
  <si>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</si>
  <si>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</si>
  <si>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</si>
  <si>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</si>
  <si>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</si>
  <si>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</si>
  <si>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</si>
  <si>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</si>
  <si>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</si>
  <si>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</si>
  <si>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</si>
  <si>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</si>
  <si>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</si>
  <si>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</si>
  <si>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</si>
  <si>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</si>
  <si>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</si>
  <si>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</si>
  <si>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</si>
  <si>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</si>
  <si>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</si>
  <si>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</si>
  <si>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</si>
  <si>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</si>
  <si>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</si>
  <si>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</si>
  <si>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</si>
  <si>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</si>
  <si>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</si>
  <si>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</si>
  <si>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</si>
  <si>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</si>
  <si>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</si>
  <si>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</si>
  <si>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</si>
  <si>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</si>
  <si>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</si>
  <si>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</si>
  <si>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</si>
  <si>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</si>
  <si>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</si>
  <si>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</si>
  <si>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</si>
  <si>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</si>
  <si>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</si>
  <si>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</si>
  <si>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</si>
  <si>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</si>
  <si>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</si>
  <si>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</si>
  <si>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</si>
  <si>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</si>
  <si>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</si>
  <si>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</si>
  <si>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</si>
  <si>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</si>
  <si>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</si>
  <si>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</si>
  <si>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</si>
  <si>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</si>
  <si>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</si>
  <si>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</si>
  <si>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</si>
  <si>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</si>
  <si>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</si>
  <si>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</si>
  <si>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</si>
  <si>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</si>
  <si>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</si>
  <si>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</si>
  <si>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</si>
  <si>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</si>
  <si>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</si>
  <si>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</si>
  <si>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</si>
  <si>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</si>
  <si>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</si>
  <si>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</si>
  <si>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</si>
  <si>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</si>
  <si>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</si>
  <si>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</si>
  <si>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</si>
  <si>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</si>
  <si>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</si>
  <si>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</si>
  <si>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</si>
  <si>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</si>
  <si>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</si>
  <si>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</si>
  <si>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</si>
  <si>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</si>
  <si>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</si>
  <si>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</si>
  <si>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</si>
  <si>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</si>
  <si>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</si>
  <si>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</si>
  <si>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</si>
  <si>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</si>
  <si>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</si>
  <si>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</si>
  <si>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SGF2041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</si>
  <si>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</si>
  <si>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</si>
  <si>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</si>
  <si>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ADAPTER</t>
    <phoneticPr fontId="2" type="noConversion"/>
  </si>
  <si>
    <t>7301</t>
    <phoneticPr fontId="2" type="noConversion"/>
  </si>
  <si>
    <t>STOPPER</t>
    <phoneticPr fontId="2" type="noConversion"/>
  </si>
  <si>
    <t>수리후양산</t>
    <phoneticPr fontId="2" type="noConversion"/>
  </si>
  <si>
    <t>SGF2030</t>
    <phoneticPr fontId="2" type="noConversion"/>
  </si>
  <si>
    <t>품  명</t>
    <phoneticPr fontId="2" type="noConversion"/>
  </si>
  <si>
    <t>2</t>
    <phoneticPr fontId="2" type="noConversion"/>
  </si>
  <si>
    <t>발주분양산</t>
    <phoneticPr fontId="2" type="noConversion"/>
  </si>
  <si>
    <t>13</t>
    <phoneticPr fontId="2" type="noConversion"/>
  </si>
  <si>
    <t>SLIDER</t>
    <phoneticPr fontId="2" type="noConversion"/>
  </si>
  <si>
    <t>SGF2030 N/P</t>
    <phoneticPr fontId="2" type="noConversion"/>
  </si>
  <si>
    <t>SGF2041 N/P</t>
    <phoneticPr fontId="2" type="noConversion"/>
  </si>
  <si>
    <t>KR6166CB299UA</t>
    <phoneticPr fontId="2" type="noConversion"/>
  </si>
  <si>
    <t>.</t>
    <phoneticPr fontId="2" type="noConversion"/>
  </si>
  <si>
    <t>14</t>
    <phoneticPr fontId="2" type="noConversion"/>
  </si>
  <si>
    <t>8</t>
    <phoneticPr fontId="2" type="noConversion"/>
  </si>
  <si>
    <t>NP595-352-012#LB</t>
    <phoneticPr fontId="2" type="noConversion"/>
  </si>
  <si>
    <t>4</t>
    <phoneticPr fontId="2" type="noConversion"/>
  </si>
  <si>
    <t>SGP2030R N/P</t>
    <phoneticPr fontId="2" type="noConversion"/>
  </si>
  <si>
    <t>SF2255</t>
    <phoneticPr fontId="2" type="noConversion"/>
  </si>
  <si>
    <t>HDBF05-M02B1</t>
    <phoneticPr fontId="2" type="noConversion"/>
  </si>
  <si>
    <t>22P</t>
    <phoneticPr fontId="2" type="noConversion"/>
  </si>
  <si>
    <t>KR6197-D475PA</t>
    <phoneticPr fontId="2" type="noConversion"/>
  </si>
  <si>
    <t>15</t>
    <phoneticPr fontId="2" type="noConversion"/>
  </si>
  <si>
    <t>7</t>
    <phoneticPr fontId="2" type="noConversion"/>
  </si>
  <si>
    <t>수정</t>
    <phoneticPr fontId="2" type="noConversion"/>
  </si>
  <si>
    <t>SGF2033</t>
    <phoneticPr fontId="2" type="noConversion"/>
  </si>
  <si>
    <t>코아파손정지</t>
    <phoneticPr fontId="2" type="noConversion"/>
  </si>
  <si>
    <t>F/A</t>
    <phoneticPr fontId="2" type="noConversion"/>
  </si>
  <si>
    <t>ACTUATOR</t>
    <phoneticPr fontId="2" type="noConversion"/>
  </si>
  <si>
    <t>옵션</t>
    <phoneticPr fontId="2" type="noConversion"/>
  </si>
  <si>
    <t>9</t>
    <phoneticPr fontId="2" type="noConversion"/>
  </si>
  <si>
    <t>요청</t>
    <phoneticPr fontId="2" type="noConversion"/>
  </si>
  <si>
    <t>원재료</t>
    <phoneticPr fontId="2" type="noConversion"/>
  </si>
  <si>
    <t>전일 ISSUE 사항(05일)</t>
    <phoneticPr fontId="2" type="noConversion"/>
  </si>
  <si>
    <t>세척후양산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</si>
  <si>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</si>
  <si>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</si>
  <si>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</si>
  <si>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t>AMB1917A-KAA-R1</t>
    <phoneticPr fontId="2" type="noConversion"/>
  </si>
  <si>
    <t>10</t>
    <phoneticPr fontId="2" type="noConversion"/>
  </si>
  <si>
    <t>LEAD GUIDE</t>
    <phoneticPr fontId="2" type="noConversion"/>
  </si>
  <si>
    <t>GN2330</t>
    <phoneticPr fontId="2" type="noConversion"/>
  </si>
  <si>
    <t>NP413-77549#IN-B</t>
    <phoneticPr fontId="2" type="noConversion"/>
  </si>
  <si>
    <t>5</t>
    <phoneticPr fontId="2" type="noConversion"/>
  </si>
  <si>
    <t>6</t>
    <phoneticPr fontId="2" type="noConversion"/>
  </si>
  <si>
    <t>12</t>
    <phoneticPr fontId="2" type="noConversion"/>
  </si>
  <si>
    <t>BLUE</t>
    <phoneticPr fontId="2" type="noConversion"/>
  </si>
  <si>
    <t>SGP2030R</t>
    <phoneticPr fontId="2" type="noConversion"/>
  </si>
  <si>
    <t>K-JR01887-A221ATA</t>
    <phoneticPr fontId="2" type="noConversion"/>
  </si>
  <si>
    <t>JD4901</t>
    <phoneticPr fontId="2" type="noConversion"/>
  </si>
  <si>
    <t>3</t>
    <phoneticPr fontId="2" type="noConversion"/>
  </si>
  <si>
    <t>NP413-082-092#GP</t>
    <phoneticPr fontId="2" type="noConversion"/>
  </si>
  <si>
    <t>K-JR01887-B221AUA</t>
    <phoneticPr fontId="2" type="noConversion"/>
  </si>
  <si>
    <t xml:space="preserve">SGF2030 </t>
    <phoneticPr fontId="2" type="noConversion"/>
  </si>
  <si>
    <t>288C84A-B122D</t>
    <phoneticPr fontId="2" type="noConversion"/>
  </si>
  <si>
    <t>OKINS</t>
    <phoneticPr fontId="2" type="noConversion"/>
  </si>
  <si>
    <t>8301</t>
    <phoneticPr fontId="2" type="noConversion"/>
  </si>
  <si>
    <t>KR6422-B589CA</t>
    <phoneticPr fontId="2" type="noConversion"/>
  </si>
  <si>
    <t>LATCH</t>
    <phoneticPr fontId="2" type="noConversion"/>
  </si>
  <si>
    <t>KR6197-GS153PNB</t>
    <phoneticPr fontId="2" type="noConversion"/>
  </si>
  <si>
    <t>SF2250EPR N/P</t>
    <phoneticPr fontId="2" type="noConversion"/>
  </si>
  <si>
    <t>전일 ISSUE 사항(26일)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</si>
  <si>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</si>
  <si>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</si>
  <si>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KR6197-GR254PNB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</si>
  <si>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</si>
  <si>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</si>
  <si>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t>HR03A-06A1</t>
    <phoneticPr fontId="2" type="noConversion"/>
  </si>
  <si>
    <t>OK75SSD-050-T32-BA-1</t>
    <phoneticPr fontId="2" type="noConversion"/>
  </si>
  <si>
    <t>PLATE</t>
    <phoneticPr fontId="2" type="noConversion"/>
  </si>
  <si>
    <t>코아파손3회정지</t>
    <phoneticPr fontId="2" type="noConversion"/>
  </si>
  <si>
    <t>KR6166-GAB178QA</t>
    <phoneticPr fontId="2" type="noConversion"/>
  </si>
  <si>
    <t>NP595-352-012#LB-1</t>
    <phoneticPr fontId="2" type="noConversion"/>
  </si>
  <si>
    <t>AMB07M4A-KAA-R1</t>
    <phoneticPr fontId="2" type="noConversion"/>
  </si>
  <si>
    <t>AMB0102B-JAA-R2</t>
    <phoneticPr fontId="2" type="noConversion"/>
  </si>
  <si>
    <r>
      <t>2020년 10월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</si>
  <si>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plunger</t>
    <phoneticPr fontId="2" type="noConversion"/>
  </si>
  <si>
    <t>HRCS-03C16</t>
    <phoneticPr fontId="2" type="noConversion"/>
  </si>
  <si>
    <t>AMB0150A-KAA-R1</t>
    <phoneticPr fontId="2" type="noConversion"/>
  </si>
  <si>
    <t>AM0148A-K-R2</t>
    <phoneticPr fontId="2" type="noConversion"/>
  </si>
  <si>
    <t>발주분양산-&gt;코아파손-&gt;밀핀파손정지</t>
    <phoneticPr fontId="2" type="noConversion"/>
  </si>
  <si>
    <t>당일 진행 사항(06일)</t>
    <phoneticPr fontId="2" type="noConversion"/>
  </si>
  <si>
    <t>AMB20D7A-KAA-R4</t>
    <phoneticPr fontId="2" type="noConversion"/>
  </si>
  <si>
    <t>2829HQN05-4812-F3</t>
    <phoneticPr fontId="2" type="noConversion"/>
  </si>
  <si>
    <t>TOP</t>
    <phoneticPr fontId="2" type="noConversion"/>
  </si>
  <si>
    <t>HRCS-00C11B</t>
    <phoneticPr fontId="2" type="noConversion"/>
  </si>
  <si>
    <t>AMB0114B-JAA-R6</t>
    <phoneticPr fontId="2" type="noConversion"/>
  </si>
  <si>
    <t>10월 호기별 가동현황</t>
    <phoneticPr fontId="2" type="noConversion"/>
  </si>
  <si>
    <r>
      <t>2020년 10월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</si>
  <si>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SF2255 I/V</t>
    <phoneticPr fontId="2" type="noConversion"/>
  </si>
  <si>
    <t>KR6458BB586CA</t>
    <phoneticPr fontId="2" type="noConversion"/>
  </si>
  <si>
    <t>NP628-1056-001#IN-B</t>
    <phoneticPr fontId="2" type="noConversion"/>
  </si>
  <si>
    <t>LG35</t>
    <phoneticPr fontId="2" type="noConversion"/>
  </si>
  <si>
    <t>전일 ISSUE 사항(06일)</t>
    <phoneticPr fontId="2" type="noConversion"/>
  </si>
  <si>
    <t>발주분양산-&gt;뜯김(사고)정지</t>
    <phoneticPr fontId="2" type="noConversion"/>
  </si>
  <si>
    <t>수리후양산-&gt;밀핀파손정지</t>
    <phoneticPr fontId="2" type="noConversion"/>
  </si>
  <si>
    <t>발주분양산-&gt;밀핀오조립</t>
    <phoneticPr fontId="2" type="noConversion"/>
  </si>
  <si>
    <t>이물제거후양산</t>
    <phoneticPr fontId="2" type="noConversion"/>
  </si>
  <si>
    <t>AMB0114B-JAA-R4</t>
    <phoneticPr fontId="2" type="noConversion"/>
  </si>
  <si>
    <t>당일 진행 사항(07일)</t>
    <phoneticPr fontId="2" type="noConversion"/>
  </si>
  <si>
    <t>K-JR01887-G01CBA</t>
    <phoneticPr fontId="2" type="noConversion"/>
  </si>
  <si>
    <t>SAMPLE 진행 사항(06일)</t>
    <phoneticPr fontId="2" type="noConversion"/>
  </si>
  <si>
    <t>Pattern Cover</t>
    <phoneticPr fontId="2" type="noConversion"/>
  </si>
  <si>
    <t>아람</t>
    <phoneticPr fontId="2" type="noConversion"/>
  </si>
  <si>
    <t>RTP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</si>
  <si>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</si>
  <si>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</si>
  <si>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10월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</si>
  <si>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코아시스</t>
    <phoneticPr fontId="2" type="noConversion"/>
  </si>
  <si>
    <t>TOP/BOTTOM</t>
    <phoneticPr fontId="2" type="noConversion"/>
  </si>
  <si>
    <t>2*1</t>
    <phoneticPr fontId="2" type="noConversion"/>
  </si>
  <si>
    <t>전일 ISSUE 사항(07일)</t>
    <phoneticPr fontId="2" type="noConversion"/>
  </si>
  <si>
    <t>휨수리</t>
    <phoneticPr fontId="2" type="noConversion"/>
  </si>
  <si>
    <t>발주분양산-&gt;각인오조립-&gt;설비이상정지</t>
    <phoneticPr fontId="2" type="noConversion"/>
  </si>
  <si>
    <t>당일 진행 사항(08일)</t>
    <phoneticPr fontId="2" type="noConversion"/>
  </si>
  <si>
    <t>HT00-M64A4-4</t>
    <phoneticPr fontId="2" type="noConversion"/>
  </si>
  <si>
    <t>1</t>
    <phoneticPr fontId="2" type="noConversion"/>
  </si>
  <si>
    <t>설비이동양산</t>
    <phoneticPr fontId="2" type="noConversion"/>
  </si>
  <si>
    <t>KR6458BB456CA</t>
    <phoneticPr fontId="2" type="noConversion"/>
  </si>
  <si>
    <t>AMB39D8A-KAA-R1</t>
    <phoneticPr fontId="2" type="noConversion"/>
  </si>
  <si>
    <t>11</t>
    <phoneticPr fontId="2" type="noConversion"/>
  </si>
  <si>
    <t>SEPARATOR</t>
    <phoneticPr fontId="2" type="noConversion"/>
  </si>
  <si>
    <t>2829HQN05-4812-B1</t>
    <phoneticPr fontId="2" type="noConversion"/>
  </si>
  <si>
    <t>2829HQN05-4812-B2</t>
    <phoneticPr fontId="2" type="noConversion"/>
  </si>
  <si>
    <t>BOTTOM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</si>
  <si>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</si>
  <si>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</si>
  <si>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</si>
  <si>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10월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</si>
  <si>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COVER</t>
    <phoneticPr fontId="2" type="noConversion"/>
  </si>
  <si>
    <t>AMB0355A-KAA-R2</t>
    <phoneticPr fontId="2" type="noConversion"/>
  </si>
  <si>
    <t>S475</t>
    <phoneticPr fontId="2" type="noConversion"/>
  </si>
  <si>
    <t>전일 ISSUE 사항(08일)</t>
    <phoneticPr fontId="2" type="noConversion"/>
  </si>
  <si>
    <t>수리후양산-&gt;코아파손수리-&gt;미성형수리</t>
    <phoneticPr fontId="2" type="noConversion"/>
  </si>
  <si>
    <t>당일 진행 사항(09일)</t>
    <phoneticPr fontId="2" type="noConversion"/>
  </si>
  <si>
    <t>KR6458AB456CA</t>
    <phoneticPr fontId="2" type="noConversion"/>
  </si>
  <si>
    <t>AMB1901D-JAA-R2</t>
    <phoneticPr fontId="2" type="noConversion"/>
  </si>
  <si>
    <t>SAMPLE 진행 사항(08일)</t>
    <phoneticPr fontId="2" type="noConversion"/>
  </si>
  <si>
    <t>K-AR3543-1A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</si>
  <si>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</si>
  <si>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</si>
  <si>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10월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</si>
  <si>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KR645ABB456CA</t>
    <phoneticPr fontId="2" type="noConversion"/>
  </si>
  <si>
    <t>전일 ISSUE 사항(09일)</t>
    <phoneticPr fontId="2" type="noConversion"/>
  </si>
  <si>
    <t>발주분양산-&gt;휨수리</t>
    <phoneticPr fontId="2" type="noConversion"/>
  </si>
  <si>
    <t>당일 진행 사항(10일)</t>
    <phoneticPr fontId="2" type="noConversion"/>
  </si>
  <si>
    <t>SAMPLE 진행 사항(09일)</t>
    <phoneticPr fontId="2" type="noConversion"/>
  </si>
  <si>
    <t>HDB75-M01A4-1(4C)</t>
    <phoneticPr fontId="2" type="noConversion"/>
  </si>
  <si>
    <t>K-JR01903-D180ZA</t>
    <phoneticPr fontId="2" type="noConversion"/>
  </si>
  <si>
    <t>SGP2020R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</si>
  <si>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</si>
  <si>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</si>
  <si>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10월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</si>
  <si>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</si>
  <si>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코아파손수리</t>
    <phoneticPr fontId="2" type="noConversion"/>
  </si>
  <si>
    <t>당일 진행 사항(12일)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</si>
  <si>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</si>
  <si>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</si>
  <si>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</si>
  <si>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10월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</si>
  <si>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수리후양산-&gt;코아파손정지</t>
    <phoneticPr fontId="2" type="noConversion"/>
  </si>
  <si>
    <t>전일 ISSUE 사항(12일)</t>
    <phoneticPr fontId="2" type="noConversion"/>
  </si>
  <si>
    <t>당일 진행 사항(13일)</t>
    <phoneticPr fontId="2" type="noConversion"/>
  </si>
  <si>
    <t>KR6182-A308YA</t>
    <phoneticPr fontId="2" type="noConversion"/>
  </si>
  <si>
    <t>KR6182-C624TB</t>
    <phoneticPr fontId="2" type="noConversion"/>
  </si>
  <si>
    <t>SAMPLE 진행 사항(12일)</t>
    <phoneticPr fontId="2" type="noConversion"/>
  </si>
  <si>
    <t>HDB08QL-102S2</t>
    <phoneticPr fontId="2" type="noConversion"/>
  </si>
  <si>
    <t>HDB08QL-102T4</t>
    <phoneticPr fontId="2" type="noConversion"/>
  </si>
  <si>
    <t>HDB08QL-102C3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</si>
  <si>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</si>
  <si>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</si>
  <si>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2020년 10월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</si>
  <si>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SGF2050</t>
    <phoneticPr fontId="2" type="noConversion"/>
  </si>
  <si>
    <t>메카텍</t>
    <phoneticPr fontId="2" type="noConversion"/>
  </si>
  <si>
    <t>2P BASE/UNDER</t>
    <phoneticPr fontId="2" type="noConversion"/>
  </si>
  <si>
    <t>2*1</t>
    <phoneticPr fontId="2" type="noConversion"/>
  </si>
  <si>
    <t>K-JR01887-G03ABB</t>
    <phoneticPr fontId="2" type="noConversion"/>
  </si>
  <si>
    <t>전일 ISSUE 사항(13일)</t>
    <phoneticPr fontId="2" type="noConversion"/>
  </si>
  <si>
    <t>수리후양산-&gt;코아파손3회정지</t>
    <phoneticPr fontId="2" type="noConversion"/>
  </si>
  <si>
    <t>4</t>
    <phoneticPr fontId="2" type="noConversion"/>
  </si>
  <si>
    <t>SLIDER</t>
    <phoneticPr fontId="2" type="noConversion"/>
  </si>
  <si>
    <t>KR6182-A308YA</t>
    <phoneticPr fontId="2" type="noConversion"/>
  </si>
  <si>
    <t>발주분양산-&gt;BURR수리</t>
    <phoneticPr fontId="2" type="noConversion"/>
  </si>
  <si>
    <t>KR6182-C624TB</t>
    <phoneticPr fontId="2" type="noConversion"/>
  </si>
  <si>
    <t>11</t>
    <phoneticPr fontId="2" type="noConversion"/>
  </si>
  <si>
    <t>COVER</t>
    <phoneticPr fontId="2" type="noConversion"/>
  </si>
  <si>
    <t>12</t>
    <phoneticPr fontId="2" type="noConversion"/>
  </si>
  <si>
    <t>K-JR01887-G03ABB</t>
    <phoneticPr fontId="2" type="noConversion"/>
  </si>
  <si>
    <t>발주분양산-&gt;오조립수리</t>
    <phoneticPr fontId="2" type="noConversion"/>
  </si>
  <si>
    <t>메카텍</t>
    <phoneticPr fontId="2" type="noConversion"/>
  </si>
  <si>
    <t>10</t>
    <phoneticPr fontId="2" type="noConversion"/>
  </si>
  <si>
    <t>2P BASE/UNDER</t>
    <phoneticPr fontId="2" type="noConversion"/>
  </si>
  <si>
    <t>당일 진행 사항(14일)</t>
    <phoneticPr fontId="2" type="noConversion"/>
  </si>
  <si>
    <t>K-JR01887-G04AJA</t>
    <phoneticPr fontId="2" type="noConversion"/>
  </si>
  <si>
    <t>NP595-352-012#LB-1</t>
    <phoneticPr fontId="2" type="noConversion"/>
  </si>
  <si>
    <t>AYE</t>
    <phoneticPr fontId="2" type="noConversion"/>
  </si>
  <si>
    <t>K-JR01887-A221ATA</t>
    <phoneticPr fontId="2" type="noConversion"/>
  </si>
  <si>
    <t>15</t>
    <phoneticPr fontId="2" type="noConversion"/>
  </si>
  <si>
    <t>SAMPLE 진행 사항(13일)</t>
    <phoneticPr fontId="2" type="noConversion"/>
  </si>
  <si>
    <t>HDB08QL-102B1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</si>
  <si>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</si>
  <si>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</si>
  <si>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2020년 10월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</si>
  <si>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전일 ISSUE 사항(14일)</t>
    <phoneticPr fontId="2" type="noConversion"/>
  </si>
  <si>
    <t>수리후양산-&gt;휨정지</t>
    <phoneticPr fontId="2" type="noConversion"/>
  </si>
  <si>
    <t>뜯김수리-&gt;가스정지</t>
    <phoneticPr fontId="2" type="noConversion"/>
  </si>
  <si>
    <t>당일 진행 사항(15일)</t>
    <phoneticPr fontId="2" type="noConversion"/>
  </si>
  <si>
    <t>SAMPLE 진행 사항(14일)</t>
    <phoneticPr fontId="2" type="noConversion"/>
  </si>
  <si>
    <t>K-AR3539-1A</t>
    <phoneticPr fontId="2" type="noConversion"/>
  </si>
  <si>
    <t>20MM-5 HOLDER-1</t>
    <phoneticPr fontId="2" type="noConversion"/>
  </si>
  <si>
    <t>20MM-5 HOLDER-2</t>
    <phoneticPr fontId="2" type="noConversion"/>
  </si>
  <si>
    <t>ABS</t>
    <phoneticPr fontId="2" type="noConversion"/>
  </si>
  <si>
    <t>신작</t>
    <phoneticPr fontId="2" type="noConversion"/>
  </si>
  <si>
    <t>시스템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</si>
  <si>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</si>
  <si>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</si>
  <si>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10월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</si>
  <si>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HSA08-M07A1</t>
    <phoneticPr fontId="2" type="noConversion"/>
  </si>
  <si>
    <t>전일 ISSUE 사항(15일)</t>
    <phoneticPr fontId="2" type="noConversion"/>
  </si>
  <si>
    <t>슬라이드파손2회정지</t>
    <phoneticPr fontId="2" type="noConversion"/>
  </si>
  <si>
    <t>발주분양산-&gt;긁힘수리</t>
    <phoneticPr fontId="2" type="noConversion"/>
  </si>
  <si>
    <t>발주분양산-&gt;칼퀴수리</t>
    <phoneticPr fontId="2" type="noConversion"/>
  </si>
  <si>
    <t>런너수리-&gt;휨정지</t>
    <phoneticPr fontId="2" type="noConversion"/>
  </si>
  <si>
    <t>당일 진행 사항(16일)</t>
    <phoneticPr fontId="2" type="noConversion"/>
  </si>
  <si>
    <t>RIVET</t>
    <phoneticPr fontId="2" type="noConversion"/>
  </si>
  <si>
    <t>SAMPLE 진행 사항(15일)</t>
    <phoneticPr fontId="2" type="noConversion"/>
  </si>
  <si>
    <t>SIDE COVER A/B</t>
    <phoneticPr fontId="2" type="noConversion"/>
  </si>
  <si>
    <t>PC/ABA</t>
    <phoneticPr fontId="2" type="noConversion"/>
  </si>
  <si>
    <t>각 30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</si>
  <si>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</si>
  <si>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</si>
  <si>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10월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</si>
  <si>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SAM</t>
    <phoneticPr fontId="2" type="noConversion"/>
  </si>
  <si>
    <t>AM0610C-J</t>
    <phoneticPr fontId="2" type="noConversion"/>
  </si>
  <si>
    <t>AM0340A-K</t>
    <phoneticPr fontId="2" type="noConversion"/>
  </si>
  <si>
    <t>NP413-078-043#GP-4</t>
    <phoneticPr fontId="2" type="noConversion"/>
  </si>
  <si>
    <t>RTP Y/L</t>
    <phoneticPr fontId="2" type="noConversion"/>
  </si>
  <si>
    <t>전일 ISSUE 사항(16일)</t>
    <phoneticPr fontId="2" type="noConversion"/>
  </si>
  <si>
    <t>발주분양산-&gt;상측박힘수리</t>
    <phoneticPr fontId="2" type="noConversion"/>
  </si>
  <si>
    <t>코아파손수리-&gt;슬라이드파손정지</t>
    <phoneticPr fontId="2" type="noConversion"/>
  </si>
  <si>
    <t>발주분양산-&gt;치수NG조건변경</t>
    <phoneticPr fontId="2" type="noConversion"/>
  </si>
  <si>
    <t>런너청소</t>
    <phoneticPr fontId="2" type="noConversion"/>
  </si>
  <si>
    <t>당일 진행 사항(19일)</t>
    <phoneticPr fontId="2" type="noConversion"/>
  </si>
  <si>
    <t>HDBF05-M04B1</t>
    <phoneticPr fontId="2" type="noConversion"/>
  </si>
  <si>
    <t>HDBF05-M01B1</t>
    <phoneticPr fontId="2" type="noConversion"/>
  </si>
  <si>
    <t>SAMPLE 진행 사항(16일)</t>
    <phoneticPr fontId="2" type="noConversion"/>
  </si>
  <si>
    <t>K-AR3546-1A</t>
    <phoneticPr fontId="2" type="noConversion"/>
  </si>
  <si>
    <t>SGF2030TC</t>
    <phoneticPr fontId="2" type="noConversion"/>
  </si>
  <si>
    <t>하측뜯김</t>
    <phoneticPr fontId="2" type="noConversion"/>
  </si>
  <si>
    <t>RTP B/K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</si>
  <si>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</si>
  <si>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</si>
  <si>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10월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</si>
  <si>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HDBF05-M01B1(2C)</t>
    <phoneticPr fontId="2" type="noConversion"/>
  </si>
  <si>
    <t>전일 ISSUE 사항(19일)</t>
    <phoneticPr fontId="2" type="noConversion"/>
  </si>
  <si>
    <t>발주분양산-&gt;런너박힘정지</t>
    <phoneticPr fontId="2" type="noConversion"/>
  </si>
  <si>
    <t>발주분양산-&gt;뜯김정지</t>
    <phoneticPr fontId="2" type="noConversion"/>
  </si>
  <si>
    <t>발주분양산-&gt;1C BURR막음</t>
    <phoneticPr fontId="2" type="noConversion"/>
  </si>
  <si>
    <t>발주분양산-&gt;MESH긁힘3회수리</t>
    <phoneticPr fontId="2" type="noConversion"/>
  </si>
  <si>
    <t>당일 진행 사항(20일)</t>
    <phoneticPr fontId="2" type="noConversion"/>
  </si>
  <si>
    <t>SAMPLE 진행 사항(19일)</t>
    <phoneticPr fontId="2" type="noConversion"/>
  </si>
  <si>
    <t>K-AR3547-1A</t>
    <phoneticPr fontId="2" type="noConversion"/>
  </si>
  <si>
    <t>뜯김수리</t>
    <phoneticPr fontId="2" type="noConversion"/>
  </si>
  <si>
    <t>K-JR01920-M01ABX</t>
    <phoneticPr fontId="2" type="noConversion"/>
  </si>
  <si>
    <t>LEAD IN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</si>
  <si>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</si>
  <si>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</si>
  <si>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2020년 10월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</si>
  <si>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전일 ISSUE 사항(20일)</t>
    <phoneticPr fontId="2" type="noConversion"/>
  </si>
  <si>
    <t>코아파손수리-&gt;코아파손정지</t>
    <phoneticPr fontId="2" type="noConversion"/>
  </si>
  <si>
    <t>수리후양산-&gt;BURR수리</t>
    <phoneticPr fontId="2" type="noConversion"/>
  </si>
  <si>
    <t>수리후양산-&gt;BURR정지</t>
    <phoneticPr fontId="2" type="noConversion"/>
  </si>
  <si>
    <t>당일 진행 사항(21일)</t>
    <phoneticPr fontId="2" type="noConversion"/>
  </si>
  <si>
    <t>AMB0172A-KAA-R2</t>
    <phoneticPr fontId="2" type="noConversion"/>
  </si>
  <si>
    <t>NP504-556-126#LB-1</t>
    <phoneticPr fontId="2" type="noConversion"/>
  </si>
  <si>
    <t>F과제 FLOATING_A1-01</t>
    <phoneticPr fontId="2" type="noConversion"/>
  </si>
  <si>
    <t>NEXT</t>
    <phoneticPr fontId="2" type="noConversion"/>
  </si>
  <si>
    <t>SAMPLE 진행 사항(20일)</t>
    <phoneticPr fontId="2" type="noConversion"/>
  </si>
  <si>
    <t>KR6303-E07TA</t>
    <phoneticPr fontId="2" type="noConversion"/>
  </si>
  <si>
    <t>K-AR3545-1A</t>
    <phoneticPr fontId="2" type="noConversion"/>
  </si>
  <si>
    <t>SGF2033 N/P</t>
    <phoneticPr fontId="2" type="noConversion"/>
  </si>
  <si>
    <t>HR032B-084A1</t>
    <phoneticPr fontId="2" type="noConversion"/>
  </si>
  <si>
    <t>FLOATING</t>
    <phoneticPr fontId="2" type="noConversion"/>
  </si>
  <si>
    <t>K-AR3544-1A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</si>
  <si>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</si>
  <si>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</si>
  <si>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10월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</si>
  <si>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AM0172A-KAA-R2</t>
    <phoneticPr fontId="2" type="noConversion"/>
  </si>
  <si>
    <t>전일 ISSUE 사항(21일)</t>
    <phoneticPr fontId="2" type="noConversion"/>
  </si>
  <si>
    <t>수리후양산-&gt;뜯김수리</t>
    <phoneticPr fontId="2" type="noConversion"/>
  </si>
  <si>
    <t>발주분양산-&gt;뜯김2회-&gt;코아파손정지</t>
    <phoneticPr fontId="2" type="noConversion"/>
  </si>
  <si>
    <t>가스정지</t>
    <phoneticPr fontId="2" type="noConversion"/>
  </si>
  <si>
    <t>당일 진행 사항(22일)</t>
    <phoneticPr fontId="2" type="noConversion"/>
  </si>
  <si>
    <t>SAMPLE 진행 사항(21일)</t>
    <phoneticPr fontId="2" type="noConversion"/>
  </si>
  <si>
    <t>HR03B-374A3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</si>
  <si>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</si>
  <si>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</si>
  <si>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10월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</si>
  <si>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</si>
  <si>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코아파손2회정지</t>
    <phoneticPr fontId="2" type="noConversion"/>
  </si>
  <si>
    <t>수리후양산-&gt;밀핀높음수리</t>
    <phoneticPr fontId="2" type="noConversion"/>
  </si>
  <si>
    <t>당일 진행 사항(23일)</t>
    <phoneticPr fontId="2" type="noConversion"/>
  </si>
  <si>
    <t>NP413-254-056#IN-A</t>
    <phoneticPr fontId="2" type="noConversion"/>
  </si>
  <si>
    <t>SAMPLE 진행 사항(22일)</t>
    <phoneticPr fontId="2" type="noConversion"/>
  </si>
  <si>
    <t>AM0135A-K</t>
    <phoneticPr fontId="2" type="noConversion"/>
  </si>
  <si>
    <t>EVD51 SIDE COVER(A)/B</t>
    <phoneticPr fontId="2" type="noConversion"/>
  </si>
  <si>
    <t>AM0234A-K</t>
    <phoneticPr fontId="2" type="noConversion"/>
  </si>
  <si>
    <t>AM0416A-K</t>
    <phoneticPr fontId="2" type="noConversion"/>
  </si>
  <si>
    <t>PC/ABS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</si>
  <si>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</si>
  <si>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</si>
  <si>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10월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</si>
  <si>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발주분양산-&gt;코아파손정지</t>
    <phoneticPr fontId="2" type="noConversion"/>
  </si>
  <si>
    <t>당일 진행 사항(24일)</t>
    <phoneticPr fontId="2" type="noConversion"/>
  </si>
  <si>
    <t>전일 ISSUE 사항(23일)</t>
    <phoneticPr fontId="2" type="noConversion"/>
  </si>
  <si>
    <t>SAMPLE 진행 사항(23일)</t>
    <phoneticPr fontId="2" type="noConversion"/>
  </si>
  <si>
    <t>승인용</t>
    <phoneticPr fontId="2" type="noConversion"/>
  </si>
  <si>
    <t>AMM0892A-KAB-R1</t>
    <phoneticPr fontId="2" type="noConversion"/>
  </si>
  <si>
    <t>코아파손2회</t>
    <phoneticPr fontId="2" type="noConversion"/>
  </si>
  <si>
    <t>FLOAT</t>
    <phoneticPr fontId="2" type="noConversion"/>
  </si>
  <si>
    <t>HR03B-374A1</t>
    <phoneticPr fontId="2" type="noConversion"/>
  </si>
  <si>
    <t>뜯김,코아파손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</si>
  <si>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</si>
  <si>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</si>
  <si>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10월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</si>
  <si>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</si>
  <si>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승인후양산</t>
    <phoneticPr fontId="2" type="noConversion"/>
  </si>
  <si>
    <t>당일 진행 사항(26일)</t>
    <phoneticPr fontId="2" type="noConversion"/>
  </si>
  <si>
    <t>SAMPLE 진행 사항(24일)</t>
    <phoneticPr fontId="2" type="noConversion"/>
  </si>
  <si>
    <t>HR03B-374A2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</si>
  <si>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</si>
  <si>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</si>
  <si>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t>형상이상</t>
    <phoneticPr fontId="2" type="noConversion"/>
  </si>
  <si>
    <r>
      <t>2020년 10월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</si>
  <si>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LH-01D2</t>
    <phoneticPr fontId="2" type="noConversion"/>
  </si>
  <si>
    <t>게이트청소-&gt;뜯김정지</t>
    <phoneticPr fontId="2" type="noConversion"/>
  </si>
  <si>
    <t>KR6414AGA414QB</t>
    <phoneticPr fontId="2" type="noConversion"/>
  </si>
  <si>
    <t>코아파손,뜯김</t>
    <phoneticPr fontId="2" type="noConversion"/>
  </si>
  <si>
    <t>SPL</t>
    <phoneticPr fontId="2" type="noConversion"/>
  </si>
  <si>
    <r>
      <t>2020년 10월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</si>
  <si>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HSF05-M01B1(증)</t>
    <phoneticPr fontId="2" type="noConversion"/>
  </si>
  <si>
    <t>전일 ISSUE 사항(27일)</t>
    <phoneticPr fontId="2" type="noConversion"/>
  </si>
  <si>
    <t>발주분양산-&gt;상측박힘정지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</si>
  <si>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</si>
  <si>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</si>
  <si>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</si>
  <si>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</si>
  <si>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10월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</si>
  <si>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AMB0450A-KAA-R2</t>
    <phoneticPr fontId="2" type="noConversion"/>
  </si>
  <si>
    <t>전일 ISSUE 사항(28일)</t>
    <phoneticPr fontId="2" type="noConversion"/>
  </si>
  <si>
    <t>수리후양산-&gt;미성형수리</t>
    <phoneticPr fontId="2" type="noConversion"/>
  </si>
  <si>
    <t>당일 진행 사항(29일)</t>
    <phoneticPr fontId="2" type="noConversion"/>
  </si>
  <si>
    <t>HDB75-M01A2(4C)</t>
    <phoneticPr fontId="2" type="noConversion"/>
  </si>
  <si>
    <t>치수확인후양산</t>
    <phoneticPr fontId="2" type="noConversion"/>
  </si>
  <si>
    <t>SAMPLE 진행 사항(28일)</t>
    <phoneticPr fontId="2" type="noConversion"/>
  </si>
  <si>
    <t>치수확인용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</si>
  <si>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</si>
  <si>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</si>
  <si>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10월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</si>
  <si>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K-AR3542-1A</t>
    <phoneticPr fontId="2" type="noConversion"/>
  </si>
  <si>
    <t>K-AR3540-1A</t>
    <phoneticPr fontId="2" type="noConversion"/>
  </si>
  <si>
    <t>K-AR3538-1A</t>
    <phoneticPr fontId="2" type="noConversion"/>
  </si>
  <si>
    <t>전일 ISSUE 사항(29일)</t>
    <phoneticPr fontId="2" type="noConversion"/>
  </si>
  <si>
    <t>발주분양산-&gt;HOOK뜯김3회정지</t>
    <phoneticPr fontId="2" type="noConversion"/>
  </si>
  <si>
    <t>에젝타수리후양산</t>
    <phoneticPr fontId="2" type="noConversion"/>
  </si>
  <si>
    <t>당일 진행 사항(30일)</t>
    <phoneticPr fontId="2" type="noConversion"/>
  </si>
  <si>
    <t>K-AR3541-1A</t>
    <phoneticPr fontId="2" type="noConversion"/>
  </si>
  <si>
    <t>ODT</t>
    <phoneticPr fontId="2" type="noConversion"/>
  </si>
  <si>
    <t>HOLDER</t>
    <phoneticPr fontId="2" type="noConversion"/>
  </si>
  <si>
    <t>SW-003228</t>
    <phoneticPr fontId="2" type="noConversion"/>
  </si>
  <si>
    <t>SAMPLE 진행 사항(29일)</t>
    <phoneticPr fontId="2" type="noConversion"/>
  </si>
  <si>
    <t>K-AR3534-1A</t>
    <phoneticPr fontId="2" type="noConversion"/>
  </si>
  <si>
    <t>HOOK박힘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</si>
  <si>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</si>
  <si>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</si>
  <si>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2020년 10월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</si>
  <si>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AMB1915B-KAA-R1</t>
    <phoneticPr fontId="2" type="noConversion"/>
  </si>
  <si>
    <t xml:space="preserve">SGF2041 </t>
    <phoneticPr fontId="2" type="noConversion"/>
  </si>
  <si>
    <t>HDB75-M01A1-1L(4C)</t>
    <phoneticPr fontId="2" type="noConversion"/>
  </si>
  <si>
    <t>CASE/HOLDER</t>
    <phoneticPr fontId="2" type="noConversion"/>
  </si>
  <si>
    <t>SW-003228/9</t>
    <phoneticPr fontId="2" type="noConversion"/>
  </si>
  <si>
    <t>PC B/K</t>
    <phoneticPr fontId="2" type="noConversion"/>
  </si>
  <si>
    <t>전일 ISSUE 사항(30일)</t>
    <phoneticPr fontId="2" type="noConversion"/>
  </si>
  <si>
    <t>발주분양산-&gt;상측박힘3회-&gt;미성형정지</t>
    <phoneticPr fontId="2" type="noConversion"/>
  </si>
  <si>
    <t>당일 진행 사항(02일)</t>
    <phoneticPr fontId="2" type="noConversion"/>
  </si>
  <si>
    <t>HDB75-M01A3</t>
    <phoneticPr fontId="2" type="noConversion"/>
  </si>
  <si>
    <t>HSA08-M03A1</t>
    <phoneticPr fontId="2" type="noConversion"/>
  </si>
  <si>
    <t>AMM0822A-KAB-R1</t>
    <phoneticPr fontId="2" type="noConversion"/>
  </si>
  <si>
    <t>48X48 LATCH</t>
    <phoneticPr fontId="2" type="noConversion"/>
  </si>
  <si>
    <t>솔리드</t>
    <phoneticPr fontId="2" type="noConversion"/>
  </si>
  <si>
    <t>SAMPLE 진행 사항(30일)</t>
    <phoneticPr fontId="2" type="noConversion"/>
  </si>
  <si>
    <t>확인용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</si>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</sst>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7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9" fontId="7" fillId="29" borderId="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41" fontId="13" fillId="0" borderId="9" xfId="4" applyFont="1" applyBorder="1" applyAlignment="1">
      <alignment horizontal="right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'05'!$L$6:$L$22</c:f>
              <c:numCache>
                <c:formatCode>_(* #,##0_);_(* \(#,##0\);_(* "-"_);_(@_)</c:formatCode>
                <c:ptCount val="17"/>
                <c:pt idx="1">
                  <c:v>3166</c:v>
                </c:pt>
                <c:pt idx="2">
                  <c:v>2103</c:v>
                </c:pt>
                <c:pt idx="3">
                  <c:v>1152</c:v>
                </c:pt>
                <c:pt idx="4">
                  <c:v>5217</c:v>
                </c:pt>
                <c:pt idx="5">
                  <c:v>12082</c:v>
                </c:pt>
                <c:pt idx="10">
                  <c:v>3433</c:v>
                </c:pt>
                <c:pt idx="11">
                  <c:v>2303</c:v>
                </c:pt>
                <c:pt idx="12">
                  <c:v>4435</c:v>
                </c:pt>
                <c:pt idx="13">
                  <c:v>1766</c:v>
                </c:pt>
                <c:pt idx="14">
                  <c:v>2785</c:v>
                </c:pt>
                <c:pt idx="15">
                  <c:v>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6-4BF7-9DBE-9B98FBC5E4A2}"/>
            </c:ext>
          </c:extLst>
        </c:ser>
        <c:ser>
          <c:idx val="1"/>
          <c:order val="1"/>
          <c:tx>
            <c:v>계획</c:v>
          </c:tx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3166</c:v>
                </c:pt>
                <c:pt idx="2">
                  <c:v>2103</c:v>
                </c:pt>
                <c:pt idx="3">
                  <c:v>1152</c:v>
                </c:pt>
                <c:pt idx="4">
                  <c:v>5217</c:v>
                </c:pt>
                <c:pt idx="5">
                  <c:v>12082</c:v>
                </c:pt>
                <c:pt idx="6">
                  <c:v>4017</c:v>
                </c:pt>
                <c:pt idx="7">
                  <c:v>650</c:v>
                </c:pt>
                <c:pt idx="8">
                  <c:v>308</c:v>
                </c:pt>
                <c:pt idx="9">
                  <c:v>5080</c:v>
                </c:pt>
                <c:pt idx="10">
                  <c:v>3433</c:v>
                </c:pt>
                <c:pt idx="11">
                  <c:v>2303</c:v>
                </c:pt>
                <c:pt idx="12">
                  <c:v>4435</c:v>
                </c:pt>
                <c:pt idx="13">
                  <c:v>1766</c:v>
                </c:pt>
                <c:pt idx="14">
                  <c:v>2785</c:v>
                </c:pt>
                <c:pt idx="15">
                  <c:v>2211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6-4BF7-9DBE-9B98FBC5E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'05'!$AD$6:$AD$22</c:f>
              <c:strCache>
                <c:ptCount val="17"/>
                <c:pt idx="0">
                  <c:v>0%</c:v>
                </c:pt>
                <c:pt idx="1">
                  <c:v>67%</c:v>
                </c:pt>
                <c:pt idx="2">
                  <c:v>46%</c:v>
                </c:pt>
                <c:pt idx="3">
                  <c:v>25%</c:v>
                </c:pt>
                <c:pt idx="4">
                  <c:v>92%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46%</c:v>
                </c:pt>
                <c:pt idx="12">
                  <c:v>88%</c:v>
                </c:pt>
                <c:pt idx="13">
                  <c:v>46%</c:v>
                </c:pt>
                <c:pt idx="14">
                  <c:v>50%</c:v>
                </c:pt>
                <c:pt idx="15">
                  <c:v>50%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'05'!$AD$6:$AD$22</c:f>
              <c:numCache>
                <c:formatCode>0%</c:formatCode>
                <c:ptCount val="17"/>
                <c:pt idx="0">
                  <c:v>0</c:v>
                </c:pt>
                <c:pt idx="1">
                  <c:v>0.66666666666666663</c:v>
                </c:pt>
                <c:pt idx="2">
                  <c:v>0.45833333333333331</c:v>
                </c:pt>
                <c:pt idx="3">
                  <c:v>0.25</c:v>
                </c:pt>
                <c:pt idx="4">
                  <c:v>0.91666666666666663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0.45833333333333331</c:v>
                </c:pt>
                <c:pt idx="12">
                  <c:v>0.875</c:v>
                </c:pt>
                <c:pt idx="13">
                  <c:v>0.45833333333333331</c:v>
                </c:pt>
                <c:pt idx="14">
                  <c:v>0.5</c:v>
                </c:pt>
                <c:pt idx="15">
                  <c:v>0.5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3-4483-8D1B-00B8186B923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03-4483-8D1B-00B8186B92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'05'!$AE$6:$AE$22</c:f>
              <c:numCache>
                <c:formatCode>0%</c:formatCode>
                <c:ptCount val="17"/>
                <c:pt idx="0">
                  <c:v>0.4044117647058823</c:v>
                </c:pt>
                <c:pt idx="1">
                  <c:v>0.4044117647058823</c:v>
                </c:pt>
                <c:pt idx="2">
                  <c:v>0.4044117647058823</c:v>
                </c:pt>
                <c:pt idx="3">
                  <c:v>0.4044117647058823</c:v>
                </c:pt>
                <c:pt idx="4">
                  <c:v>0.4044117647058823</c:v>
                </c:pt>
                <c:pt idx="5">
                  <c:v>0.4044117647058823</c:v>
                </c:pt>
                <c:pt idx="6">
                  <c:v>0.4044117647058823</c:v>
                </c:pt>
                <c:pt idx="7">
                  <c:v>0.4044117647058823</c:v>
                </c:pt>
                <c:pt idx="8">
                  <c:v>0.4044117647058823</c:v>
                </c:pt>
                <c:pt idx="9">
                  <c:v>0.4044117647058823</c:v>
                </c:pt>
                <c:pt idx="10">
                  <c:v>0.4044117647058823</c:v>
                </c:pt>
                <c:pt idx="11">
                  <c:v>0.4044117647058823</c:v>
                </c:pt>
                <c:pt idx="12">
                  <c:v>0.4044117647058823</c:v>
                </c:pt>
                <c:pt idx="13">
                  <c:v>0.4044117647058823</c:v>
                </c:pt>
                <c:pt idx="14">
                  <c:v>0.4044117647058823</c:v>
                </c:pt>
                <c:pt idx="15">
                  <c:v>0.4044117647058823</c:v>
                </c:pt>
                <c:pt idx="16">
                  <c:v>0.4044117647058823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3-4483-8D1B-00B8186B9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'05'!$L$6:$L$22</c:f>
              <c:numCache>
                <c:formatCode>_(* #,##0_);_(* \(#,##0\);_(* "-"_);_(@_)</c:formatCode>
                <c:ptCount val="17"/>
                <c:pt idx="1">
                  <c:v>3166</c:v>
                </c:pt>
                <c:pt idx="2">
                  <c:v>2103</c:v>
                </c:pt>
                <c:pt idx="3">
                  <c:v>1152</c:v>
                </c:pt>
                <c:pt idx="4">
                  <c:v>5217</c:v>
                </c:pt>
                <c:pt idx="5">
                  <c:v>12082</c:v>
                </c:pt>
                <c:pt idx="10">
                  <c:v>3433</c:v>
                </c:pt>
                <c:pt idx="11">
                  <c:v>2303</c:v>
                </c:pt>
                <c:pt idx="12">
                  <c:v>4435</c:v>
                </c:pt>
                <c:pt idx="13">
                  <c:v>1766</c:v>
                </c:pt>
                <c:pt idx="14">
                  <c:v>2785</c:v>
                </c:pt>
                <c:pt idx="15">
                  <c:v>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BD-4CFE-8826-CDE7032965BB}"/>
            </c:ext>
          </c:extLst>
        </c:ser>
        <c:ser>
          <c:idx val="1"/>
          <c:order val="1"/>
          <c:tx>
            <c:v>계획</c:v>
          </c:tx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3166</c:v>
                </c:pt>
                <c:pt idx="2">
                  <c:v>2103</c:v>
                </c:pt>
                <c:pt idx="3">
                  <c:v>1152</c:v>
                </c:pt>
                <c:pt idx="4">
                  <c:v>5217</c:v>
                </c:pt>
                <c:pt idx="5">
                  <c:v>12082</c:v>
                </c:pt>
                <c:pt idx="6">
                  <c:v>4017</c:v>
                </c:pt>
                <c:pt idx="7">
                  <c:v>650</c:v>
                </c:pt>
                <c:pt idx="8">
                  <c:v>308</c:v>
                </c:pt>
                <c:pt idx="9">
                  <c:v>5080</c:v>
                </c:pt>
                <c:pt idx="10">
                  <c:v>3433</c:v>
                </c:pt>
                <c:pt idx="11">
                  <c:v>2303</c:v>
                </c:pt>
                <c:pt idx="12">
                  <c:v>4435</c:v>
                </c:pt>
                <c:pt idx="13">
                  <c:v>1766</c:v>
                </c:pt>
                <c:pt idx="14">
                  <c:v>2785</c:v>
                </c:pt>
                <c:pt idx="15">
                  <c:v>2211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BD-4CFE-8826-CDE703296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'05'!$AD$6:$AD$22</c:f>
              <c:strCache>
                <c:ptCount val="17"/>
                <c:pt idx="0">
                  <c:v>0%</c:v>
                </c:pt>
                <c:pt idx="1">
                  <c:v>67%</c:v>
                </c:pt>
                <c:pt idx="2">
                  <c:v>46%</c:v>
                </c:pt>
                <c:pt idx="3">
                  <c:v>25%</c:v>
                </c:pt>
                <c:pt idx="4">
                  <c:v>92%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46%</c:v>
                </c:pt>
                <c:pt idx="12">
                  <c:v>88%</c:v>
                </c:pt>
                <c:pt idx="13">
                  <c:v>46%</c:v>
                </c:pt>
                <c:pt idx="14">
                  <c:v>50%</c:v>
                </c:pt>
                <c:pt idx="15">
                  <c:v>50%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'05'!$AD$6:$AD$22</c:f>
              <c:numCache>
                <c:formatCode>0%</c:formatCode>
                <c:ptCount val="17"/>
                <c:pt idx="0">
                  <c:v>0</c:v>
                </c:pt>
                <c:pt idx="1">
                  <c:v>0.66666666666666663</c:v>
                </c:pt>
                <c:pt idx="2">
                  <c:v>0.45833333333333331</c:v>
                </c:pt>
                <c:pt idx="3">
                  <c:v>0.25</c:v>
                </c:pt>
                <c:pt idx="4">
                  <c:v>0.91666666666666663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0.45833333333333331</c:v>
                </c:pt>
                <c:pt idx="12">
                  <c:v>0.875</c:v>
                </c:pt>
                <c:pt idx="13">
                  <c:v>0.45833333333333331</c:v>
                </c:pt>
                <c:pt idx="14">
                  <c:v>0.5</c:v>
                </c:pt>
                <c:pt idx="15">
                  <c:v>0.5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493B-A8F0-F5787E1F806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C2-493B-A8F0-F5787E1F806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'05'!$D$6:$D$22</c:f>
              <c:strCache>
                <c:ptCount val="16"/>
                <c:pt idx="1">
                  <c:v>SLIDER</c:v>
                </c:pt>
                <c:pt idx="2">
                  <c:v>plunger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'05'!$AE$6:$AE$22</c:f>
              <c:numCache>
                <c:formatCode>0%</c:formatCode>
                <c:ptCount val="17"/>
                <c:pt idx="0">
                  <c:v>0.4044117647058823</c:v>
                </c:pt>
                <c:pt idx="1">
                  <c:v>0.4044117647058823</c:v>
                </c:pt>
                <c:pt idx="2">
                  <c:v>0.4044117647058823</c:v>
                </c:pt>
                <c:pt idx="3">
                  <c:v>0.4044117647058823</c:v>
                </c:pt>
                <c:pt idx="4">
                  <c:v>0.4044117647058823</c:v>
                </c:pt>
                <c:pt idx="5">
                  <c:v>0.4044117647058823</c:v>
                </c:pt>
                <c:pt idx="6">
                  <c:v>0.4044117647058823</c:v>
                </c:pt>
                <c:pt idx="7">
                  <c:v>0.4044117647058823</c:v>
                </c:pt>
                <c:pt idx="8">
                  <c:v>0.4044117647058823</c:v>
                </c:pt>
                <c:pt idx="9">
                  <c:v>0.4044117647058823</c:v>
                </c:pt>
                <c:pt idx="10">
                  <c:v>0.4044117647058823</c:v>
                </c:pt>
                <c:pt idx="11">
                  <c:v>0.4044117647058823</c:v>
                </c:pt>
                <c:pt idx="12">
                  <c:v>0.4044117647058823</c:v>
                </c:pt>
                <c:pt idx="13">
                  <c:v>0.4044117647058823</c:v>
                </c:pt>
                <c:pt idx="14">
                  <c:v>0.4044117647058823</c:v>
                </c:pt>
                <c:pt idx="15">
                  <c:v>0.4044117647058823</c:v>
                </c:pt>
                <c:pt idx="16">
                  <c:v>0.4044117647058823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C2-493B-A8F0-F5787E1F8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E35-4EC9-A9AE-D98E3E6249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35-4EC9-A9AE-D98E3E624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E35-4EC9-A9AE-D98E3E6249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5-4EC9-A9AE-D98E3E624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'06'!$L$6:$L$24</c:f>
              <c:numCache>
                <c:formatCode>_(* #,##0_);_(* \(#,##0\);_(* "-"_);_(@_)</c:formatCode>
                <c:ptCount val="19"/>
                <c:pt idx="1">
                  <c:v>1211</c:v>
                </c:pt>
                <c:pt idx="2">
                  <c:v>1372</c:v>
                </c:pt>
                <c:pt idx="3">
                  <c:v>143</c:v>
                </c:pt>
                <c:pt idx="4">
                  <c:v>2455</c:v>
                </c:pt>
                <c:pt idx="5">
                  <c:v>3028</c:v>
                </c:pt>
                <c:pt idx="6">
                  <c:v>6628</c:v>
                </c:pt>
                <c:pt idx="7">
                  <c:v>7560</c:v>
                </c:pt>
                <c:pt idx="8">
                  <c:v>4326</c:v>
                </c:pt>
                <c:pt idx="12">
                  <c:v>5032</c:v>
                </c:pt>
                <c:pt idx="13">
                  <c:v>1434</c:v>
                </c:pt>
                <c:pt idx="14">
                  <c:v>4652</c:v>
                </c:pt>
                <c:pt idx="15">
                  <c:v>2413</c:v>
                </c:pt>
                <c:pt idx="16">
                  <c:v>930</c:v>
                </c:pt>
                <c:pt idx="17">
                  <c:v>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5-4381-91F5-E7BEF5A17042}"/>
            </c:ext>
          </c:extLst>
        </c:ser>
        <c:ser>
          <c:idx val="1"/>
          <c:order val="1"/>
          <c:tx>
            <c:v>계획</c:v>
          </c:tx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'06'!$J$6:$J$24</c:f>
              <c:numCache>
                <c:formatCode>_(* #,##0_);_(* \(#,##0\);_(* "-"_);_(@_)</c:formatCode>
                <c:ptCount val="19"/>
                <c:pt idx="0">
                  <c:v>5160</c:v>
                </c:pt>
                <c:pt idx="1">
                  <c:v>1211</c:v>
                </c:pt>
                <c:pt idx="2">
                  <c:v>1372</c:v>
                </c:pt>
                <c:pt idx="3">
                  <c:v>143</c:v>
                </c:pt>
                <c:pt idx="4">
                  <c:v>2455</c:v>
                </c:pt>
                <c:pt idx="5">
                  <c:v>3028</c:v>
                </c:pt>
                <c:pt idx="6">
                  <c:v>6628</c:v>
                </c:pt>
                <c:pt idx="7">
                  <c:v>7560</c:v>
                </c:pt>
                <c:pt idx="8">
                  <c:v>4326</c:v>
                </c:pt>
                <c:pt idx="9">
                  <c:v>650</c:v>
                </c:pt>
                <c:pt idx="10">
                  <c:v>308</c:v>
                </c:pt>
                <c:pt idx="11">
                  <c:v>5080</c:v>
                </c:pt>
                <c:pt idx="12">
                  <c:v>5032</c:v>
                </c:pt>
                <c:pt idx="13">
                  <c:v>1434</c:v>
                </c:pt>
                <c:pt idx="14">
                  <c:v>4652</c:v>
                </c:pt>
                <c:pt idx="15">
                  <c:v>2413</c:v>
                </c:pt>
                <c:pt idx="16">
                  <c:v>930</c:v>
                </c:pt>
                <c:pt idx="17">
                  <c:v>5318</c:v>
                </c:pt>
                <c:pt idx="18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5-4381-91F5-E7BEF5A17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'06'!$AD$6:$AD$24</c:f>
              <c:strCache>
                <c:ptCount val="19"/>
                <c:pt idx="0">
                  <c:v>0%</c:v>
                </c:pt>
                <c:pt idx="1">
                  <c:v>25%</c:v>
                </c:pt>
                <c:pt idx="2">
                  <c:v>42%</c:v>
                </c:pt>
                <c:pt idx="3">
                  <c:v>8%</c:v>
                </c:pt>
                <c:pt idx="4">
                  <c:v>46%</c:v>
                </c:pt>
                <c:pt idx="5">
                  <c:v>71%</c:v>
                </c:pt>
                <c:pt idx="6">
                  <c:v>100%</c:v>
                </c:pt>
                <c:pt idx="7">
                  <c:v>58%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33%</c:v>
                </c:pt>
                <c:pt idx="14">
                  <c:v>92%</c:v>
                </c:pt>
                <c:pt idx="15">
                  <c:v>71%</c:v>
                </c:pt>
                <c:pt idx="16">
                  <c:v>21%</c:v>
                </c:pt>
                <c:pt idx="17">
                  <c:v>50%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'06'!$AD$6:$AD$24</c:f>
              <c:numCache>
                <c:formatCode>0%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0.41666666666666669</c:v>
                </c:pt>
                <c:pt idx="3">
                  <c:v>8.3333333333333329E-2</c:v>
                </c:pt>
                <c:pt idx="4">
                  <c:v>0.45833333333333331</c:v>
                </c:pt>
                <c:pt idx="5">
                  <c:v>0.70833333333333337</c:v>
                </c:pt>
                <c:pt idx="6">
                  <c:v>1</c:v>
                </c:pt>
                <c:pt idx="7">
                  <c:v>0.58333333333333337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0.33333333333333331</c:v>
                </c:pt>
                <c:pt idx="14">
                  <c:v>0.91666666666666663</c:v>
                </c:pt>
                <c:pt idx="15">
                  <c:v>0.70833333333333337</c:v>
                </c:pt>
                <c:pt idx="16">
                  <c:v>0.20833333333333334</c:v>
                </c:pt>
                <c:pt idx="17">
                  <c:v>0.5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B-4E0E-85A0-C1A64974791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9B-4E0E-85A0-C1A6497479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'06'!$AE$6:$AE$24</c:f>
              <c:numCache>
                <c:formatCode>0%</c:formatCode>
                <c:ptCount val="19"/>
                <c:pt idx="0">
                  <c:v>0.425438596491228</c:v>
                </c:pt>
                <c:pt idx="1">
                  <c:v>0.425438596491228</c:v>
                </c:pt>
                <c:pt idx="2">
                  <c:v>0.425438596491228</c:v>
                </c:pt>
                <c:pt idx="3">
                  <c:v>0.425438596491228</c:v>
                </c:pt>
                <c:pt idx="4">
                  <c:v>0.425438596491228</c:v>
                </c:pt>
                <c:pt idx="5">
                  <c:v>0.425438596491228</c:v>
                </c:pt>
                <c:pt idx="6">
                  <c:v>0.425438596491228</c:v>
                </c:pt>
                <c:pt idx="7">
                  <c:v>0.425438596491228</c:v>
                </c:pt>
                <c:pt idx="8">
                  <c:v>0.425438596491228</c:v>
                </c:pt>
                <c:pt idx="9">
                  <c:v>0.425438596491228</c:v>
                </c:pt>
                <c:pt idx="10">
                  <c:v>0.425438596491228</c:v>
                </c:pt>
                <c:pt idx="11">
                  <c:v>0.425438596491228</c:v>
                </c:pt>
                <c:pt idx="12">
                  <c:v>0.425438596491228</c:v>
                </c:pt>
                <c:pt idx="13">
                  <c:v>0.425438596491228</c:v>
                </c:pt>
                <c:pt idx="14">
                  <c:v>0.425438596491228</c:v>
                </c:pt>
                <c:pt idx="15">
                  <c:v>0.425438596491228</c:v>
                </c:pt>
                <c:pt idx="16">
                  <c:v>0.425438596491228</c:v>
                </c:pt>
                <c:pt idx="17">
                  <c:v>0.425438596491228</c:v>
                </c:pt>
                <c:pt idx="18">
                  <c:v>0.425438596491228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9B-4E0E-85A0-C1A649747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'06'!$L$6:$L$24</c:f>
              <c:numCache>
                <c:formatCode>_(* #,##0_);_(* \(#,##0\);_(* "-"_);_(@_)</c:formatCode>
                <c:ptCount val="19"/>
                <c:pt idx="1">
                  <c:v>1211</c:v>
                </c:pt>
                <c:pt idx="2">
                  <c:v>1372</c:v>
                </c:pt>
                <c:pt idx="3">
                  <c:v>143</c:v>
                </c:pt>
                <c:pt idx="4">
                  <c:v>2455</c:v>
                </c:pt>
                <c:pt idx="5">
                  <c:v>3028</c:v>
                </c:pt>
                <c:pt idx="6">
                  <c:v>6628</c:v>
                </c:pt>
                <c:pt idx="7">
                  <c:v>7560</c:v>
                </c:pt>
                <c:pt idx="8">
                  <c:v>4326</c:v>
                </c:pt>
                <c:pt idx="12">
                  <c:v>5032</c:v>
                </c:pt>
                <c:pt idx="13">
                  <c:v>1434</c:v>
                </c:pt>
                <c:pt idx="14">
                  <c:v>4652</c:v>
                </c:pt>
                <c:pt idx="15">
                  <c:v>2413</c:v>
                </c:pt>
                <c:pt idx="16">
                  <c:v>930</c:v>
                </c:pt>
                <c:pt idx="17">
                  <c:v>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8-4F40-BD1D-D8BAED2F3FF2}"/>
            </c:ext>
          </c:extLst>
        </c:ser>
        <c:ser>
          <c:idx val="1"/>
          <c:order val="1"/>
          <c:tx>
            <c:v>계획</c:v>
          </c:tx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'06'!$J$6:$J$24</c:f>
              <c:numCache>
                <c:formatCode>_(* #,##0_);_(* \(#,##0\);_(* "-"_);_(@_)</c:formatCode>
                <c:ptCount val="19"/>
                <c:pt idx="0">
                  <c:v>5160</c:v>
                </c:pt>
                <c:pt idx="1">
                  <c:v>1211</c:v>
                </c:pt>
                <c:pt idx="2">
                  <c:v>1372</c:v>
                </c:pt>
                <c:pt idx="3">
                  <c:v>143</c:v>
                </c:pt>
                <c:pt idx="4">
                  <c:v>2455</c:v>
                </c:pt>
                <c:pt idx="5">
                  <c:v>3028</c:v>
                </c:pt>
                <c:pt idx="6">
                  <c:v>6628</c:v>
                </c:pt>
                <c:pt idx="7">
                  <c:v>7560</c:v>
                </c:pt>
                <c:pt idx="8">
                  <c:v>4326</c:v>
                </c:pt>
                <c:pt idx="9">
                  <c:v>650</c:v>
                </c:pt>
                <c:pt idx="10">
                  <c:v>308</c:v>
                </c:pt>
                <c:pt idx="11">
                  <c:v>5080</c:v>
                </c:pt>
                <c:pt idx="12">
                  <c:v>5032</c:v>
                </c:pt>
                <c:pt idx="13">
                  <c:v>1434</c:v>
                </c:pt>
                <c:pt idx="14">
                  <c:v>4652</c:v>
                </c:pt>
                <c:pt idx="15">
                  <c:v>2413</c:v>
                </c:pt>
                <c:pt idx="16">
                  <c:v>930</c:v>
                </c:pt>
                <c:pt idx="17">
                  <c:v>5318</c:v>
                </c:pt>
                <c:pt idx="18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8-4F40-BD1D-D8BAED2F3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'06'!$AD$6:$AD$24</c:f>
              <c:strCache>
                <c:ptCount val="19"/>
                <c:pt idx="0">
                  <c:v>0%</c:v>
                </c:pt>
                <c:pt idx="1">
                  <c:v>25%</c:v>
                </c:pt>
                <c:pt idx="2">
                  <c:v>42%</c:v>
                </c:pt>
                <c:pt idx="3">
                  <c:v>8%</c:v>
                </c:pt>
                <c:pt idx="4">
                  <c:v>46%</c:v>
                </c:pt>
                <c:pt idx="5">
                  <c:v>71%</c:v>
                </c:pt>
                <c:pt idx="6">
                  <c:v>100%</c:v>
                </c:pt>
                <c:pt idx="7">
                  <c:v>58%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33%</c:v>
                </c:pt>
                <c:pt idx="14">
                  <c:v>92%</c:v>
                </c:pt>
                <c:pt idx="15">
                  <c:v>71%</c:v>
                </c:pt>
                <c:pt idx="16">
                  <c:v>21%</c:v>
                </c:pt>
                <c:pt idx="17">
                  <c:v>50%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'06'!$AD$6:$AD$24</c:f>
              <c:numCache>
                <c:formatCode>0%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0.41666666666666669</c:v>
                </c:pt>
                <c:pt idx="3">
                  <c:v>8.3333333333333329E-2</c:v>
                </c:pt>
                <c:pt idx="4">
                  <c:v>0.45833333333333331</c:v>
                </c:pt>
                <c:pt idx="5">
                  <c:v>0.70833333333333337</c:v>
                </c:pt>
                <c:pt idx="6">
                  <c:v>1</c:v>
                </c:pt>
                <c:pt idx="7">
                  <c:v>0.58333333333333337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0.33333333333333331</c:v>
                </c:pt>
                <c:pt idx="14">
                  <c:v>0.91666666666666663</c:v>
                </c:pt>
                <c:pt idx="15">
                  <c:v>0.70833333333333337</c:v>
                </c:pt>
                <c:pt idx="16">
                  <c:v>0.20833333333333334</c:v>
                </c:pt>
                <c:pt idx="17">
                  <c:v>0.5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0-4E58-9871-19022C2F93F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90-4E58-9871-19022C2F93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'06'!$D$6:$D$24</c:f>
              <c:strCache>
                <c:ptCount val="18"/>
                <c:pt idx="1">
                  <c:v>F/A</c:v>
                </c:pt>
                <c:pt idx="2">
                  <c:v>TOP</c:v>
                </c:pt>
                <c:pt idx="3">
                  <c:v>BASE</c:v>
                </c:pt>
                <c:pt idx="4">
                  <c:v>BASE</c:v>
                </c:pt>
                <c:pt idx="5">
                  <c:v>ACTUATOR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F/A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'06'!$AE$6:$AE$24</c:f>
              <c:numCache>
                <c:formatCode>0%</c:formatCode>
                <c:ptCount val="19"/>
                <c:pt idx="0">
                  <c:v>0.425438596491228</c:v>
                </c:pt>
                <c:pt idx="1">
                  <c:v>0.425438596491228</c:v>
                </c:pt>
                <c:pt idx="2">
                  <c:v>0.425438596491228</c:v>
                </c:pt>
                <c:pt idx="3">
                  <c:v>0.425438596491228</c:v>
                </c:pt>
                <c:pt idx="4">
                  <c:v>0.425438596491228</c:v>
                </c:pt>
                <c:pt idx="5">
                  <c:v>0.425438596491228</c:v>
                </c:pt>
                <c:pt idx="6">
                  <c:v>0.425438596491228</c:v>
                </c:pt>
                <c:pt idx="7">
                  <c:v>0.425438596491228</c:v>
                </c:pt>
                <c:pt idx="8">
                  <c:v>0.425438596491228</c:v>
                </c:pt>
                <c:pt idx="9">
                  <c:v>0.425438596491228</c:v>
                </c:pt>
                <c:pt idx="10">
                  <c:v>0.425438596491228</c:v>
                </c:pt>
                <c:pt idx="11">
                  <c:v>0.425438596491228</c:v>
                </c:pt>
                <c:pt idx="12">
                  <c:v>0.425438596491228</c:v>
                </c:pt>
                <c:pt idx="13">
                  <c:v>0.425438596491228</c:v>
                </c:pt>
                <c:pt idx="14">
                  <c:v>0.425438596491228</c:v>
                </c:pt>
                <c:pt idx="15">
                  <c:v>0.425438596491228</c:v>
                </c:pt>
                <c:pt idx="16">
                  <c:v>0.425438596491228</c:v>
                </c:pt>
                <c:pt idx="17">
                  <c:v>0.425438596491228</c:v>
                </c:pt>
                <c:pt idx="18">
                  <c:v>0.425438596491228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90-4E58-9871-19022C2F9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BBA-416F-8E0F-6E718030E3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A-416F-8E0F-6E718030E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BBA-416F-8E0F-6E718030E3D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BA-416F-8E0F-6E718030E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3705</c:v>
                </c:pt>
                <c:pt idx="3">
                  <c:v>3972</c:v>
                </c:pt>
                <c:pt idx="4">
                  <c:v>5843</c:v>
                </c:pt>
                <c:pt idx="6">
                  <c:v>505</c:v>
                </c:pt>
                <c:pt idx="7">
                  <c:v>3216</c:v>
                </c:pt>
                <c:pt idx="11">
                  <c:v>5784</c:v>
                </c:pt>
                <c:pt idx="12">
                  <c:v>1302</c:v>
                </c:pt>
                <c:pt idx="13">
                  <c:v>2675</c:v>
                </c:pt>
                <c:pt idx="14">
                  <c:v>4219</c:v>
                </c:pt>
                <c:pt idx="15">
                  <c:v>5413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41-4E46-BAD8-708ACDFA64C2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1211</c:v>
                </c:pt>
                <c:pt idx="2">
                  <c:v>3705</c:v>
                </c:pt>
                <c:pt idx="3">
                  <c:v>3972</c:v>
                </c:pt>
                <c:pt idx="4">
                  <c:v>5843</c:v>
                </c:pt>
                <c:pt idx="5">
                  <c:v>7560</c:v>
                </c:pt>
                <c:pt idx="6">
                  <c:v>505</c:v>
                </c:pt>
                <c:pt idx="7">
                  <c:v>3216</c:v>
                </c:pt>
                <c:pt idx="8">
                  <c:v>650</c:v>
                </c:pt>
                <c:pt idx="9">
                  <c:v>308</c:v>
                </c:pt>
                <c:pt idx="10">
                  <c:v>5080</c:v>
                </c:pt>
                <c:pt idx="11">
                  <c:v>5784</c:v>
                </c:pt>
                <c:pt idx="12">
                  <c:v>1302</c:v>
                </c:pt>
                <c:pt idx="13">
                  <c:v>2675</c:v>
                </c:pt>
                <c:pt idx="14">
                  <c:v>4219</c:v>
                </c:pt>
                <c:pt idx="15">
                  <c:v>5413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41-4E46-BAD8-708ACDFA6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83%</c:v>
                </c:pt>
                <c:pt idx="4">
                  <c:v>92%</c:v>
                </c:pt>
                <c:pt idx="5">
                  <c:v>0%</c:v>
                </c:pt>
                <c:pt idx="6">
                  <c:v>8%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29%</c:v>
                </c:pt>
                <c:pt idx="13">
                  <c:v>58%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0</c:v>
                </c:pt>
                <c:pt idx="6">
                  <c:v>8.3333333333333329E-2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0.29166666666666669</c:v>
                </c:pt>
                <c:pt idx="13">
                  <c:v>0.58333333333333337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4-4D80-B382-7AC447FFE9F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A4-4D80-B382-7AC447FFE9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0.4264705882352941</c:v>
                </c:pt>
                <c:pt idx="1">
                  <c:v>0.4264705882352941</c:v>
                </c:pt>
                <c:pt idx="2">
                  <c:v>0.4264705882352941</c:v>
                </c:pt>
                <c:pt idx="3">
                  <c:v>0.4264705882352941</c:v>
                </c:pt>
                <c:pt idx="4">
                  <c:v>0.4264705882352941</c:v>
                </c:pt>
                <c:pt idx="5">
                  <c:v>0.4264705882352941</c:v>
                </c:pt>
                <c:pt idx="6">
                  <c:v>0.4264705882352941</c:v>
                </c:pt>
                <c:pt idx="7">
                  <c:v>0.4264705882352941</c:v>
                </c:pt>
                <c:pt idx="8">
                  <c:v>0.4264705882352941</c:v>
                </c:pt>
                <c:pt idx="9">
                  <c:v>0.4264705882352941</c:v>
                </c:pt>
                <c:pt idx="10">
                  <c:v>0.4264705882352941</c:v>
                </c:pt>
                <c:pt idx="11">
                  <c:v>0.4264705882352941</c:v>
                </c:pt>
                <c:pt idx="12">
                  <c:v>0.4264705882352941</c:v>
                </c:pt>
                <c:pt idx="13">
                  <c:v>0.4264705882352941</c:v>
                </c:pt>
                <c:pt idx="14">
                  <c:v>0.4264705882352941</c:v>
                </c:pt>
                <c:pt idx="15">
                  <c:v>0.4264705882352941</c:v>
                </c:pt>
                <c:pt idx="16">
                  <c:v>0.4264705882352941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4-4D80-B382-7AC447FFE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3705</c:v>
                </c:pt>
                <c:pt idx="3">
                  <c:v>3972</c:v>
                </c:pt>
                <c:pt idx="4">
                  <c:v>5843</c:v>
                </c:pt>
                <c:pt idx="6">
                  <c:v>505</c:v>
                </c:pt>
                <c:pt idx="7">
                  <c:v>3216</c:v>
                </c:pt>
                <c:pt idx="11">
                  <c:v>5784</c:v>
                </c:pt>
                <c:pt idx="12">
                  <c:v>1302</c:v>
                </c:pt>
                <c:pt idx="13">
                  <c:v>2675</c:v>
                </c:pt>
                <c:pt idx="14">
                  <c:v>4219</c:v>
                </c:pt>
                <c:pt idx="15">
                  <c:v>5413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A-442B-96FB-7EBB5280D670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5160</c:v>
                </c:pt>
                <c:pt idx="1">
                  <c:v>1211</c:v>
                </c:pt>
                <c:pt idx="2">
                  <c:v>3705</c:v>
                </c:pt>
                <c:pt idx="3">
                  <c:v>3972</c:v>
                </c:pt>
                <c:pt idx="4">
                  <c:v>5843</c:v>
                </c:pt>
                <c:pt idx="5">
                  <c:v>7560</c:v>
                </c:pt>
                <c:pt idx="6">
                  <c:v>505</c:v>
                </c:pt>
                <c:pt idx="7">
                  <c:v>3216</c:v>
                </c:pt>
                <c:pt idx="8">
                  <c:v>650</c:v>
                </c:pt>
                <c:pt idx="9">
                  <c:v>308</c:v>
                </c:pt>
                <c:pt idx="10">
                  <c:v>5080</c:v>
                </c:pt>
                <c:pt idx="11">
                  <c:v>5784</c:v>
                </c:pt>
                <c:pt idx="12">
                  <c:v>1302</c:v>
                </c:pt>
                <c:pt idx="13">
                  <c:v>2675</c:v>
                </c:pt>
                <c:pt idx="14">
                  <c:v>4219</c:v>
                </c:pt>
                <c:pt idx="15">
                  <c:v>5413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A-442B-96FB-7EBB5280D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83%</c:v>
                </c:pt>
                <c:pt idx="4">
                  <c:v>92%</c:v>
                </c:pt>
                <c:pt idx="5">
                  <c:v>0%</c:v>
                </c:pt>
                <c:pt idx="6">
                  <c:v>8%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29%</c:v>
                </c:pt>
                <c:pt idx="13">
                  <c:v>58%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0</c:v>
                </c:pt>
                <c:pt idx="6">
                  <c:v>8.3333333333333329E-2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0.29166666666666669</c:v>
                </c:pt>
                <c:pt idx="13">
                  <c:v>0.58333333333333337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8-420C-8422-9AB82D6AA1F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C8-420C-8422-9AB82D6AA1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0.4264705882352941</c:v>
                </c:pt>
                <c:pt idx="1">
                  <c:v>0.4264705882352941</c:v>
                </c:pt>
                <c:pt idx="2">
                  <c:v>0.4264705882352941</c:v>
                </c:pt>
                <c:pt idx="3">
                  <c:v>0.4264705882352941</c:v>
                </c:pt>
                <c:pt idx="4">
                  <c:v>0.4264705882352941</c:v>
                </c:pt>
                <c:pt idx="5">
                  <c:v>0.4264705882352941</c:v>
                </c:pt>
                <c:pt idx="6">
                  <c:v>0.4264705882352941</c:v>
                </c:pt>
                <c:pt idx="7">
                  <c:v>0.4264705882352941</c:v>
                </c:pt>
                <c:pt idx="8">
                  <c:v>0.4264705882352941</c:v>
                </c:pt>
                <c:pt idx="9">
                  <c:v>0.4264705882352941</c:v>
                </c:pt>
                <c:pt idx="10">
                  <c:v>0.4264705882352941</c:v>
                </c:pt>
                <c:pt idx="11">
                  <c:v>0.4264705882352941</c:v>
                </c:pt>
                <c:pt idx="12">
                  <c:v>0.4264705882352941</c:v>
                </c:pt>
                <c:pt idx="13">
                  <c:v>0.4264705882352941</c:v>
                </c:pt>
                <c:pt idx="14">
                  <c:v>0.4264705882352941</c:v>
                </c:pt>
                <c:pt idx="15">
                  <c:v>0.4264705882352941</c:v>
                </c:pt>
                <c:pt idx="16">
                  <c:v>0.4264705882352941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8-420C-8422-9AB82D6AA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D55-403D-8F89-EABC3B9BA6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5-403D-8F89-EABC3B9BA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D55-403D-8F89-EABC3B9BA6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5-403D-8F89-EABC3B9BA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'08'!$L$6:$L$25</c:f>
              <c:numCache>
                <c:formatCode>_(* #,##0_);_(* \(#,##0\);_(* "-"_);_(@_)</c:formatCode>
                <c:ptCount val="20"/>
                <c:pt idx="0">
                  <c:v>6328</c:v>
                </c:pt>
                <c:pt idx="2">
                  <c:v>5517</c:v>
                </c:pt>
                <c:pt idx="3">
                  <c:v>1070</c:v>
                </c:pt>
                <c:pt idx="4">
                  <c:v>2240</c:v>
                </c:pt>
                <c:pt idx="5">
                  <c:v>2371</c:v>
                </c:pt>
                <c:pt idx="6">
                  <c:v>6693</c:v>
                </c:pt>
                <c:pt idx="8">
                  <c:v>1258</c:v>
                </c:pt>
                <c:pt idx="9">
                  <c:v>1439</c:v>
                </c:pt>
                <c:pt idx="12">
                  <c:v>1535</c:v>
                </c:pt>
                <c:pt idx="13">
                  <c:v>5524</c:v>
                </c:pt>
                <c:pt idx="15">
                  <c:v>4471</c:v>
                </c:pt>
                <c:pt idx="16">
                  <c:v>1550</c:v>
                </c:pt>
                <c:pt idx="17">
                  <c:v>1282</c:v>
                </c:pt>
                <c:pt idx="18">
                  <c:v>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6-47DA-80CF-CA421FE1831B}"/>
            </c:ext>
          </c:extLst>
        </c:ser>
        <c:ser>
          <c:idx val="1"/>
          <c:order val="1"/>
          <c:tx>
            <c:v>계획</c:v>
          </c:tx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'08'!$J$6:$J$25</c:f>
              <c:numCache>
                <c:formatCode>_(* #,##0_);_(* \(#,##0\);_(* "-"_);_(@_)</c:formatCode>
                <c:ptCount val="20"/>
                <c:pt idx="0">
                  <c:v>6328</c:v>
                </c:pt>
                <c:pt idx="1">
                  <c:v>1211</c:v>
                </c:pt>
                <c:pt idx="2">
                  <c:v>5517</c:v>
                </c:pt>
                <c:pt idx="3">
                  <c:v>1070</c:v>
                </c:pt>
                <c:pt idx="4">
                  <c:v>2240</c:v>
                </c:pt>
                <c:pt idx="5">
                  <c:v>2371</c:v>
                </c:pt>
                <c:pt idx="6">
                  <c:v>6693</c:v>
                </c:pt>
                <c:pt idx="7">
                  <c:v>7560</c:v>
                </c:pt>
                <c:pt idx="8">
                  <c:v>1258</c:v>
                </c:pt>
                <c:pt idx="9">
                  <c:v>1439</c:v>
                </c:pt>
                <c:pt idx="10">
                  <c:v>308</c:v>
                </c:pt>
                <c:pt idx="11">
                  <c:v>5080</c:v>
                </c:pt>
                <c:pt idx="12">
                  <c:v>1535</c:v>
                </c:pt>
                <c:pt idx="13">
                  <c:v>5524</c:v>
                </c:pt>
                <c:pt idx="14">
                  <c:v>1302</c:v>
                </c:pt>
                <c:pt idx="15">
                  <c:v>4471</c:v>
                </c:pt>
                <c:pt idx="16">
                  <c:v>1550</c:v>
                </c:pt>
                <c:pt idx="17">
                  <c:v>1282</c:v>
                </c:pt>
                <c:pt idx="18">
                  <c:v>5548</c:v>
                </c:pt>
                <c:pt idx="19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6-47DA-80CF-CA421FE18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'08'!$AD$6:$AD$25</c:f>
              <c:strCache>
                <c:ptCount val="20"/>
                <c:pt idx="0">
                  <c:v>96%</c:v>
                </c:pt>
                <c:pt idx="1">
                  <c:v>0%</c:v>
                </c:pt>
                <c:pt idx="2">
                  <c:v>100%</c:v>
                </c:pt>
                <c:pt idx="3">
                  <c:v>21%</c:v>
                </c:pt>
                <c:pt idx="4">
                  <c:v>25%</c:v>
                </c:pt>
                <c:pt idx="5">
                  <c:v>54%</c:v>
                </c:pt>
                <c:pt idx="6">
                  <c:v>100%</c:v>
                </c:pt>
                <c:pt idx="7">
                  <c:v>0%</c:v>
                </c:pt>
                <c:pt idx="8">
                  <c:v>29%</c:v>
                </c:pt>
                <c:pt idx="9">
                  <c:v>79%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63%</c:v>
                </c:pt>
                <c:pt idx="14">
                  <c:v>0%</c:v>
                </c:pt>
                <c:pt idx="15">
                  <c:v>88%</c:v>
                </c:pt>
                <c:pt idx="16">
                  <c:v>33%</c:v>
                </c:pt>
                <c:pt idx="17">
                  <c:v>29%</c:v>
                </c:pt>
                <c:pt idx="18">
                  <c:v>100%</c:v>
                </c:pt>
                <c:pt idx="19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'08'!$AD$6:$AD$25</c:f>
              <c:numCache>
                <c:formatCode>0%</c:formatCode>
                <c:ptCount val="20"/>
                <c:pt idx="0">
                  <c:v>0.95833333333333337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0.25</c:v>
                </c:pt>
                <c:pt idx="5">
                  <c:v>0.54166666666666663</c:v>
                </c:pt>
                <c:pt idx="6">
                  <c:v>1</c:v>
                </c:pt>
                <c:pt idx="7">
                  <c:v>0</c:v>
                </c:pt>
                <c:pt idx="8">
                  <c:v>0.29166666666666669</c:v>
                </c:pt>
                <c:pt idx="9">
                  <c:v>0.79166666666666663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0.625</c:v>
                </c:pt>
                <c:pt idx="14">
                  <c:v>0</c:v>
                </c:pt>
                <c:pt idx="15">
                  <c:v>0.875</c:v>
                </c:pt>
                <c:pt idx="16">
                  <c:v>0.33333333333333331</c:v>
                </c:pt>
                <c:pt idx="17">
                  <c:v>0.29166666666666669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A-4C43-988E-8C36077B67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7A-4C43-988E-8C36077B67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'08'!$AE$6:$AE$25</c:f>
              <c:numCache>
                <c:formatCode>0%</c:formatCode>
                <c:ptCount val="20"/>
                <c:pt idx="0">
                  <c:v>0.42291666666666672</c:v>
                </c:pt>
                <c:pt idx="1">
                  <c:v>0.42291666666666672</c:v>
                </c:pt>
                <c:pt idx="2">
                  <c:v>0.42291666666666672</c:v>
                </c:pt>
                <c:pt idx="3">
                  <c:v>0.42291666666666672</c:v>
                </c:pt>
                <c:pt idx="4">
                  <c:v>0.42291666666666672</c:v>
                </c:pt>
                <c:pt idx="5">
                  <c:v>0.42291666666666672</c:v>
                </c:pt>
                <c:pt idx="6">
                  <c:v>0.42291666666666672</c:v>
                </c:pt>
                <c:pt idx="7">
                  <c:v>0.42291666666666672</c:v>
                </c:pt>
                <c:pt idx="8">
                  <c:v>0.42291666666666672</c:v>
                </c:pt>
                <c:pt idx="9">
                  <c:v>0.42291666666666672</c:v>
                </c:pt>
                <c:pt idx="10">
                  <c:v>0.42291666666666672</c:v>
                </c:pt>
                <c:pt idx="11">
                  <c:v>0.42291666666666672</c:v>
                </c:pt>
                <c:pt idx="12">
                  <c:v>0.42291666666666672</c:v>
                </c:pt>
                <c:pt idx="13">
                  <c:v>0.42291666666666672</c:v>
                </c:pt>
                <c:pt idx="14">
                  <c:v>0.42291666666666672</c:v>
                </c:pt>
                <c:pt idx="15">
                  <c:v>0.42291666666666672</c:v>
                </c:pt>
                <c:pt idx="16">
                  <c:v>0.42291666666666672</c:v>
                </c:pt>
                <c:pt idx="17">
                  <c:v>0.42291666666666672</c:v>
                </c:pt>
                <c:pt idx="18">
                  <c:v>0.42291666666666672</c:v>
                </c:pt>
                <c:pt idx="19">
                  <c:v>0.42291666666666672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A-4C43-988E-8C36077B6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'08'!$L$6:$L$25</c:f>
              <c:numCache>
                <c:formatCode>_(* #,##0_);_(* \(#,##0\);_(* "-"_);_(@_)</c:formatCode>
                <c:ptCount val="20"/>
                <c:pt idx="0">
                  <c:v>6328</c:v>
                </c:pt>
                <c:pt idx="2">
                  <c:v>5517</c:v>
                </c:pt>
                <c:pt idx="3">
                  <c:v>1070</c:v>
                </c:pt>
                <c:pt idx="4">
                  <c:v>2240</c:v>
                </c:pt>
                <c:pt idx="5">
                  <c:v>2371</c:v>
                </c:pt>
                <c:pt idx="6">
                  <c:v>6693</c:v>
                </c:pt>
                <c:pt idx="8">
                  <c:v>1258</c:v>
                </c:pt>
                <c:pt idx="9">
                  <c:v>1439</c:v>
                </c:pt>
                <c:pt idx="12">
                  <c:v>1535</c:v>
                </c:pt>
                <c:pt idx="13">
                  <c:v>5524</c:v>
                </c:pt>
                <c:pt idx="15">
                  <c:v>4471</c:v>
                </c:pt>
                <c:pt idx="16">
                  <c:v>1550</c:v>
                </c:pt>
                <c:pt idx="17">
                  <c:v>1282</c:v>
                </c:pt>
                <c:pt idx="18">
                  <c:v>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D-4AD4-898E-DB3E411F0CA6}"/>
            </c:ext>
          </c:extLst>
        </c:ser>
        <c:ser>
          <c:idx val="1"/>
          <c:order val="1"/>
          <c:tx>
            <c:v>계획</c:v>
          </c:tx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'08'!$J$6:$J$25</c:f>
              <c:numCache>
                <c:formatCode>_(* #,##0_);_(* \(#,##0\);_(* "-"_);_(@_)</c:formatCode>
                <c:ptCount val="20"/>
                <c:pt idx="0">
                  <c:v>6328</c:v>
                </c:pt>
                <c:pt idx="1">
                  <c:v>1211</c:v>
                </c:pt>
                <c:pt idx="2">
                  <c:v>5517</c:v>
                </c:pt>
                <c:pt idx="3">
                  <c:v>1070</c:v>
                </c:pt>
                <c:pt idx="4">
                  <c:v>2240</c:v>
                </c:pt>
                <c:pt idx="5">
                  <c:v>2371</c:v>
                </c:pt>
                <c:pt idx="6">
                  <c:v>6693</c:v>
                </c:pt>
                <c:pt idx="7">
                  <c:v>7560</c:v>
                </c:pt>
                <c:pt idx="8">
                  <c:v>1258</c:v>
                </c:pt>
                <c:pt idx="9">
                  <c:v>1439</c:v>
                </c:pt>
                <c:pt idx="10">
                  <c:v>308</c:v>
                </c:pt>
                <c:pt idx="11">
                  <c:v>5080</c:v>
                </c:pt>
                <c:pt idx="12">
                  <c:v>1535</c:v>
                </c:pt>
                <c:pt idx="13">
                  <c:v>5524</c:v>
                </c:pt>
                <c:pt idx="14">
                  <c:v>1302</c:v>
                </c:pt>
                <c:pt idx="15">
                  <c:v>4471</c:v>
                </c:pt>
                <c:pt idx="16">
                  <c:v>1550</c:v>
                </c:pt>
                <c:pt idx="17">
                  <c:v>1282</c:v>
                </c:pt>
                <c:pt idx="18">
                  <c:v>5548</c:v>
                </c:pt>
                <c:pt idx="19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D-4AD4-898E-DB3E411F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'08'!$AD$6:$AD$25</c:f>
              <c:strCache>
                <c:ptCount val="20"/>
                <c:pt idx="0">
                  <c:v>96%</c:v>
                </c:pt>
                <c:pt idx="1">
                  <c:v>0%</c:v>
                </c:pt>
                <c:pt idx="2">
                  <c:v>100%</c:v>
                </c:pt>
                <c:pt idx="3">
                  <c:v>21%</c:v>
                </c:pt>
                <c:pt idx="4">
                  <c:v>25%</c:v>
                </c:pt>
                <c:pt idx="5">
                  <c:v>54%</c:v>
                </c:pt>
                <c:pt idx="6">
                  <c:v>100%</c:v>
                </c:pt>
                <c:pt idx="7">
                  <c:v>0%</c:v>
                </c:pt>
                <c:pt idx="8">
                  <c:v>29%</c:v>
                </c:pt>
                <c:pt idx="9">
                  <c:v>79%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63%</c:v>
                </c:pt>
                <c:pt idx="14">
                  <c:v>0%</c:v>
                </c:pt>
                <c:pt idx="15">
                  <c:v>88%</c:v>
                </c:pt>
                <c:pt idx="16">
                  <c:v>33%</c:v>
                </c:pt>
                <c:pt idx="17">
                  <c:v>29%</c:v>
                </c:pt>
                <c:pt idx="18">
                  <c:v>100%</c:v>
                </c:pt>
                <c:pt idx="19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'08'!$AD$6:$AD$25</c:f>
              <c:numCache>
                <c:formatCode>0%</c:formatCode>
                <c:ptCount val="20"/>
                <c:pt idx="0">
                  <c:v>0.95833333333333337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0.25</c:v>
                </c:pt>
                <c:pt idx="5">
                  <c:v>0.54166666666666663</c:v>
                </c:pt>
                <c:pt idx="6">
                  <c:v>1</c:v>
                </c:pt>
                <c:pt idx="7">
                  <c:v>0</c:v>
                </c:pt>
                <c:pt idx="8">
                  <c:v>0.29166666666666669</c:v>
                </c:pt>
                <c:pt idx="9">
                  <c:v>0.79166666666666663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0.625</c:v>
                </c:pt>
                <c:pt idx="14">
                  <c:v>0</c:v>
                </c:pt>
                <c:pt idx="15">
                  <c:v>0.875</c:v>
                </c:pt>
                <c:pt idx="16">
                  <c:v>0.33333333333333331</c:v>
                </c:pt>
                <c:pt idx="17">
                  <c:v>0.29166666666666669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C-47BD-AEA6-746D86931BC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FC-47BD-AEA6-746D86931B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'08'!$D$6:$D$25</c:f>
              <c:strCache>
                <c:ptCount val="19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ACTUATOR</c:v>
                </c:pt>
                <c:pt idx="4">
                  <c:v>LATCH</c:v>
                </c:pt>
                <c:pt idx="5">
                  <c:v>COVER</c:v>
                </c:pt>
                <c:pt idx="6">
                  <c:v>STOPPER</c:v>
                </c:pt>
                <c:pt idx="7">
                  <c:v>PLATE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SLIDER</c:v>
                </c:pt>
                <c:pt idx="13">
                  <c:v>SEPARATOR</c:v>
                </c:pt>
                <c:pt idx="14">
                  <c:v>ADAPTER</c:v>
                </c:pt>
                <c:pt idx="15">
                  <c:v>BASE</c:v>
                </c:pt>
                <c:pt idx="16">
                  <c:v>BASE</c:v>
                </c:pt>
                <c:pt idx="17">
                  <c:v>BOTTOM</c:v>
                </c:pt>
                <c:pt idx="18">
                  <c:v>BASE</c:v>
                </c:pt>
              </c:strCache>
            </c:strRef>
          </c:cat>
          <c:val>
            <c:numRef>
              <c:f>'08'!$AE$6:$AE$25</c:f>
              <c:numCache>
                <c:formatCode>0%</c:formatCode>
                <c:ptCount val="20"/>
                <c:pt idx="0">
                  <c:v>0.42291666666666672</c:v>
                </c:pt>
                <c:pt idx="1">
                  <c:v>0.42291666666666672</c:v>
                </c:pt>
                <c:pt idx="2">
                  <c:v>0.42291666666666672</c:v>
                </c:pt>
                <c:pt idx="3">
                  <c:v>0.42291666666666672</c:v>
                </c:pt>
                <c:pt idx="4">
                  <c:v>0.42291666666666672</c:v>
                </c:pt>
                <c:pt idx="5">
                  <c:v>0.42291666666666672</c:v>
                </c:pt>
                <c:pt idx="6">
                  <c:v>0.42291666666666672</c:v>
                </c:pt>
                <c:pt idx="7">
                  <c:v>0.42291666666666672</c:v>
                </c:pt>
                <c:pt idx="8">
                  <c:v>0.42291666666666672</c:v>
                </c:pt>
                <c:pt idx="9">
                  <c:v>0.42291666666666672</c:v>
                </c:pt>
                <c:pt idx="10">
                  <c:v>0.42291666666666672</c:v>
                </c:pt>
                <c:pt idx="11">
                  <c:v>0.42291666666666672</c:v>
                </c:pt>
                <c:pt idx="12">
                  <c:v>0.42291666666666672</c:v>
                </c:pt>
                <c:pt idx="13">
                  <c:v>0.42291666666666672</c:v>
                </c:pt>
                <c:pt idx="14">
                  <c:v>0.42291666666666672</c:v>
                </c:pt>
                <c:pt idx="15">
                  <c:v>0.42291666666666672</c:v>
                </c:pt>
                <c:pt idx="16">
                  <c:v>0.42291666666666672</c:v>
                </c:pt>
                <c:pt idx="17">
                  <c:v>0.42291666666666672</c:v>
                </c:pt>
                <c:pt idx="18">
                  <c:v>0.42291666666666672</c:v>
                </c:pt>
                <c:pt idx="19">
                  <c:v>0.42291666666666672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C-47BD-AEA6-746D86931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984-4AC7-A41A-35B6B5E899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4-4AC7-A41A-35B6B5E89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984-4AC7-A41A-35B6B5E899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84-4AC7-A41A-35B6B5E89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6831</c:v>
                </c:pt>
                <c:pt idx="2">
                  <c:v>4868</c:v>
                </c:pt>
                <c:pt idx="4">
                  <c:v>6633</c:v>
                </c:pt>
                <c:pt idx="6">
                  <c:v>3980</c:v>
                </c:pt>
                <c:pt idx="7">
                  <c:v>903</c:v>
                </c:pt>
                <c:pt idx="10">
                  <c:v>8733</c:v>
                </c:pt>
                <c:pt idx="12">
                  <c:v>5923</c:v>
                </c:pt>
                <c:pt idx="13">
                  <c:v>3970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E-417F-845B-A7BBF6F5909C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6831</c:v>
                </c:pt>
                <c:pt idx="1">
                  <c:v>1211</c:v>
                </c:pt>
                <c:pt idx="2">
                  <c:v>4868</c:v>
                </c:pt>
                <c:pt idx="3">
                  <c:v>2371</c:v>
                </c:pt>
                <c:pt idx="4">
                  <c:v>6633</c:v>
                </c:pt>
                <c:pt idx="5">
                  <c:v>7560</c:v>
                </c:pt>
                <c:pt idx="6">
                  <c:v>3980</c:v>
                </c:pt>
                <c:pt idx="7">
                  <c:v>903</c:v>
                </c:pt>
                <c:pt idx="8">
                  <c:v>308</c:v>
                </c:pt>
                <c:pt idx="9">
                  <c:v>5080</c:v>
                </c:pt>
                <c:pt idx="10">
                  <c:v>8733</c:v>
                </c:pt>
                <c:pt idx="11">
                  <c:v>1302</c:v>
                </c:pt>
                <c:pt idx="12">
                  <c:v>5923</c:v>
                </c:pt>
                <c:pt idx="13">
                  <c:v>3970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E-417F-845B-A7BBF6F5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79%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0.79166666666666663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4-498A-B1C7-96D9A5C0BA6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64-498A-B1C7-96D9A5C0BA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0.43229166666666669</c:v>
                </c:pt>
                <c:pt idx="1">
                  <c:v>0.43229166666666669</c:v>
                </c:pt>
                <c:pt idx="2">
                  <c:v>0.43229166666666669</c:v>
                </c:pt>
                <c:pt idx="3">
                  <c:v>0.43229166666666669</c:v>
                </c:pt>
                <c:pt idx="4">
                  <c:v>0.43229166666666669</c:v>
                </c:pt>
                <c:pt idx="5">
                  <c:v>0.43229166666666669</c:v>
                </c:pt>
                <c:pt idx="6">
                  <c:v>0.43229166666666669</c:v>
                </c:pt>
                <c:pt idx="7">
                  <c:v>0.43229166666666669</c:v>
                </c:pt>
                <c:pt idx="8">
                  <c:v>0.43229166666666669</c:v>
                </c:pt>
                <c:pt idx="9">
                  <c:v>0.43229166666666669</c:v>
                </c:pt>
                <c:pt idx="10">
                  <c:v>0.43229166666666669</c:v>
                </c:pt>
                <c:pt idx="11">
                  <c:v>0.43229166666666669</c:v>
                </c:pt>
                <c:pt idx="12">
                  <c:v>0.43229166666666669</c:v>
                </c:pt>
                <c:pt idx="13">
                  <c:v>0.43229166666666669</c:v>
                </c:pt>
                <c:pt idx="14">
                  <c:v>0.43229166666666669</c:v>
                </c:pt>
                <c:pt idx="15">
                  <c:v>0.43229166666666669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64-498A-B1C7-96D9A5C0B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6831</c:v>
                </c:pt>
                <c:pt idx="2">
                  <c:v>4868</c:v>
                </c:pt>
                <c:pt idx="4">
                  <c:v>6633</c:v>
                </c:pt>
                <c:pt idx="6">
                  <c:v>3980</c:v>
                </c:pt>
                <c:pt idx="7">
                  <c:v>903</c:v>
                </c:pt>
                <c:pt idx="10">
                  <c:v>8733</c:v>
                </c:pt>
                <c:pt idx="12">
                  <c:v>5923</c:v>
                </c:pt>
                <c:pt idx="13">
                  <c:v>3970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2-4C75-8199-B42CAB969A79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6831</c:v>
                </c:pt>
                <c:pt idx="1">
                  <c:v>1211</c:v>
                </c:pt>
                <c:pt idx="2">
                  <c:v>4868</c:v>
                </c:pt>
                <c:pt idx="3">
                  <c:v>2371</c:v>
                </c:pt>
                <c:pt idx="4">
                  <c:v>6633</c:v>
                </c:pt>
                <c:pt idx="5">
                  <c:v>7560</c:v>
                </c:pt>
                <c:pt idx="6">
                  <c:v>3980</c:v>
                </c:pt>
                <c:pt idx="7">
                  <c:v>903</c:v>
                </c:pt>
                <c:pt idx="8">
                  <c:v>308</c:v>
                </c:pt>
                <c:pt idx="9">
                  <c:v>5080</c:v>
                </c:pt>
                <c:pt idx="10">
                  <c:v>8733</c:v>
                </c:pt>
                <c:pt idx="11">
                  <c:v>1302</c:v>
                </c:pt>
                <c:pt idx="12">
                  <c:v>5923</c:v>
                </c:pt>
                <c:pt idx="13">
                  <c:v>3970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2-4C75-8199-B42CAB96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79%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0.79166666666666663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9-4D81-8A02-7E1FF1709A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B9-4D81-8A02-7E1FF1709A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0.43229166666666669</c:v>
                </c:pt>
                <c:pt idx="1">
                  <c:v>0.43229166666666669</c:v>
                </c:pt>
                <c:pt idx="2">
                  <c:v>0.43229166666666669</c:v>
                </c:pt>
                <c:pt idx="3">
                  <c:v>0.43229166666666669</c:v>
                </c:pt>
                <c:pt idx="4">
                  <c:v>0.43229166666666669</c:v>
                </c:pt>
                <c:pt idx="5">
                  <c:v>0.43229166666666669</c:v>
                </c:pt>
                <c:pt idx="6">
                  <c:v>0.43229166666666669</c:v>
                </c:pt>
                <c:pt idx="7">
                  <c:v>0.43229166666666669</c:v>
                </c:pt>
                <c:pt idx="8">
                  <c:v>0.43229166666666669</c:v>
                </c:pt>
                <c:pt idx="9">
                  <c:v>0.43229166666666669</c:v>
                </c:pt>
                <c:pt idx="10">
                  <c:v>0.43229166666666669</c:v>
                </c:pt>
                <c:pt idx="11">
                  <c:v>0.43229166666666669</c:v>
                </c:pt>
                <c:pt idx="12">
                  <c:v>0.43229166666666669</c:v>
                </c:pt>
                <c:pt idx="13">
                  <c:v>0.43229166666666669</c:v>
                </c:pt>
                <c:pt idx="14">
                  <c:v>0.43229166666666669</c:v>
                </c:pt>
                <c:pt idx="15">
                  <c:v>0.43229166666666669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B9-4D81-8A02-7E1FF1709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047-45D7-9A9A-04D37296ED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7-45D7-9A9A-04D37296E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047-45D7-9A9A-04D37296ED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47-45D7-9A9A-04D37296E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6926</c:v>
                </c:pt>
                <c:pt idx="2">
                  <c:v>5495</c:v>
                </c:pt>
                <c:pt idx="4">
                  <c:v>6764</c:v>
                </c:pt>
                <c:pt idx="6">
                  <c:v>4963</c:v>
                </c:pt>
                <c:pt idx="10">
                  <c:v>8095</c:v>
                </c:pt>
                <c:pt idx="12">
                  <c:v>1193</c:v>
                </c:pt>
                <c:pt idx="13">
                  <c:v>4360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4-4AB4-8BAD-F060EAC9999E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6926</c:v>
                </c:pt>
                <c:pt idx="1">
                  <c:v>1211</c:v>
                </c:pt>
                <c:pt idx="2">
                  <c:v>5495</c:v>
                </c:pt>
                <c:pt idx="3">
                  <c:v>2371</c:v>
                </c:pt>
                <c:pt idx="4">
                  <c:v>6764</c:v>
                </c:pt>
                <c:pt idx="5">
                  <c:v>7560</c:v>
                </c:pt>
                <c:pt idx="6">
                  <c:v>4963</c:v>
                </c:pt>
                <c:pt idx="7">
                  <c:v>903</c:v>
                </c:pt>
                <c:pt idx="8">
                  <c:v>308</c:v>
                </c:pt>
                <c:pt idx="9">
                  <c:v>5080</c:v>
                </c:pt>
                <c:pt idx="10">
                  <c:v>8095</c:v>
                </c:pt>
                <c:pt idx="11">
                  <c:v>1302</c:v>
                </c:pt>
                <c:pt idx="12">
                  <c:v>1193</c:v>
                </c:pt>
                <c:pt idx="13">
                  <c:v>4360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04-4AB4-8BAD-F060EAC99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25%</c:v>
                </c:pt>
                <c:pt idx="13">
                  <c:v>83%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0.25</c:v>
                </c:pt>
                <c:pt idx="13">
                  <c:v>0.83333333333333337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C-4FFE-917A-354C79F3C2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FC-4FFE-917A-354C79F3C2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0.38020833333333331</c:v>
                </c:pt>
                <c:pt idx="1">
                  <c:v>0.38020833333333331</c:v>
                </c:pt>
                <c:pt idx="2">
                  <c:v>0.38020833333333331</c:v>
                </c:pt>
                <c:pt idx="3">
                  <c:v>0.38020833333333331</c:v>
                </c:pt>
                <c:pt idx="4">
                  <c:v>0.38020833333333331</c:v>
                </c:pt>
                <c:pt idx="5">
                  <c:v>0.38020833333333331</c:v>
                </c:pt>
                <c:pt idx="6">
                  <c:v>0.38020833333333331</c:v>
                </c:pt>
                <c:pt idx="7">
                  <c:v>0.38020833333333331</c:v>
                </c:pt>
                <c:pt idx="8">
                  <c:v>0.38020833333333331</c:v>
                </c:pt>
                <c:pt idx="9">
                  <c:v>0.38020833333333331</c:v>
                </c:pt>
                <c:pt idx="10">
                  <c:v>0.38020833333333331</c:v>
                </c:pt>
                <c:pt idx="11">
                  <c:v>0.38020833333333331</c:v>
                </c:pt>
                <c:pt idx="12">
                  <c:v>0.38020833333333331</c:v>
                </c:pt>
                <c:pt idx="13">
                  <c:v>0.38020833333333331</c:v>
                </c:pt>
                <c:pt idx="14">
                  <c:v>0.38020833333333331</c:v>
                </c:pt>
                <c:pt idx="15">
                  <c:v>0.38020833333333331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FC-4FFE-917A-354C79F3C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6926</c:v>
                </c:pt>
                <c:pt idx="2">
                  <c:v>5495</c:v>
                </c:pt>
                <c:pt idx="4">
                  <c:v>6764</c:v>
                </c:pt>
                <c:pt idx="6">
                  <c:v>4963</c:v>
                </c:pt>
                <c:pt idx="10">
                  <c:v>8095</c:v>
                </c:pt>
                <c:pt idx="12">
                  <c:v>1193</c:v>
                </c:pt>
                <c:pt idx="13">
                  <c:v>4360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9-498D-8A70-4103689369C3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6926</c:v>
                </c:pt>
                <c:pt idx="1">
                  <c:v>1211</c:v>
                </c:pt>
                <c:pt idx="2">
                  <c:v>5495</c:v>
                </c:pt>
                <c:pt idx="3">
                  <c:v>2371</c:v>
                </c:pt>
                <c:pt idx="4">
                  <c:v>6764</c:v>
                </c:pt>
                <c:pt idx="5">
                  <c:v>7560</c:v>
                </c:pt>
                <c:pt idx="6">
                  <c:v>4963</c:v>
                </c:pt>
                <c:pt idx="7">
                  <c:v>903</c:v>
                </c:pt>
                <c:pt idx="8">
                  <c:v>308</c:v>
                </c:pt>
                <c:pt idx="9">
                  <c:v>5080</c:v>
                </c:pt>
                <c:pt idx="10">
                  <c:v>8095</c:v>
                </c:pt>
                <c:pt idx="11">
                  <c:v>1302</c:v>
                </c:pt>
                <c:pt idx="12">
                  <c:v>1193</c:v>
                </c:pt>
                <c:pt idx="13">
                  <c:v>4360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9-498D-8A70-410368936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25%</c:v>
                </c:pt>
                <c:pt idx="13">
                  <c:v>83%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0.25</c:v>
                </c:pt>
                <c:pt idx="13">
                  <c:v>0.83333333333333337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B-4B43-BE8F-DAF95DE2931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CB-4B43-BE8F-DAF95DE293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0.38020833333333331</c:v>
                </c:pt>
                <c:pt idx="1">
                  <c:v>0.38020833333333331</c:v>
                </c:pt>
                <c:pt idx="2">
                  <c:v>0.38020833333333331</c:v>
                </c:pt>
                <c:pt idx="3">
                  <c:v>0.38020833333333331</c:v>
                </c:pt>
                <c:pt idx="4">
                  <c:v>0.38020833333333331</c:v>
                </c:pt>
                <c:pt idx="5">
                  <c:v>0.38020833333333331</c:v>
                </c:pt>
                <c:pt idx="6">
                  <c:v>0.38020833333333331</c:v>
                </c:pt>
                <c:pt idx="7">
                  <c:v>0.38020833333333331</c:v>
                </c:pt>
                <c:pt idx="8">
                  <c:v>0.38020833333333331</c:v>
                </c:pt>
                <c:pt idx="9">
                  <c:v>0.38020833333333331</c:v>
                </c:pt>
                <c:pt idx="10">
                  <c:v>0.38020833333333331</c:v>
                </c:pt>
                <c:pt idx="11">
                  <c:v>0.38020833333333331</c:v>
                </c:pt>
                <c:pt idx="12">
                  <c:v>0.38020833333333331</c:v>
                </c:pt>
                <c:pt idx="13">
                  <c:v>0.38020833333333331</c:v>
                </c:pt>
                <c:pt idx="14">
                  <c:v>0.38020833333333331</c:v>
                </c:pt>
                <c:pt idx="15">
                  <c:v>0.38020833333333331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B-4B43-BE8F-DAF95DE29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0B1-45BF-A1D1-C98AAE3FC9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1-45BF-A1D1-C98AAE3FC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0B1-45BF-A1D1-C98AAE3FC9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B1-45BF-A1D1-C98AAE3FC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0">
                  <c:v>5940</c:v>
                </c:pt>
                <c:pt idx="1">
                  <c:v>580</c:v>
                </c:pt>
                <c:pt idx="2">
                  <c:v>5193</c:v>
                </c:pt>
                <c:pt idx="4">
                  <c:v>6273</c:v>
                </c:pt>
                <c:pt idx="6">
                  <c:v>4857</c:v>
                </c:pt>
                <c:pt idx="10">
                  <c:v>7598</c:v>
                </c:pt>
                <c:pt idx="12">
                  <c:v>3790</c:v>
                </c:pt>
                <c:pt idx="13">
                  <c:v>4886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6-4E29-9DE0-7FA1D346F457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5940</c:v>
                </c:pt>
                <c:pt idx="1">
                  <c:v>580</c:v>
                </c:pt>
                <c:pt idx="2">
                  <c:v>5193</c:v>
                </c:pt>
                <c:pt idx="3">
                  <c:v>2371</c:v>
                </c:pt>
                <c:pt idx="4">
                  <c:v>6273</c:v>
                </c:pt>
                <c:pt idx="5">
                  <c:v>7560</c:v>
                </c:pt>
                <c:pt idx="6">
                  <c:v>4857</c:v>
                </c:pt>
                <c:pt idx="7">
                  <c:v>903</c:v>
                </c:pt>
                <c:pt idx="8">
                  <c:v>308</c:v>
                </c:pt>
                <c:pt idx="9">
                  <c:v>5080</c:v>
                </c:pt>
                <c:pt idx="10">
                  <c:v>7598</c:v>
                </c:pt>
                <c:pt idx="11">
                  <c:v>1302</c:v>
                </c:pt>
                <c:pt idx="12">
                  <c:v>3790</c:v>
                </c:pt>
                <c:pt idx="13">
                  <c:v>4886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6-4E29-9DE0-7FA1D346F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100%</c:v>
                </c:pt>
                <c:pt idx="1">
                  <c:v>17%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1</c:v>
                </c:pt>
                <c:pt idx="1">
                  <c:v>0.16666666666666666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9-44E3-BAE3-F545A6BEE6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49-44E3-BAE3-F545A6BEE6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0.43489583333333337</c:v>
                </c:pt>
                <c:pt idx="1">
                  <c:v>0.43489583333333337</c:v>
                </c:pt>
                <c:pt idx="2">
                  <c:v>0.43489583333333337</c:v>
                </c:pt>
                <c:pt idx="3">
                  <c:v>0.43489583333333337</c:v>
                </c:pt>
                <c:pt idx="4">
                  <c:v>0.43489583333333337</c:v>
                </c:pt>
                <c:pt idx="5">
                  <c:v>0.43489583333333337</c:v>
                </c:pt>
                <c:pt idx="6">
                  <c:v>0.43489583333333337</c:v>
                </c:pt>
                <c:pt idx="7">
                  <c:v>0.43489583333333337</c:v>
                </c:pt>
                <c:pt idx="8">
                  <c:v>0.43489583333333337</c:v>
                </c:pt>
                <c:pt idx="9">
                  <c:v>0.43489583333333337</c:v>
                </c:pt>
                <c:pt idx="10">
                  <c:v>0.43489583333333337</c:v>
                </c:pt>
                <c:pt idx="11">
                  <c:v>0.43489583333333337</c:v>
                </c:pt>
                <c:pt idx="12">
                  <c:v>0.43489583333333337</c:v>
                </c:pt>
                <c:pt idx="13">
                  <c:v>0.43489583333333337</c:v>
                </c:pt>
                <c:pt idx="14">
                  <c:v>0.43489583333333337</c:v>
                </c:pt>
                <c:pt idx="15">
                  <c:v>0.43489583333333337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9-44E3-BAE3-F545A6BE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0">
                  <c:v>5940</c:v>
                </c:pt>
                <c:pt idx="1">
                  <c:v>580</c:v>
                </c:pt>
                <c:pt idx="2">
                  <c:v>5193</c:v>
                </c:pt>
                <c:pt idx="4">
                  <c:v>6273</c:v>
                </c:pt>
                <c:pt idx="6">
                  <c:v>4857</c:v>
                </c:pt>
                <c:pt idx="10">
                  <c:v>7598</c:v>
                </c:pt>
                <c:pt idx="12">
                  <c:v>3790</c:v>
                </c:pt>
                <c:pt idx="13">
                  <c:v>4886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3-4339-B6C8-477DDEA99D7F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5940</c:v>
                </c:pt>
                <c:pt idx="1">
                  <c:v>580</c:v>
                </c:pt>
                <c:pt idx="2">
                  <c:v>5193</c:v>
                </c:pt>
                <c:pt idx="3">
                  <c:v>2371</c:v>
                </c:pt>
                <c:pt idx="4">
                  <c:v>6273</c:v>
                </c:pt>
                <c:pt idx="5">
                  <c:v>7560</c:v>
                </c:pt>
                <c:pt idx="6">
                  <c:v>4857</c:v>
                </c:pt>
                <c:pt idx="7">
                  <c:v>903</c:v>
                </c:pt>
                <c:pt idx="8">
                  <c:v>308</c:v>
                </c:pt>
                <c:pt idx="9">
                  <c:v>5080</c:v>
                </c:pt>
                <c:pt idx="10">
                  <c:v>7598</c:v>
                </c:pt>
                <c:pt idx="11">
                  <c:v>1302</c:v>
                </c:pt>
                <c:pt idx="12">
                  <c:v>3790</c:v>
                </c:pt>
                <c:pt idx="13">
                  <c:v>4886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3-4339-B6C8-477DDEA99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100%</c:v>
                </c:pt>
                <c:pt idx="1">
                  <c:v>17%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1</c:v>
                </c:pt>
                <c:pt idx="1">
                  <c:v>0.16666666666666666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5-42D5-BA31-3A294C5EE42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95-42D5-BA31-3A294C5EE42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SEPARATOR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0.43489583333333337</c:v>
                </c:pt>
                <c:pt idx="1">
                  <c:v>0.43489583333333337</c:v>
                </c:pt>
                <c:pt idx="2">
                  <c:v>0.43489583333333337</c:v>
                </c:pt>
                <c:pt idx="3">
                  <c:v>0.43489583333333337</c:v>
                </c:pt>
                <c:pt idx="4">
                  <c:v>0.43489583333333337</c:v>
                </c:pt>
                <c:pt idx="5">
                  <c:v>0.43489583333333337</c:v>
                </c:pt>
                <c:pt idx="6">
                  <c:v>0.43489583333333337</c:v>
                </c:pt>
                <c:pt idx="7">
                  <c:v>0.43489583333333337</c:v>
                </c:pt>
                <c:pt idx="8">
                  <c:v>0.43489583333333337</c:v>
                </c:pt>
                <c:pt idx="9">
                  <c:v>0.43489583333333337</c:v>
                </c:pt>
                <c:pt idx="10">
                  <c:v>0.43489583333333337</c:v>
                </c:pt>
                <c:pt idx="11">
                  <c:v>0.43489583333333337</c:v>
                </c:pt>
                <c:pt idx="12">
                  <c:v>0.43489583333333337</c:v>
                </c:pt>
                <c:pt idx="13">
                  <c:v>0.43489583333333337</c:v>
                </c:pt>
                <c:pt idx="14">
                  <c:v>0.43489583333333337</c:v>
                </c:pt>
                <c:pt idx="15">
                  <c:v>0.43489583333333337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95-42D5-BA31-3A294C5EE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853-454D-9D2A-A19FDEBC36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3-454D-9D2A-A19FDEBC3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853-454D-9D2A-A19FDEBC3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53-454D-9D2A-A19FDEBC3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1">
                  <c:v>1489</c:v>
                </c:pt>
                <c:pt idx="2">
                  <c:v>5448</c:v>
                </c:pt>
                <c:pt idx="3">
                  <c:v>4035</c:v>
                </c:pt>
                <c:pt idx="4">
                  <c:v>6588</c:v>
                </c:pt>
                <c:pt idx="6">
                  <c:v>4991</c:v>
                </c:pt>
                <c:pt idx="9">
                  <c:v>3740</c:v>
                </c:pt>
                <c:pt idx="10">
                  <c:v>5553</c:v>
                </c:pt>
                <c:pt idx="11">
                  <c:v>3852</c:v>
                </c:pt>
                <c:pt idx="12">
                  <c:v>3514</c:v>
                </c:pt>
                <c:pt idx="13">
                  <c:v>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4-4BD0-977F-F72ADD0160A0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5940</c:v>
                </c:pt>
                <c:pt idx="1">
                  <c:v>1489</c:v>
                </c:pt>
                <c:pt idx="2">
                  <c:v>5448</c:v>
                </c:pt>
                <c:pt idx="3">
                  <c:v>4035</c:v>
                </c:pt>
                <c:pt idx="4">
                  <c:v>6588</c:v>
                </c:pt>
                <c:pt idx="5">
                  <c:v>7560</c:v>
                </c:pt>
                <c:pt idx="6">
                  <c:v>4991</c:v>
                </c:pt>
                <c:pt idx="7">
                  <c:v>903</c:v>
                </c:pt>
                <c:pt idx="8">
                  <c:v>308</c:v>
                </c:pt>
                <c:pt idx="9">
                  <c:v>3740</c:v>
                </c:pt>
                <c:pt idx="10">
                  <c:v>5553</c:v>
                </c:pt>
                <c:pt idx="11">
                  <c:v>3852</c:v>
                </c:pt>
                <c:pt idx="12">
                  <c:v>3514</c:v>
                </c:pt>
                <c:pt idx="13">
                  <c:v>5534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4-4BD0-977F-F72ADD016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0%</c:v>
                </c:pt>
                <c:pt idx="1">
                  <c:v>38%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71%</c:v>
                </c:pt>
                <c:pt idx="10">
                  <c:v>100%</c:v>
                </c:pt>
                <c:pt idx="11">
                  <c:v>67%</c:v>
                </c:pt>
                <c:pt idx="12">
                  <c:v>75%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0.375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0.70833333333333337</c:v>
                </c:pt>
                <c:pt idx="10">
                  <c:v>1</c:v>
                </c:pt>
                <c:pt idx="11">
                  <c:v>0.66666666666666663</c:v>
                </c:pt>
                <c:pt idx="12">
                  <c:v>0.75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2-4D30-8CC8-7B71FA0185F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22-4D30-8CC8-7B71FA0185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0.515625</c:v>
                </c:pt>
                <c:pt idx="1">
                  <c:v>0.515625</c:v>
                </c:pt>
                <c:pt idx="2">
                  <c:v>0.515625</c:v>
                </c:pt>
                <c:pt idx="3">
                  <c:v>0.515625</c:v>
                </c:pt>
                <c:pt idx="4">
                  <c:v>0.515625</c:v>
                </c:pt>
                <c:pt idx="5">
                  <c:v>0.515625</c:v>
                </c:pt>
                <c:pt idx="6">
                  <c:v>0.515625</c:v>
                </c:pt>
                <c:pt idx="7">
                  <c:v>0.515625</c:v>
                </c:pt>
                <c:pt idx="8">
                  <c:v>0.515625</c:v>
                </c:pt>
                <c:pt idx="9">
                  <c:v>0.515625</c:v>
                </c:pt>
                <c:pt idx="10">
                  <c:v>0.515625</c:v>
                </c:pt>
                <c:pt idx="11">
                  <c:v>0.515625</c:v>
                </c:pt>
                <c:pt idx="12">
                  <c:v>0.515625</c:v>
                </c:pt>
                <c:pt idx="13">
                  <c:v>0.515625</c:v>
                </c:pt>
                <c:pt idx="14">
                  <c:v>0.515625</c:v>
                </c:pt>
                <c:pt idx="15">
                  <c:v>0.515625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2-4D30-8CC8-7B71FA018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1">
                  <c:v>1489</c:v>
                </c:pt>
                <c:pt idx="2">
                  <c:v>5448</c:v>
                </c:pt>
                <c:pt idx="3">
                  <c:v>4035</c:v>
                </c:pt>
                <c:pt idx="4">
                  <c:v>6588</c:v>
                </c:pt>
                <c:pt idx="6">
                  <c:v>4991</c:v>
                </c:pt>
                <c:pt idx="9">
                  <c:v>3740</c:v>
                </c:pt>
                <c:pt idx="10">
                  <c:v>5553</c:v>
                </c:pt>
                <c:pt idx="11">
                  <c:v>3852</c:v>
                </c:pt>
                <c:pt idx="12">
                  <c:v>3514</c:v>
                </c:pt>
                <c:pt idx="13">
                  <c:v>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4-4DD0-8F30-835686ADD9D5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5940</c:v>
                </c:pt>
                <c:pt idx="1">
                  <c:v>1489</c:v>
                </c:pt>
                <c:pt idx="2">
                  <c:v>5448</c:v>
                </c:pt>
                <c:pt idx="3">
                  <c:v>4035</c:v>
                </c:pt>
                <c:pt idx="4">
                  <c:v>6588</c:v>
                </c:pt>
                <c:pt idx="5">
                  <c:v>7560</c:v>
                </c:pt>
                <c:pt idx="6">
                  <c:v>4991</c:v>
                </c:pt>
                <c:pt idx="7">
                  <c:v>903</c:v>
                </c:pt>
                <c:pt idx="8">
                  <c:v>308</c:v>
                </c:pt>
                <c:pt idx="9">
                  <c:v>3740</c:v>
                </c:pt>
                <c:pt idx="10">
                  <c:v>5553</c:v>
                </c:pt>
                <c:pt idx="11">
                  <c:v>3852</c:v>
                </c:pt>
                <c:pt idx="12">
                  <c:v>3514</c:v>
                </c:pt>
                <c:pt idx="13">
                  <c:v>5534</c:v>
                </c:pt>
                <c:pt idx="14">
                  <c:v>5548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4-4DD0-8F30-835686ADD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0%</c:v>
                </c:pt>
                <c:pt idx="1">
                  <c:v>38%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71%</c:v>
                </c:pt>
                <c:pt idx="10">
                  <c:v>100%</c:v>
                </c:pt>
                <c:pt idx="11">
                  <c:v>67%</c:v>
                </c:pt>
                <c:pt idx="12">
                  <c:v>75%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0.375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0.70833333333333337</c:v>
                </c:pt>
                <c:pt idx="10">
                  <c:v>1</c:v>
                </c:pt>
                <c:pt idx="11">
                  <c:v>0.66666666666666663</c:v>
                </c:pt>
                <c:pt idx="12">
                  <c:v>0.75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9-483A-BDA7-B05714EDE0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B9-483A-BDA7-B05714EDE0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0.515625</c:v>
                </c:pt>
                <c:pt idx="1">
                  <c:v>0.515625</c:v>
                </c:pt>
                <c:pt idx="2">
                  <c:v>0.515625</c:v>
                </c:pt>
                <c:pt idx="3">
                  <c:v>0.515625</c:v>
                </c:pt>
                <c:pt idx="4">
                  <c:v>0.515625</c:v>
                </c:pt>
                <c:pt idx="5">
                  <c:v>0.515625</c:v>
                </c:pt>
                <c:pt idx="6">
                  <c:v>0.515625</c:v>
                </c:pt>
                <c:pt idx="7">
                  <c:v>0.515625</c:v>
                </c:pt>
                <c:pt idx="8">
                  <c:v>0.515625</c:v>
                </c:pt>
                <c:pt idx="9">
                  <c:v>0.515625</c:v>
                </c:pt>
                <c:pt idx="10">
                  <c:v>0.515625</c:v>
                </c:pt>
                <c:pt idx="11">
                  <c:v>0.515625</c:v>
                </c:pt>
                <c:pt idx="12">
                  <c:v>0.515625</c:v>
                </c:pt>
                <c:pt idx="13">
                  <c:v>0.515625</c:v>
                </c:pt>
                <c:pt idx="14">
                  <c:v>0.515625</c:v>
                </c:pt>
                <c:pt idx="15">
                  <c:v>0.515625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9-483A-BDA7-B05714EDE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2C8-4B59-A3C4-F255C09F41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8-4B59-A3C4-F255C09F4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2C8-4B59-A3C4-F255C09F41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C8-4B59-A3C4-F255C09F4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8604</c:v>
                </c:pt>
                <c:pt idx="2">
                  <c:v>3043</c:v>
                </c:pt>
                <c:pt idx="3">
                  <c:v>615</c:v>
                </c:pt>
                <c:pt idx="4">
                  <c:v>6637</c:v>
                </c:pt>
                <c:pt idx="6">
                  <c:v>5052</c:v>
                </c:pt>
                <c:pt idx="9">
                  <c:v>283</c:v>
                </c:pt>
                <c:pt idx="10">
                  <c:v>5995</c:v>
                </c:pt>
                <c:pt idx="11">
                  <c:v>6416</c:v>
                </c:pt>
                <c:pt idx="12">
                  <c:v>4919</c:v>
                </c:pt>
                <c:pt idx="13">
                  <c:v>5605</c:v>
                </c:pt>
                <c:pt idx="14">
                  <c:v>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5-4C75-8E05-BD5AC3483D5E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8604</c:v>
                </c:pt>
                <c:pt idx="1">
                  <c:v>1489</c:v>
                </c:pt>
                <c:pt idx="2">
                  <c:v>3043</c:v>
                </c:pt>
                <c:pt idx="3">
                  <c:v>615</c:v>
                </c:pt>
                <c:pt idx="4">
                  <c:v>6637</c:v>
                </c:pt>
                <c:pt idx="5">
                  <c:v>7560</c:v>
                </c:pt>
                <c:pt idx="6">
                  <c:v>5052</c:v>
                </c:pt>
                <c:pt idx="7">
                  <c:v>903</c:v>
                </c:pt>
                <c:pt idx="8">
                  <c:v>308</c:v>
                </c:pt>
                <c:pt idx="9">
                  <c:v>283</c:v>
                </c:pt>
                <c:pt idx="10">
                  <c:v>5995</c:v>
                </c:pt>
                <c:pt idx="11">
                  <c:v>6416</c:v>
                </c:pt>
                <c:pt idx="12">
                  <c:v>4919</c:v>
                </c:pt>
                <c:pt idx="13">
                  <c:v>5605</c:v>
                </c:pt>
                <c:pt idx="14">
                  <c:v>5123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5-4C75-8E05-BD5AC3483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88%</c:v>
                </c:pt>
                <c:pt idx="1">
                  <c:v>0%</c:v>
                </c:pt>
                <c:pt idx="2">
                  <c:v>63%</c:v>
                </c:pt>
                <c:pt idx="3">
                  <c:v>17%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13%</c:v>
                </c:pt>
                <c:pt idx="10">
                  <c:v>100%</c:v>
                </c:pt>
                <c:pt idx="11">
                  <c:v>100%</c:v>
                </c:pt>
                <c:pt idx="12">
                  <c:v>92%</c:v>
                </c:pt>
                <c:pt idx="13">
                  <c:v>100%</c:v>
                </c:pt>
                <c:pt idx="14">
                  <c:v>96%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0.875</c:v>
                </c:pt>
                <c:pt idx="1">
                  <c:v>0</c:v>
                </c:pt>
                <c:pt idx="2">
                  <c:v>0.625</c:v>
                </c:pt>
                <c:pt idx="3">
                  <c:v>0.16666666666666666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0.125</c:v>
                </c:pt>
                <c:pt idx="10">
                  <c:v>1</c:v>
                </c:pt>
                <c:pt idx="11">
                  <c:v>1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0.95833333333333337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F-49BF-9C0E-10E03C3578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6F-49BF-9C0E-10E03C3578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0.54166666666666674</c:v>
                </c:pt>
                <c:pt idx="1">
                  <c:v>0.54166666666666674</c:v>
                </c:pt>
                <c:pt idx="2">
                  <c:v>0.54166666666666674</c:v>
                </c:pt>
                <c:pt idx="3">
                  <c:v>0.54166666666666674</c:v>
                </c:pt>
                <c:pt idx="4">
                  <c:v>0.54166666666666674</c:v>
                </c:pt>
                <c:pt idx="5">
                  <c:v>0.54166666666666674</c:v>
                </c:pt>
                <c:pt idx="6">
                  <c:v>0.54166666666666674</c:v>
                </c:pt>
                <c:pt idx="7">
                  <c:v>0.54166666666666674</c:v>
                </c:pt>
                <c:pt idx="8">
                  <c:v>0.54166666666666674</c:v>
                </c:pt>
                <c:pt idx="9">
                  <c:v>0.54166666666666674</c:v>
                </c:pt>
                <c:pt idx="10">
                  <c:v>0.54166666666666674</c:v>
                </c:pt>
                <c:pt idx="11">
                  <c:v>0.54166666666666674</c:v>
                </c:pt>
                <c:pt idx="12">
                  <c:v>0.54166666666666674</c:v>
                </c:pt>
                <c:pt idx="13">
                  <c:v>0.54166666666666674</c:v>
                </c:pt>
                <c:pt idx="14">
                  <c:v>0.54166666666666674</c:v>
                </c:pt>
                <c:pt idx="15">
                  <c:v>0.54166666666666674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6F-49BF-9C0E-10E03C35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8604</c:v>
                </c:pt>
                <c:pt idx="2">
                  <c:v>3043</c:v>
                </c:pt>
                <c:pt idx="3">
                  <c:v>615</c:v>
                </c:pt>
                <c:pt idx="4">
                  <c:v>6637</c:v>
                </c:pt>
                <c:pt idx="6">
                  <c:v>5052</c:v>
                </c:pt>
                <c:pt idx="9">
                  <c:v>283</c:v>
                </c:pt>
                <c:pt idx="10">
                  <c:v>5995</c:v>
                </c:pt>
                <c:pt idx="11">
                  <c:v>6416</c:v>
                </c:pt>
                <c:pt idx="12">
                  <c:v>4919</c:v>
                </c:pt>
                <c:pt idx="13">
                  <c:v>5605</c:v>
                </c:pt>
                <c:pt idx="14">
                  <c:v>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2-46B5-9205-1C46A90522BD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8604</c:v>
                </c:pt>
                <c:pt idx="1">
                  <c:v>1489</c:v>
                </c:pt>
                <c:pt idx="2">
                  <c:v>3043</c:v>
                </c:pt>
                <c:pt idx="3">
                  <c:v>615</c:v>
                </c:pt>
                <c:pt idx="4">
                  <c:v>6637</c:v>
                </c:pt>
                <c:pt idx="5">
                  <c:v>7560</c:v>
                </c:pt>
                <c:pt idx="6">
                  <c:v>5052</c:v>
                </c:pt>
                <c:pt idx="7">
                  <c:v>903</c:v>
                </c:pt>
                <c:pt idx="8">
                  <c:v>308</c:v>
                </c:pt>
                <c:pt idx="9">
                  <c:v>283</c:v>
                </c:pt>
                <c:pt idx="10">
                  <c:v>5995</c:v>
                </c:pt>
                <c:pt idx="11">
                  <c:v>6416</c:v>
                </c:pt>
                <c:pt idx="12">
                  <c:v>4919</c:v>
                </c:pt>
                <c:pt idx="13">
                  <c:v>5605</c:v>
                </c:pt>
                <c:pt idx="14">
                  <c:v>5123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32-46B5-9205-1C46A905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88%</c:v>
                </c:pt>
                <c:pt idx="1">
                  <c:v>0%</c:v>
                </c:pt>
                <c:pt idx="2">
                  <c:v>63%</c:v>
                </c:pt>
                <c:pt idx="3">
                  <c:v>17%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13%</c:v>
                </c:pt>
                <c:pt idx="10">
                  <c:v>100%</c:v>
                </c:pt>
                <c:pt idx="11">
                  <c:v>100%</c:v>
                </c:pt>
                <c:pt idx="12">
                  <c:v>92%</c:v>
                </c:pt>
                <c:pt idx="13">
                  <c:v>100%</c:v>
                </c:pt>
                <c:pt idx="14">
                  <c:v>96%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0.875</c:v>
                </c:pt>
                <c:pt idx="1">
                  <c:v>0</c:v>
                </c:pt>
                <c:pt idx="2">
                  <c:v>0.625</c:v>
                </c:pt>
                <c:pt idx="3">
                  <c:v>0.16666666666666666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0.125</c:v>
                </c:pt>
                <c:pt idx="10">
                  <c:v>1</c:v>
                </c:pt>
                <c:pt idx="11">
                  <c:v>1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0.95833333333333337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0-4CF3-9B64-FD97043915B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30-4CF3-9B64-FD97043915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PLATE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0.54166666666666674</c:v>
                </c:pt>
                <c:pt idx="1">
                  <c:v>0.54166666666666674</c:v>
                </c:pt>
                <c:pt idx="2">
                  <c:v>0.54166666666666674</c:v>
                </c:pt>
                <c:pt idx="3">
                  <c:v>0.54166666666666674</c:v>
                </c:pt>
                <c:pt idx="4">
                  <c:v>0.54166666666666674</c:v>
                </c:pt>
                <c:pt idx="5">
                  <c:v>0.54166666666666674</c:v>
                </c:pt>
                <c:pt idx="6">
                  <c:v>0.54166666666666674</c:v>
                </c:pt>
                <c:pt idx="7">
                  <c:v>0.54166666666666674</c:v>
                </c:pt>
                <c:pt idx="8">
                  <c:v>0.54166666666666674</c:v>
                </c:pt>
                <c:pt idx="9">
                  <c:v>0.54166666666666674</c:v>
                </c:pt>
                <c:pt idx="10">
                  <c:v>0.54166666666666674</c:v>
                </c:pt>
                <c:pt idx="11">
                  <c:v>0.54166666666666674</c:v>
                </c:pt>
                <c:pt idx="12">
                  <c:v>0.54166666666666674</c:v>
                </c:pt>
                <c:pt idx="13">
                  <c:v>0.54166666666666674</c:v>
                </c:pt>
                <c:pt idx="14">
                  <c:v>0.54166666666666674</c:v>
                </c:pt>
                <c:pt idx="15">
                  <c:v>0.54166666666666674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0-4CF3-9B64-FD970439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E7C-4C56-A56E-5BCD6B2C4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C-4C56-A56E-5BCD6B2C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E7C-4C56-A56E-5BCD6B2C4E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7C-4C56-A56E-5BCD6B2C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10840</c:v>
                </c:pt>
                <c:pt idx="1">
                  <c:v>2203</c:v>
                </c:pt>
                <c:pt idx="2">
                  <c:v>4750</c:v>
                </c:pt>
                <c:pt idx="3">
                  <c:v>3163</c:v>
                </c:pt>
                <c:pt idx="4">
                  <c:v>6651</c:v>
                </c:pt>
                <c:pt idx="6">
                  <c:v>5074</c:v>
                </c:pt>
                <c:pt idx="10">
                  <c:v>6007</c:v>
                </c:pt>
                <c:pt idx="11">
                  <c:v>5889</c:v>
                </c:pt>
                <c:pt idx="12">
                  <c:v>4256</c:v>
                </c:pt>
                <c:pt idx="13">
                  <c:v>1226</c:v>
                </c:pt>
                <c:pt idx="14">
                  <c:v>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1-49A6-8B50-44247E781058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10840</c:v>
                </c:pt>
                <c:pt idx="1">
                  <c:v>2203</c:v>
                </c:pt>
                <c:pt idx="2">
                  <c:v>4750</c:v>
                </c:pt>
                <c:pt idx="3">
                  <c:v>3163</c:v>
                </c:pt>
                <c:pt idx="4">
                  <c:v>6651</c:v>
                </c:pt>
                <c:pt idx="6">
                  <c:v>5074</c:v>
                </c:pt>
                <c:pt idx="10">
                  <c:v>6007</c:v>
                </c:pt>
                <c:pt idx="11">
                  <c:v>5889</c:v>
                </c:pt>
                <c:pt idx="12">
                  <c:v>4256</c:v>
                </c:pt>
                <c:pt idx="13">
                  <c:v>1226</c:v>
                </c:pt>
                <c:pt idx="14">
                  <c:v>5379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1-49A6-8B50-44247E781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100%</c:v>
                </c:pt>
                <c:pt idx="1">
                  <c:v>58%</c:v>
                </c:pt>
                <c:pt idx="2">
                  <c:v>88%</c:v>
                </c:pt>
                <c:pt idx="3">
                  <c:v>67%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88%</c:v>
                </c:pt>
                <c:pt idx="13">
                  <c:v>33%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1</c:v>
                </c:pt>
                <c:pt idx="1">
                  <c:v>0.58333333333333337</c:v>
                </c:pt>
                <c:pt idx="2">
                  <c:v>0.875</c:v>
                </c:pt>
                <c:pt idx="3">
                  <c:v>0.66666666666666663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0.875</c:v>
                </c:pt>
                <c:pt idx="13">
                  <c:v>0.33333333333333331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0-43DA-871A-53EB390920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D0-43DA-871A-53EB390920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0-43DA-871A-53EB39092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10840</c:v>
                </c:pt>
                <c:pt idx="1">
                  <c:v>2203</c:v>
                </c:pt>
                <c:pt idx="2">
                  <c:v>4750</c:v>
                </c:pt>
                <c:pt idx="3">
                  <c:v>3163</c:v>
                </c:pt>
                <c:pt idx="4">
                  <c:v>6651</c:v>
                </c:pt>
                <c:pt idx="6">
                  <c:v>5074</c:v>
                </c:pt>
                <c:pt idx="10">
                  <c:v>6007</c:v>
                </c:pt>
                <c:pt idx="11">
                  <c:v>5889</c:v>
                </c:pt>
                <c:pt idx="12">
                  <c:v>4256</c:v>
                </c:pt>
                <c:pt idx="13">
                  <c:v>1226</c:v>
                </c:pt>
                <c:pt idx="14">
                  <c:v>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F-4F5D-B677-64AC2753DFEA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10840</c:v>
                </c:pt>
                <c:pt idx="1">
                  <c:v>2203</c:v>
                </c:pt>
                <c:pt idx="2">
                  <c:v>4750</c:v>
                </c:pt>
                <c:pt idx="3">
                  <c:v>3163</c:v>
                </c:pt>
                <c:pt idx="4">
                  <c:v>6651</c:v>
                </c:pt>
                <c:pt idx="6">
                  <c:v>5074</c:v>
                </c:pt>
                <c:pt idx="10">
                  <c:v>6007</c:v>
                </c:pt>
                <c:pt idx="11">
                  <c:v>5889</c:v>
                </c:pt>
                <c:pt idx="12">
                  <c:v>4256</c:v>
                </c:pt>
                <c:pt idx="13">
                  <c:v>1226</c:v>
                </c:pt>
                <c:pt idx="14">
                  <c:v>5379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F-4F5D-B677-64AC2753D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100%</c:v>
                </c:pt>
                <c:pt idx="1">
                  <c:v>58%</c:v>
                </c:pt>
                <c:pt idx="2">
                  <c:v>88%</c:v>
                </c:pt>
                <c:pt idx="3">
                  <c:v>67%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88%</c:v>
                </c:pt>
                <c:pt idx="13">
                  <c:v>33%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1</c:v>
                </c:pt>
                <c:pt idx="1">
                  <c:v>0.58333333333333337</c:v>
                </c:pt>
                <c:pt idx="2">
                  <c:v>0.875</c:v>
                </c:pt>
                <c:pt idx="3">
                  <c:v>0.66666666666666663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0.875</c:v>
                </c:pt>
                <c:pt idx="13">
                  <c:v>0.33333333333333331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F-48B6-90BE-EF360612AA7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2F-48B6-90BE-EF360612AA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F-48B6-90BE-EF360612A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0E9-4F67-8734-500EF662A3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9-4F67-8734-500EF662A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0E9-4F67-8734-500EF662A3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E9-4F67-8734-500EF662A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8852</c:v>
                </c:pt>
                <c:pt idx="1">
                  <c:v>27610</c:v>
                </c:pt>
                <c:pt idx="2">
                  <c:v>5316</c:v>
                </c:pt>
                <c:pt idx="3">
                  <c:v>2977</c:v>
                </c:pt>
                <c:pt idx="4">
                  <c:v>6854</c:v>
                </c:pt>
                <c:pt idx="5">
                  <c:v>0</c:v>
                </c:pt>
                <c:pt idx="6">
                  <c:v>5369</c:v>
                </c:pt>
                <c:pt idx="7">
                  <c:v>0</c:v>
                </c:pt>
                <c:pt idx="9">
                  <c:v>1019</c:v>
                </c:pt>
                <c:pt idx="10">
                  <c:v>6250</c:v>
                </c:pt>
                <c:pt idx="11">
                  <c:v>5415</c:v>
                </c:pt>
                <c:pt idx="12">
                  <c:v>5182</c:v>
                </c:pt>
                <c:pt idx="14">
                  <c:v>4594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D-4644-8A28-630C64590D6E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8852</c:v>
                </c:pt>
                <c:pt idx="1">
                  <c:v>27610</c:v>
                </c:pt>
                <c:pt idx="2">
                  <c:v>5316</c:v>
                </c:pt>
                <c:pt idx="3">
                  <c:v>2977</c:v>
                </c:pt>
                <c:pt idx="4">
                  <c:v>6854</c:v>
                </c:pt>
                <c:pt idx="5">
                  <c:v>0</c:v>
                </c:pt>
                <c:pt idx="6">
                  <c:v>5369</c:v>
                </c:pt>
                <c:pt idx="7">
                  <c:v>0</c:v>
                </c:pt>
                <c:pt idx="9">
                  <c:v>1019</c:v>
                </c:pt>
                <c:pt idx="10">
                  <c:v>6250</c:v>
                </c:pt>
                <c:pt idx="11">
                  <c:v>5415</c:v>
                </c:pt>
                <c:pt idx="12">
                  <c:v>5182</c:v>
                </c:pt>
                <c:pt idx="13">
                  <c:v>1226</c:v>
                </c:pt>
                <c:pt idx="14">
                  <c:v>4594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D-4644-8A28-630C64590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92%</c:v>
                </c:pt>
                <c:pt idx="1">
                  <c:v>88%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0.875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C-4E85-8138-1C2D5572B22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9C-4E85-8138-1C2D5572B22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0.59895833333333326</c:v>
                </c:pt>
                <c:pt idx="1">
                  <c:v>0.59895833333333326</c:v>
                </c:pt>
                <c:pt idx="2">
                  <c:v>0.59895833333333326</c:v>
                </c:pt>
                <c:pt idx="3">
                  <c:v>0.59895833333333326</c:v>
                </c:pt>
                <c:pt idx="4">
                  <c:v>0.59895833333333326</c:v>
                </c:pt>
                <c:pt idx="5">
                  <c:v>0.59895833333333326</c:v>
                </c:pt>
                <c:pt idx="6">
                  <c:v>0.59895833333333326</c:v>
                </c:pt>
                <c:pt idx="7">
                  <c:v>0.59895833333333326</c:v>
                </c:pt>
                <c:pt idx="8">
                  <c:v>0.59895833333333326</c:v>
                </c:pt>
                <c:pt idx="9">
                  <c:v>0.59895833333333326</c:v>
                </c:pt>
                <c:pt idx="10">
                  <c:v>0.59895833333333326</c:v>
                </c:pt>
                <c:pt idx="11">
                  <c:v>0.59895833333333326</c:v>
                </c:pt>
                <c:pt idx="12">
                  <c:v>0.59895833333333326</c:v>
                </c:pt>
                <c:pt idx="13">
                  <c:v>0.59895833333333326</c:v>
                </c:pt>
                <c:pt idx="14">
                  <c:v>0.59895833333333326</c:v>
                </c:pt>
                <c:pt idx="15">
                  <c:v>0.59895833333333326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9C-4E85-8138-1C2D5572B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8852</c:v>
                </c:pt>
                <c:pt idx="1">
                  <c:v>27610</c:v>
                </c:pt>
                <c:pt idx="2">
                  <c:v>5316</c:v>
                </c:pt>
                <c:pt idx="3">
                  <c:v>2977</c:v>
                </c:pt>
                <c:pt idx="4">
                  <c:v>6854</c:v>
                </c:pt>
                <c:pt idx="5">
                  <c:v>0</c:v>
                </c:pt>
                <c:pt idx="6">
                  <c:v>5369</c:v>
                </c:pt>
                <c:pt idx="7">
                  <c:v>0</c:v>
                </c:pt>
                <c:pt idx="9">
                  <c:v>1019</c:v>
                </c:pt>
                <c:pt idx="10">
                  <c:v>6250</c:v>
                </c:pt>
                <c:pt idx="11">
                  <c:v>5415</c:v>
                </c:pt>
                <c:pt idx="12">
                  <c:v>5182</c:v>
                </c:pt>
                <c:pt idx="14">
                  <c:v>4594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E-4BCB-BFB2-9066B7D47276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8852</c:v>
                </c:pt>
                <c:pt idx="1">
                  <c:v>27610</c:v>
                </c:pt>
                <c:pt idx="2">
                  <c:v>5316</c:v>
                </c:pt>
                <c:pt idx="3">
                  <c:v>2977</c:v>
                </c:pt>
                <c:pt idx="4">
                  <c:v>6854</c:v>
                </c:pt>
                <c:pt idx="5">
                  <c:v>0</c:v>
                </c:pt>
                <c:pt idx="6">
                  <c:v>5369</c:v>
                </c:pt>
                <c:pt idx="7">
                  <c:v>0</c:v>
                </c:pt>
                <c:pt idx="9">
                  <c:v>1019</c:v>
                </c:pt>
                <c:pt idx="10">
                  <c:v>6250</c:v>
                </c:pt>
                <c:pt idx="11">
                  <c:v>5415</c:v>
                </c:pt>
                <c:pt idx="12">
                  <c:v>5182</c:v>
                </c:pt>
                <c:pt idx="13">
                  <c:v>1226</c:v>
                </c:pt>
                <c:pt idx="14">
                  <c:v>4594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9E-4BCB-BFB2-9066B7D47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92%</c:v>
                </c:pt>
                <c:pt idx="1">
                  <c:v>88%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0.875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D-428D-BE8F-36D10392C35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5D-428D-BE8F-36D10392C3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SLIDER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0.59895833333333326</c:v>
                </c:pt>
                <c:pt idx="1">
                  <c:v>0.59895833333333326</c:v>
                </c:pt>
                <c:pt idx="2">
                  <c:v>0.59895833333333326</c:v>
                </c:pt>
                <c:pt idx="3">
                  <c:v>0.59895833333333326</c:v>
                </c:pt>
                <c:pt idx="4">
                  <c:v>0.59895833333333326</c:v>
                </c:pt>
                <c:pt idx="5">
                  <c:v>0.59895833333333326</c:v>
                </c:pt>
                <c:pt idx="6">
                  <c:v>0.59895833333333326</c:v>
                </c:pt>
                <c:pt idx="7">
                  <c:v>0.59895833333333326</c:v>
                </c:pt>
                <c:pt idx="8">
                  <c:v>0.59895833333333326</c:v>
                </c:pt>
                <c:pt idx="9">
                  <c:v>0.59895833333333326</c:v>
                </c:pt>
                <c:pt idx="10">
                  <c:v>0.59895833333333326</c:v>
                </c:pt>
                <c:pt idx="11">
                  <c:v>0.59895833333333326</c:v>
                </c:pt>
                <c:pt idx="12">
                  <c:v>0.59895833333333326</c:v>
                </c:pt>
                <c:pt idx="13">
                  <c:v>0.59895833333333326</c:v>
                </c:pt>
                <c:pt idx="14">
                  <c:v>0.59895833333333326</c:v>
                </c:pt>
                <c:pt idx="15">
                  <c:v>0.59895833333333326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D-428D-BE8F-36D10392C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F3D-44C9-A66F-9EC130A160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D-44C9-A66F-9EC130A1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F3D-44C9-A66F-9EC130A160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3D-44C9-A66F-9EC130A1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4797</c:v>
                </c:pt>
                <c:pt idx="1">
                  <c:v>30250</c:v>
                </c:pt>
                <c:pt idx="3">
                  <c:v>844</c:v>
                </c:pt>
                <c:pt idx="4">
                  <c:v>6281</c:v>
                </c:pt>
                <c:pt idx="5">
                  <c:v>2399</c:v>
                </c:pt>
                <c:pt idx="6">
                  <c:v>4402</c:v>
                </c:pt>
                <c:pt idx="7">
                  <c:v>5108</c:v>
                </c:pt>
                <c:pt idx="10">
                  <c:v>5676</c:v>
                </c:pt>
                <c:pt idx="12">
                  <c:v>1972</c:v>
                </c:pt>
                <c:pt idx="14">
                  <c:v>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C-42BC-AE2B-F2CA416E3750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4797</c:v>
                </c:pt>
                <c:pt idx="1">
                  <c:v>30250</c:v>
                </c:pt>
                <c:pt idx="2">
                  <c:v>5316</c:v>
                </c:pt>
                <c:pt idx="3">
                  <c:v>844</c:v>
                </c:pt>
                <c:pt idx="4">
                  <c:v>6281</c:v>
                </c:pt>
                <c:pt idx="5">
                  <c:v>2399</c:v>
                </c:pt>
                <c:pt idx="6">
                  <c:v>4402</c:v>
                </c:pt>
                <c:pt idx="7">
                  <c:v>5108</c:v>
                </c:pt>
                <c:pt idx="9">
                  <c:v>1019</c:v>
                </c:pt>
                <c:pt idx="10">
                  <c:v>5676</c:v>
                </c:pt>
                <c:pt idx="11">
                  <c:v>5415</c:v>
                </c:pt>
                <c:pt idx="12">
                  <c:v>1972</c:v>
                </c:pt>
                <c:pt idx="13">
                  <c:v>1226</c:v>
                </c:pt>
                <c:pt idx="14">
                  <c:v>7862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C-42BC-AE2B-F2CA416E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96%</c:v>
                </c:pt>
                <c:pt idx="1">
                  <c:v>100%</c:v>
                </c:pt>
                <c:pt idx="2">
                  <c:v>0%</c:v>
                </c:pt>
                <c:pt idx="3">
                  <c:v>21%</c:v>
                </c:pt>
                <c:pt idx="4">
                  <c:v>100%</c:v>
                </c:pt>
                <c:pt idx="5">
                  <c:v>50%</c:v>
                </c:pt>
                <c:pt idx="6">
                  <c:v>88%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46%</c:v>
                </c:pt>
                <c:pt idx="13">
                  <c:v>0%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0.95833333333333337</c:v>
                </c:pt>
                <c:pt idx="1">
                  <c:v>1</c:v>
                </c:pt>
                <c:pt idx="2">
                  <c:v>0</c:v>
                </c:pt>
                <c:pt idx="3">
                  <c:v>0.20833333333333334</c:v>
                </c:pt>
                <c:pt idx="4">
                  <c:v>1</c:v>
                </c:pt>
                <c:pt idx="5">
                  <c:v>0.5</c:v>
                </c:pt>
                <c:pt idx="6">
                  <c:v>0.875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D-4844-8ADC-7DD15CDA49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CD-4844-8ADC-7DD15CDA49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0.46614583333333331</c:v>
                </c:pt>
                <c:pt idx="1">
                  <c:v>0.46614583333333331</c:v>
                </c:pt>
                <c:pt idx="2">
                  <c:v>0.46614583333333331</c:v>
                </c:pt>
                <c:pt idx="3">
                  <c:v>0.46614583333333331</c:v>
                </c:pt>
                <c:pt idx="4">
                  <c:v>0.46614583333333331</c:v>
                </c:pt>
                <c:pt idx="5">
                  <c:v>0.46614583333333331</c:v>
                </c:pt>
                <c:pt idx="6">
                  <c:v>0.46614583333333331</c:v>
                </c:pt>
                <c:pt idx="7">
                  <c:v>0.46614583333333331</c:v>
                </c:pt>
                <c:pt idx="8">
                  <c:v>0.46614583333333331</c:v>
                </c:pt>
                <c:pt idx="9">
                  <c:v>0.46614583333333331</c:v>
                </c:pt>
                <c:pt idx="10">
                  <c:v>0.46614583333333331</c:v>
                </c:pt>
                <c:pt idx="11">
                  <c:v>0.46614583333333331</c:v>
                </c:pt>
                <c:pt idx="12">
                  <c:v>0.46614583333333331</c:v>
                </c:pt>
                <c:pt idx="13">
                  <c:v>0.46614583333333331</c:v>
                </c:pt>
                <c:pt idx="14">
                  <c:v>0.46614583333333331</c:v>
                </c:pt>
                <c:pt idx="15">
                  <c:v>0.46614583333333331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D-4844-8ADC-7DD15CDA4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4797</c:v>
                </c:pt>
                <c:pt idx="1">
                  <c:v>30250</c:v>
                </c:pt>
                <c:pt idx="3">
                  <c:v>844</c:v>
                </c:pt>
                <c:pt idx="4">
                  <c:v>6281</c:v>
                </c:pt>
                <c:pt idx="5">
                  <c:v>2399</c:v>
                </c:pt>
                <c:pt idx="6">
                  <c:v>4402</c:v>
                </c:pt>
                <c:pt idx="7">
                  <c:v>5108</c:v>
                </c:pt>
                <c:pt idx="10">
                  <c:v>5676</c:v>
                </c:pt>
                <c:pt idx="12">
                  <c:v>1972</c:v>
                </c:pt>
                <c:pt idx="14">
                  <c:v>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9-4748-8937-C589B0D5D7BB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4797</c:v>
                </c:pt>
                <c:pt idx="1">
                  <c:v>30250</c:v>
                </c:pt>
                <c:pt idx="2">
                  <c:v>5316</c:v>
                </c:pt>
                <c:pt idx="3">
                  <c:v>844</c:v>
                </c:pt>
                <c:pt idx="4">
                  <c:v>6281</c:v>
                </c:pt>
                <c:pt idx="5">
                  <c:v>2399</c:v>
                </c:pt>
                <c:pt idx="6">
                  <c:v>4402</c:v>
                </c:pt>
                <c:pt idx="7">
                  <c:v>5108</c:v>
                </c:pt>
                <c:pt idx="9">
                  <c:v>1019</c:v>
                </c:pt>
                <c:pt idx="10">
                  <c:v>5676</c:v>
                </c:pt>
                <c:pt idx="11">
                  <c:v>5415</c:v>
                </c:pt>
                <c:pt idx="12">
                  <c:v>1972</c:v>
                </c:pt>
                <c:pt idx="13">
                  <c:v>1226</c:v>
                </c:pt>
                <c:pt idx="14">
                  <c:v>7862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9-4748-8937-C589B0D5D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96%</c:v>
                </c:pt>
                <c:pt idx="1">
                  <c:v>100%</c:v>
                </c:pt>
                <c:pt idx="2">
                  <c:v>0%</c:v>
                </c:pt>
                <c:pt idx="3">
                  <c:v>21%</c:v>
                </c:pt>
                <c:pt idx="4">
                  <c:v>100%</c:v>
                </c:pt>
                <c:pt idx="5">
                  <c:v>50%</c:v>
                </c:pt>
                <c:pt idx="6">
                  <c:v>88%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46%</c:v>
                </c:pt>
                <c:pt idx="13">
                  <c:v>0%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0.95833333333333337</c:v>
                </c:pt>
                <c:pt idx="1">
                  <c:v>1</c:v>
                </c:pt>
                <c:pt idx="2">
                  <c:v>0</c:v>
                </c:pt>
                <c:pt idx="3">
                  <c:v>0.20833333333333334</c:v>
                </c:pt>
                <c:pt idx="4">
                  <c:v>1</c:v>
                </c:pt>
                <c:pt idx="5">
                  <c:v>0.5</c:v>
                </c:pt>
                <c:pt idx="6">
                  <c:v>0.875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D-471E-A0EF-7A7D25BA881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7D-471E-A0EF-7A7D25BA88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0.46614583333333331</c:v>
                </c:pt>
                <c:pt idx="1">
                  <c:v>0.46614583333333331</c:v>
                </c:pt>
                <c:pt idx="2">
                  <c:v>0.46614583333333331</c:v>
                </c:pt>
                <c:pt idx="3">
                  <c:v>0.46614583333333331</c:v>
                </c:pt>
                <c:pt idx="4">
                  <c:v>0.46614583333333331</c:v>
                </c:pt>
                <c:pt idx="5">
                  <c:v>0.46614583333333331</c:v>
                </c:pt>
                <c:pt idx="6">
                  <c:v>0.46614583333333331</c:v>
                </c:pt>
                <c:pt idx="7">
                  <c:v>0.46614583333333331</c:v>
                </c:pt>
                <c:pt idx="8">
                  <c:v>0.46614583333333331</c:v>
                </c:pt>
                <c:pt idx="9">
                  <c:v>0.46614583333333331</c:v>
                </c:pt>
                <c:pt idx="10">
                  <c:v>0.46614583333333331</c:v>
                </c:pt>
                <c:pt idx="11">
                  <c:v>0.46614583333333331</c:v>
                </c:pt>
                <c:pt idx="12">
                  <c:v>0.46614583333333331</c:v>
                </c:pt>
                <c:pt idx="13">
                  <c:v>0.46614583333333331</c:v>
                </c:pt>
                <c:pt idx="14">
                  <c:v>0.46614583333333331</c:v>
                </c:pt>
                <c:pt idx="15">
                  <c:v>0.46614583333333331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D-471E-A0EF-7A7D25BA8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CEB-4234-A5A1-64426D5C1F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B-4234-A5A1-64426D5C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CEB-4234-A5A1-64426D5C1F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EB-4234-A5A1-64426D5C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2971</c:v>
                </c:pt>
                <c:pt idx="1">
                  <c:v>31645</c:v>
                </c:pt>
                <c:pt idx="2">
                  <c:v>5406</c:v>
                </c:pt>
                <c:pt idx="3">
                  <c:v>2271</c:v>
                </c:pt>
                <c:pt idx="4">
                  <c:v>6605</c:v>
                </c:pt>
                <c:pt idx="6">
                  <c:v>4760</c:v>
                </c:pt>
                <c:pt idx="10">
                  <c:v>5686</c:v>
                </c:pt>
                <c:pt idx="13">
                  <c:v>2145</c:v>
                </c:pt>
                <c:pt idx="14">
                  <c:v>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A-4E8B-833E-35E5E1864665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2971</c:v>
                </c:pt>
                <c:pt idx="1">
                  <c:v>31645</c:v>
                </c:pt>
                <c:pt idx="2">
                  <c:v>5406</c:v>
                </c:pt>
                <c:pt idx="3">
                  <c:v>2271</c:v>
                </c:pt>
                <c:pt idx="4">
                  <c:v>6605</c:v>
                </c:pt>
                <c:pt idx="5">
                  <c:v>2399</c:v>
                </c:pt>
                <c:pt idx="6">
                  <c:v>4760</c:v>
                </c:pt>
                <c:pt idx="7">
                  <c:v>5108</c:v>
                </c:pt>
                <c:pt idx="9">
                  <c:v>1019</c:v>
                </c:pt>
                <c:pt idx="10">
                  <c:v>5686</c:v>
                </c:pt>
                <c:pt idx="11">
                  <c:v>5415</c:v>
                </c:pt>
                <c:pt idx="12">
                  <c:v>1972</c:v>
                </c:pt>
                <c:pt idx="13">
                  <c:v>2145</c:v>
                </c:pt>
                <c:pt idx="14">
                  <c:v>9614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A-4E8B-833E-35E5E1864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58%</c:v>
                </c:pt>
                <c:pt idx="1">
                  <c:v>100%</c:v>
                </c:pt>
                <c:pt idx="2">
                  <c:v>58%</c:v>
                </c:pt>
                <c:pt idx="3">
                  <c:v>46%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42%</c:v>
                </c:pt>
                <c:pt idx="14">
                  <c:v>88%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1</c:v>
                </c:pt>
                <c:pt idx="2">
                  <c:v>0.58333333333333337</c:v>
                </c:pt>
                <c:pt idx="3">
                  <c:v>0.45833333333333331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0.41666666666666669</c:v>
                </c:pt>
                <c:pt idx="14">
                  <c:v>0.875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7-4460-8A3E-6600703E4AC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27-4460-8A3E-6600703E4A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0.43229166666666669</c:v>
                </c:pt>
                <c:pt idx="1">
                  <c:v>0.43229166666666669</c:v>
                </c:pt>
                <c:pt idx="2">
                  <c:v>0.43229166666666669</c:v>
                </c:pt>
                <c:pt idx="3">
                  <c:v>0.43229166666666669</c:v>
                </c:pt>
                <c:pt idx="4">
                  <c:v>0.43229166666666669</c:v>
                </c:pt>
                <c:pt idx="5">
                  <c:v>0.43229166666666669</c:v>
                </c:pt>
                <c:pt idx="6">
                  <c:v>0.43229166666666669</c:v>
                </c:pt>
                <c:pt idx="7">
                  <c:v>0.43229166666666669</c:v>
                </c:pt>
                <c:pt idx="8">
                  <c:v>0.43229166666666669</c:v>
                </c:pt>
                <c:pt idx="9">
                  <c:v>0.43229166666666669</c:v>
                </c:pt>
                <c:pt idx="10">
                  <c:v>0.43229166666666669</c:v>
                </c:pt>
                <c:pt idx="11">
                  <c:v>0.43229166666666669</c:v>
                </c:pt>
                <c:pt idx="12">
                  <c:v>0.43229166666666669</c:v>
                </c:pt>
                <c:pt idx="13">
                  <c:v>0.43229166666666669</c:v>
                </c:pt>
                <c:pt idx="14">
                  <c:v>0.43229166666666669</c:v>
                </c:pt>
                <c:pt idx="15">
                  <c:v>0.43229166666666669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27-4460-8A3E-6600703E4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2971</c:v>
                </c:pt>
                <c:pt idx="1">
                  <c:v>31645</c:v>
                </c:pt>
                <c:pt idx="2">
                  <c:v>5406</c:v>
                </c:pt>
                <c:pt idx="3">
                  <c:v>2271</c:v>
                </c:pt>
                <c:pt idx="4">
                  <c:v>6605</c:v>
                </c:pt>
                <c:pt idx="6">
                  <c:v>4760</c:v>
                </c:pt>
                <c:pt idx="10">
                  <c:v>5686</c:v>
                </c:pt>
                <c:pt idx="13">
                  <c:v>2145</c:v>
                </c:pt>
                <c:pt idx="14">
                  <c:v>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5-43E7-BD5F-792EADD1A61E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2971</c:v>
                </c:pt>
                <c:pt idx="1">
                  <c:v>31645</c:v>
                </c:pt>
                <c:pt idx="2">
                  <c:v>5406</c:v>
                </c:pt>
                <c:pt idx="3">
                  <c:v>2271</c:v>
                </c:pt>
                <c:pt idx="4">
                  <c:v>6605</c:v>
                </c:pt>
                <c:pt idx="5">
                  <c:v>2399</c:v>
                </c:pt>
                <c:pt idx="6">
                  <c:v>4760</c:v>
                </c:pt>
                <c:pt idx="7">
                  <c:v>5108</c:v>
                </c:pt>
                <c:pt idx="9">
                  <c:v>1019</c:v>
                </c:pt>
                <c:pt idx="10">
                  <c:v>5686</c:v>
                </c:pt>
                <c:pt idx="11">
                  <c:v>5415</c:v>
                </c:pt>
                <c:pt idx="12">
                  <c:v>1972</c:v>
                </c:pt>
                <c:pt idx="13">
                  <c:v>2145</c:v>
                </c:pt>
                <c:pt idx="14">
                  <c:v>9614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5-43E7-BD5F-792EADD1A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58%</c:v>
                </c:pt>
                <c:pt idx="1">
                  <c:v>100%</c:v>
                </c:pt>
                <c:pt idx="2">
                  <c:v>58%</c:v>
                </c:pt>
                <c:pt idx="3">
                  <c:v>46%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42%</c:v>
                </c:pt>
                <c:pt idx="14">
                  <c:v>88%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1</c:v>
                </c:pt>
                <c:pt idx="2">
                  <c:v>0.58333333333333337</c:v>
                </c:pt>
                <c:pt idx="3">
                  <c:v>0.45833333333333331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0.41666666666666669</c:v>
                </c:pt>
                <c:pt idx="14">
                  <c:v>0.875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E-432F-86C2-90599FF112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AE-432F-86C2-90599FF112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SAM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0.43229166666666669</c:v>
                </c:pt>
                <c:pt idx="1">
                  <c:v>0.43229166666666669</c:v>
                </c:pt>
                <c:pt idx="2">
                  <c:v>0.43229166666666669</c:v>
                </c:pt>
                <c:pt idx="3">
                  <c:v>0.43229166666666669</c:v>
                </c:pt>
                <c:pt idx="4">
                  <c:v>0.43229166666666669</c:v>
                </c:pt>
                <c:pt idx="5">
                  <c:v>0.43229166666666669</c:v>
                </c:pt>
                <c:pt idx="6">
                  <c:v>0.43229166666666669</c:v>
                </c:pt>
                <c:pt idx="7">
                  <c:v>0.43229166666666669</c:v>
                </c:pt>
                <c:pt idx="8">
                  <c:v>0.43229166666666669</c:v>
                </c:pt>
                <c:pt idx="9">
                  <c:v>0.43229166666666669</c:v>
                </c:pt>
                <c:pt idx="10">
                  <c:v>0.43229166666666669</c:v>
                </c:pt>
                <c:pt idx="11">
                  <c:v>0.43229166666666669</c:v>
                </c:pt>
                <c:pt idx="12">
                  <c:v>0.43229166666666669</c:v>
                </c:pt>
                <c:pt idx="13">
                  <c:v>0.43229166666666669</c:v>
                </c:pt>
                <c:pt idx="14">
                  <c:v>0.43229166666666669</c:v>
                </c:pt>
                <c:pt idx="15">
                  <c:v>0.43229166666666669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E-432F-86C2-90599FF11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532-4B75-A703-D646CF357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2-4B75-A703-D646CF357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532-4B75-A703-D646CF3579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2-4B75-A703-D646CF357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5466</c:v>
                </c:pt>
                <c:pt idx="1">
                  <c:v>61455</c:v>
                </c:pt>
                <c:pt idx="2">
                  <c:v>11010</c:v>
                </c:pt>
                <c:pt idx="3">
                  <c:v>4333</c:v>
                </c:pt>
                <c:pt idx="4">
                  <c:v>6597</c:v>
                </c:pt>
                <c:pt idx="5">
                  <c:v>150</c:v>
                </c:pt>
                <c:pt idx="6">
                  <c:v>5003</c:v>
                </c:pt>
                <c:pt idx="9">
                  <c:v>2059</c:v>
                </c:pt>
                <c:pt idx="10">
                  <c:v>0</c:v>
                </c:pt>
                <c:pt idx="12">
                  <c:v>3060</c:v>
                </c:pt>
                <c:pt idx="14">
                  <c:v>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F-49B8-A5CD-F4703C130722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5466</c:v>
                </c:pt>
                <c:pt idx="1">
                  <c:v>61455</c:v>
                </c:pt>
                <c:pt idx="2">
                  <c:v>11010</c:v>
                </c:pt>
                <c:pt idx="3">
                  <c:v>4333</c:v>
                </c:pt>
                <c:pt idx="4">
                  <c:v>6597</c:v>
                </c:pt>
                <c:pt idx="5">
                  <c:v>150</c:v>
                </c:pt>
                <c:pt idx="6">
                  <c:v>5003</c:v>
                </c:pt>
                <c:pt idx="7">
                  <c:v>5108</c:v>
                </c:pt>
                <c:pt idx="9">
                  <c:v>2059</c:v>
                </c:pt>
                <c:pt idx="10">
                  <c:v>5686</c:v>
                </c:pt>
                <c:pt idx="11">
                  <c:v>5415</c:v>
                </c:pt>
                <c:pt idx="12">
                  <c:v>3060</c:v>
                </c:pt>
                <c:pt idx="13">
                  <c:v>2145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F-49B8-A5CD-F4703C130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96%</c:v>
                </c:pt>
                <c:pt idx="1">
                  <c:v>100%</c:v>
                </c:pt>
                <c:pt idx="2">
                  <c:v>96%</c:v>
                </c:pt>
                <c:pt idx="3">
                  <c:v>83%</c:v>
                </c:pt>
                <c:pt idx="4">
                  <c:v>100%</c:v>
                </c:pt>
                <c:pt idx="5">
                  <c:v>13%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50%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0%</c:v>
                </c:pt>
                <c:pt idx="14">
                  <c:v>96%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0.95833333333333337</c:v>
                </c:pt>
                <c:pt idx="1">
                  <c:v>1</c:v>
                </c:pt>
                <c:pt idx="2">
                  <c:v>0.95833333333333337</c:v>
                </c:pt>
                <c:pt idx="3">
                  <c:v>0.83333333333333337</c:v>
                </c:pt>
                <c:pt idx="4">
                  <c:v>1</c:v>
                </c:pt>
                <c:pt idx="5">
                  <c:v>0.125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0</c:v>
                </c:pt>
                <c:pt idx="14">
                  <c:v>0.95833333333333337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9-43F2-A3A8-916F8EC75F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49-43F2-A3A8-916F8EC75F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0.49479166666666663</c:v>
                </c:pt>
                <c:pt idx="1">
                  <c:v>0.49479166666666663</c:v>
                </c:pt>
                <c:pt idx="2">
                  <c:v>0.49479166666666663</c:v>
                </c:pt>
                <c:pt idx="3">
                  <c:v>0.49479166666666663</c:v>
                </c:pt>
                <c:pt idx="4">
                  <c:v>0.49479166666666663</c:v>
                </c:pt>
                <c:pt idx="5">
                  <c:v>0.49479166666666663</c:v>
                </c:pt>
                <c:pt idx="6">
                  <c:v>0.49479166666666663</c:v>
                </c:pt>
                <c:pt idx="7">
                  <c:v>0.49479166666666663</c:v>
                </c:pt>
                <c:pt idx="8">
                  <c:v>0.49479166666666663</c:v>
                </c:pt>
                <c:pt idx="9">
                  <c:v>0.49479166666666663</c:v>
                </c:pt>
                <c:pt idx="10">
                  <c:v>0.49479166666666663</c:v>
                </c:pt>
                <c:pt idx="11">
                  <c:v>0.49479166666666663</c:v>
                </c:pt>
                <c:pt idx="12">
                  <c:v>0.49479166666666663</c:v>
                </c:pt>
                <c:pt idx="13">
                  <c:v>0.49479166666666663</c:v>
                </c:pt>
                <c:pt idx="14">
                  <c:v>0.49479166666666663</c:v>
                </c:pt>
                <c:pt idx="15">
                  <c:v>0.49479166666666663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49-43F2-A3A8-916F8EC75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5466</c:v>
                </c:pt>
                <c:pt idx="1">
                  <c:v>61455</c:v>
                </c:pt>
                <c:pt idx="2">
                  <c:v>11010</c:v>
                </c:pt>
                <c:pt idx="3">
                  <c:v>4333</c:v>
                </c:pt>
                <c:pt idx="4">
                  <c:v>6597</c:v>
                </c:pt>
                <c:pt idx="5">
                  <c:v>150</c:v>
                </c:pt>
                <c:pt idx="6">
                  <c:v>5003</c:v>
                </c:pt>
                <c:pt idx="9">
                  <c:v>2059</c:v>
                </c:pt>
                <c:pt idx="10">
                  <c:v>0</c:v>
                </c:pt>
                <c:pt idx="12">
                  <c:v>3060</c:v>
                </c:pt>
                <c:pt idx="14">
                  <c:v>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7-4A64-8D9A-047A3714374A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5466</c:v>
                </c:pt>
                <c:pt idx="1">
                  <c:v>61455</c:v>
                </c:pt>
                <c:pt idx="2">
                  <c:v>11010</c:v>
                </c:pt>
                <c:pt idx="3">
                  <c:v>4333</c:v>
                </c:pt>
                <c:pt idx="4">
                  <c:v>6597</c:v>
                </c:pt>
                <c:pt idx="5">
                  <c:v>150</c:v>
                </c:pt>
                <c:pt idx="6">
                  <c:v>5003</c:v>
                </c:pt>
                <c:pt idx="7">
                  <c:v>5108</c:v>
                </c:pt>
                <c:pt idx="9">
                  <c:v>2059</c:v>
                </c:pt>
                <c:pt idx="10">
                  <c:v>5686</c:v>
                </c:pt>
                <c:pt idx="11">
                  <c:v>5415</c:v>
                </c:pt>
                <c:pt idx="12">
                  <c:v>3060</c:v>
                </c:pt>
                <c:pt idx="13">
                  <c:v>2145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7-4A64-8D9A-047A3714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96%</c:v>
                </c:pt>
                <c:pt idx="1">
                  <c:v>100%</c:v>
                </c:pt>
                <c:pt idx="2">
                  <c:v>96%</c:v>
                </c:pt>
                <c:pt idx="3">
                  <c:v>83%</c:v>
                </c:pt>
                <c:pt idx="4">
                  <c:v>100%</c:v>
                </c:pt>
                <c:pt idx="5">
                  <c:v>13%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50%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0%</c:v>
                </c:pt>
                <c:pt idx="14">
                  <c:v>96%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0.95833333333333337</c:v>
                </c:pt>
                <c:pt idx="1">
                  <c:v>1</c:v>
                </c:pt>
                <c:pt idx="2">
                  <c:v>0.95833333333333337</c:v>
                </c:pt>
                <c:pt idx="3">
                  <c:v>0.83333333333333337</c:v>
                </c:pt>
                <c:pt idx="4">
                  <c:v>1</c:v>
                </c:pt>
                <c:pt idx="5">
                  <c:v>0.125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0</c:v>
                </c:pt>
                <c:pt idx="14">
                  <c:v>0.95833333333333337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9-4F5A-9FB5-F99E096E48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39-4F5A-9FB5-F99E096E48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0.49479166666666663</c:v>
                </c:pt>
                <c:pt idx="1">
                  <c:v>0.49479166666666663</c:v>
                </c:pt>
                <c:pt idx="2">
                  <c:v>0.49479166666666663</c:v>
                </c:pt>
                <c:pt idx="3">
                  <c:v>0.49479166666666663</c:v>
                </c:pt>
                <c:pt idx="4">
                  <c:v>0.49479166666666663</c:v>
                </c:pt>
                <c:pt idx="5">
                  <c:v>0.49479166666666663</c:v>
                </c:pt>
                <c:pt idx="6">
                  <c:v>0.49479166666666663</c:v>
                </c:pt>
                <c:pt idx="7">
                  <c:v>0.49479166666666663</c:v>
                </c:pt>
                <c:pt idx="8">
                  <c:v>0.49479166666666663</c:v>
                </c:pt>
                <c:pt idx="9">
                  <c:v>0.49479166666666663</c:v>
                </c:pt>
                <c:pt idx="10">
                  <c:v>0.49479166666666663</c:v>
                </c:pt>
                <c:pt idx="11">
                  <c:v>0.49479166666666663</c:v>
                </c:pt>
                <c:pt idx="12">
                  <c:v>0.49479166666666663</c:v>
                </c:pt>
                <c:pt idx="13">
                  <c:v>0.49479166666666663</c:v>
                </c:pt>
                <c:pt idx="14">
                  <c:v>0.49479166666666663</c:v>
                </c:pt>
                <c:pt idx="15">
                  <c:v>0.49479166666666663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39-4F5A-9FB5-F99E096E4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D9C-410D-869D-DCB06F99D8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C-410D-869D-DCB06F99D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D9C-410D-869D-DCB06F99D8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9C-410D-869D-DCB06F99D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4155</c:v>
                </c:pt>
                <c:pt idx="1">
                  <c:v>29830</c:v>
                </c:pt>
                <c:pt idx="2">
                  <c:v>11898</c:v>
                </c:pt>
                <c:pt idx="3">
                  <c:v>4467</c:v>
                </c:pt>
                <c:pt idx="4">
                  <c:v>6699</c:v>
                </c:pt>
                <c:pt idx="5">
                  <c:v>2707</c:v>
                </c:pt>
                <c:pt idx="6">
                  <c:v>4109</c:v>
                </c:pt>
                <c:pt idx="9">
                  <c:v>5272</c:v>
                </c:pt>
                <c:pt idx="10">
                  <c:v>2928</c:v>
                </c:pt>
                <c:pt idx="12">
                  <c:v>2914</c:v>
                </c:pt>
                <c:pt idx="13">
                  <c:v>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B-4847-80BC-1A7E1345D60C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4155</c:v>
                </c:pt>
                <c:pt idx="1">
                  <c:v>29830</c:v>
                </c:pt>
                <c:pt idx="2">
                  <c:v>11898</c:v>
                </c:pt>
                <c:pt idx="3">
                  <c:v>4467</c:v>
                </c:pt>
                <c:pt idx="4">
                  <c:v>6699</c:v>
                </c:pt>
                <c:pt idx="5">
                  <c:v>2707</c:v>
                </c:pt>
                <c:pt idx="6">
                  <c:v>4109</c:v>
                </c:pt>
                <c:pt idx="7">
                  <c:v>5108</c:v>
                </c:pt>
                <c:pt idx="9">
                  <c:v>5272</c:v>
                </c:pt>
                <c:pt idx="10">
                  <c:v>2928</c:v>
                </c:pt>
                <c:pt idx="11">
                  <c:v>5415</c:v>
                </c:pt>
                <c:pt idx="12">
                  <c:v>2914</c:v>
                </c:pt>
                <c:pt idx="13">
                  <c:v>4203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B-4847-80BC-1A7E1345D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83%</c:v>
                </c:pt>
                <c:pt idx="1">
                  <c:v>42%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58%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46%</c:v>
                </c:pt>
                <c:pt idx="11">
                  <c:v>0%</c:v>
                </c:pt>
                <c:pt idx="12">
                  <c:v>46%</c:v>
                </c:pt>
                <c:pt idx="13">
                  <c:v>83%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0.83333333333333337</c:v>
                </c:pt>
                <c:pt idx="1">
                  <c:v>0.41666666666666669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0.58333333333333337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0.45833333333333331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0.83333333333333337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7E-4CE7-83C4-446950B965B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7E-4CE7-83C4-446950B965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0.52083333333333326</c:v>
                </c:pt>
                <c:pt idx="1">
                  <c:v>0.52083333333333326</c:v>
                </c:pt>
                <c:pt idx="2">
                  <c:v>0.52083333333333326</c:v>
                </c:pt>
                <c:pt idx="3">
                  <c:v>0.52083333333333326</c:v>
                </c:pt>
                <c:pt idx="4">
                  <c:v>0.52083333333333326</c:v>
                </c:pt>
                <c:pt idx="5">
                  <c:v>0.52083333333333326</c:v>
                </c:pt>
                <c:pt idx="6">
                  <c:v>0.52083333333333326</c:v>
                </c:pt>
                <c:pt idx="7">
                  <c:v>0.52083333333333326</c:v>
                </c:pt>
                <c:pt idx="8">
                  <c:v>0.52083333333333326</c:v>
                </c:pt>
                <c:pt idx="9">
                  <c:v>0.52083333333333326</c:v>
                </c:pt>
                <c:pt idx="10">
                  <c:v>0.52083333333333326</c:v>
                </c:pt>
                <c:pt idx="11">
                  <c:v>0.52083333333333326</c:v>
                </c:pt>
                <c:pt idx="12">
                  <c:v>0.52083333333333326</c:v>
                </c:pt>
                <c:pt idx="13">
                  <c:v>0.52083333333333326</c:v>
                </c:pt>
                <c:pt idx="14">
                  <c:v>0.52083333333333326</c:v>
                </c:pt>
                <c:pt idx="15">
                  <c:v>0.52083333333333326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7E-4CE7-83C4-446950B96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4155</c:v>
                </c:pt>
                <c:pt idx="1">
                  <c:v>29830</c:v>
                </c:pt>
                <c:pt idx="2">
                  <c:v>11898</c:v>
                </c:pt>
                <c:pt idx="3">
                  <c:v>4467</c:v>
                </c:pt>
                <c:pt idx="4">
                  <c:v>6699</c:v>
                </c:pt>
                <c:pt idx="5">
                  <c:v>2707</c:v>
                </c:pt>
                <c:pt idx="6">
                  <c:v>4109</c:v>
                </c:pt>
                <c:pt idx="9">
                  <c:v>5272</c:v>
                </c:pt>
                <c:pt idx="10">
                  <c:v>2928</c:v>
                </c:pt>
                <c:pt idx="12">
                  <c:v>2914</c:v>
                </c:pt>
                <c:pt idx="13">
                  <c:v>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1-4F3A-A11A-CC1F8C44F893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4155</c:v>
                </c:pt>
                <c:pt idx="1">
                  <c:v>29830</c:v>
                </c:pt>
                <c:pt idx="2">
                  <c:v>11898</c:v>
                </c:pt>
                <c:pt idx="3">
                  <c:v>4467</c:v>
                </c:pt>
                <c:pt idx="4">
                  <c:v>6699</c:v>
                </c:pt>
                <c:pt idx="5">
                  <c:v>2707</c:v>
                </c:pt>
                <c:pt idx="6">
                  <c:v>4109</c:v>
                </c:pt>
                <c:pt idx="7">
                  <c:v>5108</c:v>
                </c:pt>
                <c:pt idx="9">
                  <c:v>5272</c:v>
                </c:pt>
                <c:pt idx="10">
                  <c:v>2928</c:v>
                </c:pt>
                <c:pt idx="11">
                  <c:v>5415</c:v>
                </c:pt>
                <c:pt idx="12">
                  <c:v>2914</c:v>
                </c:pt>
                <c:pt idx="13">
                  <c:v>4203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1-4F3A-A11A-CC1F8C44F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83%</c:v>
                </c:pt>
                <c:pt idx="1">
                  <c:v>42%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58%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46%</c:v>
                </c:pt>
                <c:pt idx="11">
                  <c:v>0%</c:v>
                </c:pt>
                <c:pt idx="12">
                  <c:v>46%</c:v>
                </c:pt>
                <c:pt idx="13">
                  <c:v>83%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0.83333333333333337</c:v>
                </c:pt>
                <c:pt idx="1">
                  <c:v>0.41666666666666669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0.58333333333333337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0.45833333333333331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0.83333333333333337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E-4FE8-BB22-4C3E83F76F9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3E-4FE8-BB22-4C3E83F76F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SLIDER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0.52083333333333326</c:v>
                </c:pt>
                <c:pt idx="1">
                  <c:v>0.52083333333333326</c:v>
                </c:pt>
                <c:pt idx="2">
                  <c:v>0.52083333333333326</c:v>
                </c:pt>
                <c:pt idx="3">
                  <c:v>0.52083333333333326</c:v>
                </c:pt>
                <c:pt idx="4">
                  <c:v>0.52083333333333326</c:v>
                </c:pt>
                <c:pt idx="5">
                  <c:v>0.52083333333333326</c:v>
                </c:pt>
                <c:pt idx="6">
                  <c:v>0.52083333333333326</c:v>
                </c:pt>
                <c:pt idx="7">
                  <c:v>0.52083333333333326</c:v>
                </c:pt>
                <c:pt idx="8">
                  <c:v>0.52083333333333326</c:v>
                </c:pt>
                <c:pt idx="9">
                  <c:v>0.52083333333333326</c:v>
                </c:pt>
                <c:pt idx="10">
                  <c:v>0.52083333333333326</c:v>
                </c:pt>
                <c:pt idx="11">
                  <c:v>0.52083333333333326</c:v>
                </c:pt>
                <c:pt idx="12">
                  <c:v>0.52083333333333326</c:v>
                </c:pt>
                <c:pt idx="13">
                  <c:v>0.52083333333333326</c:v>
                </c:pt>
                <c:pt idx="14">
                  <c:v>0.52083333333333326</c:v>
                </c:pt>
                <c:pt idx="15">
                  <c:v>0.52083333333333326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E-4FE8-BB22-4C3E83F76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3D-4E32-AF0B-DBE19C21DA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D-4E32-AF0B-DBE19C21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A3D-4E32-AF0B-DBE19C21DA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D-4E32-AF0B-DBE19C21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4741</c:v>
                </c:pt>
                <c:pt idx="2">
                  <c:v>1745</c:v>
                </c:pt>
                <c:pt idx="3">
                  <c:v>3209</c:v>
                </c:pt>
                <c:pt idx="4">
                  <c:v>6628</c:v>
                </c:pt>
                <c:pt idx="6">
                  <c:v>5018</c:v>
                </c:pt>
                <c:pt idx="9">
                  <c:v>5214</c:v>
                </c:pt>
                <c:pt idx="10">
                  <c:v>5476</c:v>
                </c:pt>
                <c:pt idx="13">
                  <c:v>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D-44D1-8A0B-A0F7EF6FD9D0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4741</c:v>
                </c:pt>
                <c:pt idx="1">
                  <c:v>29830</c:v>
                </c:pt>
                <c:pt idx="2">
                  <c:v>1745</c:v>
                </c:pt>
                <c:pt idx="3">
                  <c:v>3209</c:v>
                </c:pt>
                <c:pt idx="4">
                  <c:v>6628</c:v>
                </c:pt>
                <c:pt idx="5">
                  <c:v>2707</c:v>
                </c:pt>
                <c:pt idx="6">
                  <c:v>5018</c:v>
                </c:pt>
                <c:pt idx="7">
                  <c:v>5108</c:v>
                </c:pt>
                <c:pt idx="9">
                  <c:v>5214</c:v>
                </c:pt>
                <c:pt idx="10">
                  <c:v>5476</c:v>
                </c:pt>
                <c:pt idx="11">
                  <c:v>5415</c:v>
                </c:pt>
                <c:pt idx="12">
                  <c:v>2914</c:v>
                </c:pt>
                <c:pt idx="13">
                  <c:v>5242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D-44D1-8A0B-A0F7EF6FD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92%</c:v>
                </c:pt>
                <c:pt idx="1">
                  <c:v>0%</c:v>
                </c:pt>
                <c:pt idx="2">
                  <c:v>42%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92%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</c:v>
                </c:pt>
                <c:pt idx="2">
                  <c:v>0.41666666666666669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0.91666666666666663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8-47E2-B260-91F571F5630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78-47E2-B260-91F571F5630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0.4375</c:v>
                </c:pt>
                <c:pt idx="1">
                  <c:v>0.4375</c:v>
                </c:pt>
                <c:pt idx="2">
                  <c:v>0.4375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0.4375</c:v>
                </c:pt>
                <c:pt idx="7">
                  <c:v>0.4375</c:v>
                </c:pt>
                <c:pt idx="8">
                  <c:v>0.4375</c:v>
                </c:pt>
                <c:pt idx="9">
                  <c:v>0.4375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8-47E2-B260-91F571F56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4741</c:v>
                </c:pt>
                <c:pt idx="2">
                  <c:v>1745</c:v>
                </c:pt>
                <c:pt idx="3">
                  <c:v>3209</c:v>
                </c:pt>
                <c:pt idx="4">
                  <c:v>6628</c:v>
                </c:pt>
                <c:pt idx="6">
                  <c:v>5018</c:v>
                </c:pt>
                <c:pt idx="9">
                  <c:v>5214</c:v>
                </c:pt>
                <c:pt idx="10">
                  <c:v>5476</c:v>
                </c:pt>
                <c:pt idx="13">
                  <c:v>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D-4341-9419-956E33F5E202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4741</c:v>
                </c:pt>
                <c:pt idx="1">
                  <c:v>29830</c:v>
                </c:pt>
                <c:pt idx="2">
                  <c:v>1745</c:v>
                </c:pt>
                <c:pt idx="3">
                  <c:v>3209</c:v>
                </c:pt>
                <c:pt idx="4">
                  <c:v>6628</c:v>
                </c:pt>
                <c:pt idx="5">
                  <c:v>2707</c:v>
                </c:pt>
                <c:pt idx="6">
                  <c:v>5018</c:v>
                </c:pt>
                <c:pt idx="7">
                  <c:v>5108</c:v>
                </c:pt>
                <c:pt idx="9">
                  <c:v>5214</c:v>
                </c:pt>
                <c:pt idx="10">
                  <c:v>5476</c:v>
                </c:pt>
                <c:pt idx="11">
                  <c:v>5415</c:v>
                </c:pt>
                <c:pt idx="12">
                  <c:v>2914</c:v>
                </c:pt>
                <c:pt idx="13">
                  <c:v>5242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D-4341-9419-956E33F5E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92%</c:v>
                </c:pt>
                <c:pt idx="1">
                  <c:v>0%</c:v>
                </c:pt>
                <c:pt idx="2">
                  <c:v>42%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92%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</c:v>
                </c:pt>
                <c:pt idx="2">
                  <c:v>0.41666666666666669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0.91666666666666663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2-4F75-96EE-28EA604849F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F2-4F75-96EE-28EA604849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0.4375</c:v>
                </c:pt>
                <c:pt idx="1">
                  <c:v>0.4375</c:v>
                </c:pt>
                <c:pt idx="2">
                  <c:v>0.4375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0.4375</c:v>
                </c:pt>
                <c:pt idx="7">
                  <c:v>0.4375</c:v>
                </c:pt>
                <c:pt idx="8">
                  <c:v>0.4375</c:v>
                </c:pt>
                <c:pt idx="9">
                  <c:v>0.4375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F2-4F75-96EE-28EA60484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369-459C-A820-A72A696AB9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69-459C-A820-A72A696AB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369-459C-A820-A72A696AB9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69-459C-A820-A72A696AB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2">
                  <c:v>5257</c:v>
                </c:pt>
                <c:pt idx="4">
                  <c:v>6905</c:v>
                </c:pt>
                <c:pt idx="6">
                  <c:v>5406</c:v>
                </c:pt>
                <c:pt idx="10">
                  <c:v>5823</c:v>
                </c:pt>
                <c:pt idx="13">
                  <c:v>5070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D-4DB2-A51A-0C178E7DFA4D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4741</c:v>
                </c:pt>
                <c:pt idx="1">
                  <c:v>29830</c:v>
                </c:pt>
                <c:pt idx="2">
                  <c:v>5257</c:v>
                </c:pt>
                <c:pt idx="3">
                  <c:v>3209</c:v>
                </c:pt>
                <c:pt idx="4">
                  <c:v>6905</c:v>
                </c:pt>
                <c:pt idx="5">
                  <c:v>2707</c:v>
                </c:pt>
                <c:pt idx="6">
                  <c:v>5406</c:v>
                </c:pt>
                <c:pt idx="7">
                  <c:v>5108</c:v>
                </c:pt>
                <c:pt idx="9">
                  <c:v>5214</c:v>
                </c:pt>
                <c:pt idx="10">
                  <c:v>5823</c:v>
                </c:pt>
                <c:pt idx="11">
                  <c:v>5415</c:v>
                </c:pt>
                <c:pt idx="12">
                  <c:v>2914</c:v>
                </c:pt>
                <c:pt idx="13">
                  <c:v>5070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D-4DB2-A51A-0C178E7DF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88%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0.875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0-400F-A726-40584C4937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C0-400F-A726-40584C4937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0.29947916666666663</c:v>
                </c:pt>
                <c:pt idx="1">
                  <c:v>0.29947916666666663</c:v>
                </c:pt>
                <c:pt idx="2">
                  <c:v>0.29947916666666663</c:v>
                </c:pt>
                <c:pt idx="3">
                  <c:v>0.29947916666666663</c:v>
                </c:pt>
                <c:pt idx="4">
                  <c:v>0.29947916666666663</c:v>
                </c:pt>
                <c:pt idx="5">
                  <c:v>0.29947916666666663</c:v>
                </c:pt>
                <c:pt idx="6">
                  <c:v>0.29947916666666663</c:v>
                </c:pt>
                <c:pt idx="7">
                  <c:v>0.29947916666666663</c:v>
                </c:pt>
                <c:pt idx="8">
                  <c:v>0.29947916666666663</c:v>
                </c:pt>
                <c:pt idx="9">
                  <c:v>0.29947916666666663</c:v>
                </c:pt>
                <c:pt idx="10">
                  <c:v>0.29947916666666663</c:v>
                </c:pt>
                <c:pt idx="11">
                  <c:v>0.29947916666666663</c:v>
                </c:pt>
                <c:pt idx="12">
                  <c:v>0.29947916666666663</c:v>
                </c:pt>
                <c:pt idx="13">
                  <c:v>0.29947916666666663</c:v>
                </c:pt>
                <c:pt idx="14">
                  <c:v>0.29947916666666663</c:v>
                </c:pt>
                <c:pt idx="15">
                  <c:v>0.29947916666666663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0-400F-A726-40584C493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2">
                  <c:v>5257</c:v>
                </c:pt>
                <c:pt idx="4">
                  <c:v>6905</c:v>
                </c:pt>
                <c:pt idx="6">
                  <c:v>5406</c:v>
                </c:pt>
                <c:pt idx="10">
                  <c:v>5823</c:v>
                </c:pt>
                <c:pt idx="13">
                  <c:v>5070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7-4AAA-8457-AC633FF5AEDB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4741</c:v>
                </c:pt>
                <c:pt idx="1">
                  <c:v>29830</c:v>
                </c:pt>
                <c:pt idx="2">
                  <c:v>5257</c:v>
                </c:pt>
                <c:pt idx="3">
                  <c:v>3209</c:v>
                </c:pt>
                <c:pt idx="4">
                  <c:v>6905</c:v>
                </c:pt>
                <c:pt idx="5">
                  <c:v>2707</c:v>
                </c:pt>
                <c:pt idx="6">
                  <c:v>5406</c:v>
                </c:pt>
                <c:pt idx="7">
                  <c:v>5108</c:v>
                </c:pt>
                <c:pt idx="9">
                  <c:v>5214</c:v>
                </c:pt>
                <c:pt idx="10">
                  <c:v>5823</c:v>
                </c:pt>
                <c:pt idx="11">
                  <c:v>5415</c:v>
                </c:pt>
                <c:pt idx="12">
                  <c:v>2914</c:v>
                </c:pt>
                <c:pt idx="13">
                  <c:v>5070</c:v>
                </c:pt>
                <c:pt idx="14">
                  <c:v>9750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7-4AAA-8457-AC633FF5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88%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0.875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0-4876-B5E4-EE6B3229F1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50-4876-B5E4-EE6B3229F1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SLIDER</c:v>
                </c:pt>
                <c:pt idx="3">
                  <c:v>SLIDER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0.29947916666666663</c:v>
                </c:pt>
                <c:pt idx="1">
                  <c:v>0.29947916666666663</c:v>
                </c:pt>
                <c:pt idx="2">
                  <c:v>0.29947916666666663</c:v>
                </c:pt>
                <c:pt idx="3">
                  <c:v>0.29947916666666663</c:v>
                </c:pt>
                <c:pt idx="4">
                  <c:v>0.29947916666666663</c:v>
                </c:pt>
                <c:pt idx="5">
                  <c:v>0.29947916666666663</c:v>
                </c:pt>
                <c:pt idx="6">
                  <c:v>0.29947916666666663</c:v>
                </c:pt>
                <c:pt idx="7">
                  <c:v>0.29947916666666663</c:v>
                </c:pt>
                <c:pt idx="8">
                  <c:v>0.29947916666666663</c:v>
                </c:pt>
                <c:pt idx="9">
                  <c:v>0.29947916666666663</c:v>
                </c:pt>
                <c:pt idx="10">
                  <c:v>0.29947916666666663</c:v>
                </c:pt>
                <c:pt idx="11">
                  <c:v>0.29947916666666663</c:v>
                </c:pt>
                <c:pt idx="12">
                  <c:v>0.29947916666666663</c:v>
                </c:pt>
                <c:pt idx="13">
                  <c:v>0.29947916666666663</c:v>
                </c:pt>
                <c:pt idx="14">
                  <c:v>0.29947916666666663</c:v>
                </c:pt>
                <c:pt idx="15">
                  <c:v>0.29947916666666663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0-4876-B5E4-EE6B3229F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899-40CF-A111-BA1E032058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9-40CF-A111-BA1E03205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899-40CF-A111-BA1E0320585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99-40CF-A111-BA1E03205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3">
                  <c:v>3162</c:v>
                </c:pt>
                <c:pt idx="4">
                  <c:v>6905</c:v>
                </c:pt>
                <c:pt idx="6">
                  <c:v>4902</c:v>
                </c:pt>
                <c:pt idx="10">
                  <c:v>3267</c:v>
                </c:pt>
                <c:pt idx="13">
                  <c:v>5530</c:v>
                </c:pt>
                <c:pt idx="14">
                  <c:v>8544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1-4E86-AA90-409418352721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4741</c:v>
                </c:pt>
                <c:pt idx="1">
                  <c:v>29830</c:v>
                </c:pt>
                <c:pt idx="2">
                  <c:v>5257</c:v>
                </c:pt>
                <c:pt idx="3">
                  <c:v>3162</c:v>
                </c:pt>
                <c:pt idx="4">
                  <c:v>6905</c:v>
                </c:pt>
                <c:pt idx="5">
                  <c:v>2707</c:v>
                </c:pt>
                <c:pt idx="6">
                  <c:v>4902</c:v>
                </c:pt>
                <c:pt idx="7">
                  <c:v>5108</c:v>
                </c:pt>
                <c:pt idx="9">
                  <c:v>5214</c:v>
                </c:pt>
                <c:pt idx="10">
                  <c:v>3267</c:v>
                </c:pt>
                <c:pt idx="11">
                  <c:v>5415</c:v>
                </c:pt>
                <c:pt idx="12">
                  <c:v>2914</c:v>
                </c:pt>
                <c:pt idx="13">
                  <c:v>5530</c:v>
                </c:pt>
                <c:pt idx="14">
                  <c:v>8544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1-4E86-AA90-409418352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67%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0.58333333333333337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C-4921-881A-14EF031CD28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0C-4921-881A-14EF031CD2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0.30989583333333331</c:v>
                </c:pt>
                <c:pt idx="1">
                  <c:v>0.30989583333333331</c:v>
                </c:pt>
                <c:pt idx="2">
                  <c:v>0.30989583333333331</c:v>
                </c:pt>
                <c:pt idx="3">
                  <c:v>0.30989583333333331</c:v>
                </c:pt>
                <c:pt idx="4">
                  <c:v>0.30989583333333331</c:v>
                </c:pt>
                <c:pt idx="5">
                  <c:v>0.30989583333333331</c:v>
                </c:pt>
                <c:pt idx="6">
                  <c:v>0.30989583333333331</c:v>
                </c:pt>
                <c:pt idx="7">
                  <c:v>0.30989583333333331</c:v>
                </c:pt>
                <c:pt idx="8">
                  <c:v>0.30989583333333331</c:v>
                </c:pt>
                <c:pt idx="9">
                  <c:v>0.30989583333333331</c:v>
                </c:pt>
                <c:pt idx="10">
                  <c:v>0.30989583333333331</c:v>
                </c:pt>
                <c:pt idx="11">
                  <c:v>0.30989583333333331</c:v>
                </c:pt>
                <c:pt idx="12">
                  <c:v>0.30989583333333331</c:v>
                </c:pt>
                <c:pt idx="13">
                  <c:v>0.30989583333333331</c:v>
                </c:pt>
                <c:pt idx="14">
                  <c:v>0.30989583333333331</c:v>
                </c:pt>
                <c:pt idx="15">
                  <c:v>0.30989583333333331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C-4921-881A-14EF031CD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3">
                  <c:v>3162</c:v>
                </c:pt>
                <c:pt idx="4">
                  <c:v>6905</c:v>
                </c:pt>
                <c:pt idx="6">
                  <c:v>4902</c:v>
                </c:pt>
                <c:pt idx="10">
                  <c:v>3267</c:v>
                </c:pt>
                <c:pt idx="13">
                  <c:v>5530</c:v>
                </c:pt>
                <c:pt idx="14">
                  <c:v>8544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7-4AE3-845D-2BA55D7C570B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4741</c:v>
                </c:pt>
                <c:pt idx="1">
                  <c:v>29830</c:v>
                </c:pt>
                <c:pt idx="2">
                  <c:v>5257</c:v>
                </c:pt>
                <c:pt idx="3">
                  <c:v>3162</c:v>
                </c:pt>
                <c:pt idx="4">
                  <c:v>6905</c:v>
                </c:pt>
                <c:pt idx="5">
                  <c:v>2707</c:v>
                </c:pt>
                <c:pt idx="6">
                  <c:v>4902</c:v>
                </c:pt>
                <c:pt idx="7">
                  <c:v>5108</c:v>
                </c:pt>
                <c:pt idx="9">
                  <c:v>5214</c:v>
                </c:pt>
                <c:pt idx="10">
                  <c:v>3267</c:v>
                </c:pt>
                <c:pt idx="11">
                  <c:v>5415</c:v>
                </c:pt>
                <c:pt idx="12">
                  <c:v>2914</c:v>
                </c:pt>
                <c:pt idx="13">
                  <c:v>5530</c:v>
                </c:pt>
                <c:pt idx="14">
                  <c:v>8544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7-4AE3-845D-2BA55D7C5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67%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0.58333333333333337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F-4A42-ABBC-D30A21D9047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9F-4A42-ABBC-D30A21D904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SLIDER</c:v>
                </c:pt>
                <c:pt idx="3">
                  <c:v>LATCH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0.30989583333333331</c:v>
                </c:pt>
                <c:pt idx="1">
                  <c:v>0.30989583333333331</c:v>
                </c:pt>
                <c:pt idx="2">
                  <c:v>0.30989583333333331</c:v>
                </c:pt>
                <c:pt idx="3">
                  <c:v>0.30989583333333331</c:v>
                </c:pt>
                <c:pt idx="4">
                  <c:v>0.30989583333333331</c:v>
                </c:pt>
                <c:pt idx="5">
                  <c:v>0.30989583333333331</c:v>
                </c:pt>
                <c:pt idx="6">
                  <c:v>0.30989583333333331</c:v>
                </c:pt>
                <c:pt idx="7">
                  <c:v>0.30989583333333331</c:v>
                </c:pt>
                <c:pt idx="8">
                  <c:v>0.30989583333333331</c:v>
                </c:pt>
                <c:pt idx="9">
                  <c:v>0.30989583333333331</c:v>
                </c:pt>
                <c:pt idx="10">
                  <c:v>0.30989583333333331</c:v>
                </c:pt>
                <c:pt idx="11">
                  <c:v>0.30989583333333331</c:v>
                </c:pt>
                <c:pt idx="12">
                  <c:v>0.30989583333333331</c:v>
                </c:pt>
                <c:pt idx="13">
                  <c:v>0.30989583333333331</c:v>
                </c:pt>
                <c:pt idx="14">
                  <c:v>0.30989583333333331</c:v>
                </c:pt>
                <c:pt idx="15">
                  <c:v>0.30989583333333331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F-4A42-ABBC-D30A21D90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5D-4FF6-9672-746B526403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D-4FF6-9672-746B52640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5D-4FF6-9672-746B526403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5D-4FF6-9672-746B52640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2184</c:v>
                </c:pt>
                <c:pt idx="2">
                  <c:v>889</c:v>
                </c:pt>
                <c:pt idx="3">
                  <c:v>5762</c:v>
                </c:pt>
                <c:pt idx="4">
                  <c:v>6656</c:v>
                </c:pt>
                <c:pt idx="5">
                  <c:v>4460</c:v>
                </c:pt>
                <c:pt idx="6">
                  <c:v>5041</c:v>
                </c:pt>
                <c:pt idx="11">
                  <c:v>3469</c:v>
                </c:pt>
                <c:pt idx="12">
                  <c:v>1601</c:v>
                </c:pt>
                <c:pt idx="13">
                  <c:v>4390</c:v>
                </c:pt>
                <c:pt idx="14">
                  <c:v>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6-4365-8582-A91145BE645B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2814</c:v>
                </c:pt>
                <c:pt idx="1">
                  <c:v>29830</c:v>
                </c:pt>
                <c:pt idx="2">
                  <c:v>889</c:v>
                </c:pt>
                <c:pt idx="3">
                  <c:v>5762</c:v>
                </c:pt>
                <c:pt idx="4">
                  <c:v>6656</c:v>
                </c:pt>
                <c:pt idx="5">
                  <c:v>4460</c:v>
                </c:pt>
                <c:pt idx="6">
                  <c:v>5041</c:v>
                </c:pt>
                <c:pt idx="7">
                  <c:v>5108</c:v>
                </c:pt>
                <c:pt idx="9">
                  <c:v>5214</c:v>
                </c:pt>
                <c:pt idx="10">
                  <c:v>3267</c:v>
                </c:pt>
                <c:pt idx="11">
                  <c:v>3469</c:v>
                </c:pt>
                <c:pt idx="12">
                  <c:v>1601</c:v>
                </c:pt>
                <c:pt idx="13">
                  <c:v>4390</c:v>
                </c:pt>
                <c:pt idx="14">
                  <c:v>3626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6-4365-8582-A91145BE6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39%</c:v>
                </c:pt>
                <c:pt idx="1">
                  <c:v>0%</c:v>
                </c:pt>
                <c:pt idx="2">
                  <c:v>21%</c:v>
                </c:pt>
                <c:pt idx="3">
                  <c:v>67%</c:v>
                </c:pt>
                <c:pt idx="4">
                  <c:v>100%</c:v>
                </c:pt>
                <c:pt idx="5">
                  <c:v>92%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67%</c:v>
                </c:pt>
                <c:pt idx="12">
                  <c:v>33%</c:v>
                </c:pt>
                <c:pt idx="13">
                  <c:v>83%</c:v>
                </c:pt>
                <c:pt idx="14">
                  <c:v>75%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0.38805970149253732</c:v>
                </c:pt>
                <c:pt idx="1">
                  <c:v>0</c:v>
                </c:pt>
                <c:pt idx="2">
                  <c:v>0.20833333333333334</c:v>
                </c:pt>
                <c:pt idx="3">
                  <c:v>0.66666666666666663</c:v>
                </c:pt>
                <c:pt idx="4">
                  <c:v>1</c:v>
                </c:pt>
                <c:pt idx="5">
                  <c:v>0.91666666666666663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0.66666666666666663</c:v>
                </c:pt>
                <c:pt idx="12">
                  <c:v>0.33333333333333331</c:v>
                </c:pt>
                <c:pt idx="13">
                  <c:v>0.83333333333333337</c:v>
                </c:pt>
                <c:pt idx="14">
                  <c:v>0.75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5-4CAA-9866-1195438417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65-4CAA-9866-1195438417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0.42269123134328351</c:v>
                </c:pt>
                <c:pt idx="1">
                  <c:v>0.42269123134328351</c:v>
                </c:pt>
                <c:pt idx="2">
                  <c:v>0.42269123134328351</c:v>
                </c:pt>
                <c:pt idx="3">
                  <c:v>0.42269123134328351</c:v>
                </c:pt>
                <c:pt idx="4">
                  <c:v>0.42269123134328351</c:v>
                </c:pt>
                <c:pt idx="5">
                  <c:v>0.42269123134328351</c:v>
                </c:pt>
                <c:pt idx="6">
                  <c:v>0.42269123134328351</c:v>
                </c:pt>
                <c:pt idx="7">
                  <c:v>0.42269123134328351</c:v>
                </c:pt>
                <c:pt idx="8">
                  <c:v>0.42269123134328351</c:v>
                </c:pt>
                <c:pt idx="9">
                  <c:v>0.42269123134328351</c:v>
                </c:pt>
                <c:pt idx="10">
                  <c:v>0.42269123134328351</c:v>
                </c:pt>
                <c:pt idx="11">
                  <c:v>0.42269123134328351</c:v>
                </c:pt>
                <c:pt idx="12">
                  <c:v>0.42269123134328351</c:v>
                </c:pt>
                <c:pt idx="13">
                  <c:v>0.42269123134328351</c:v>
                </c:pt>
                <c:pt idx="14">
                  <c:v>0.42269123134328351</c:v>
                </c:pt>
                <c:pt idx="15">
                  <c:v>0.42269123134328351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5-4CAA-9866-11954384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2184</c:v>
                </c:pt>
                <c:pt idx="2">
                  <c:v>889</c:v>
                </c:pt>
                <c:pt idx="3">
                  <c:v>5762</c:v>
                </c:pt>
                <c:pt idx="4">
                  <c:v>6656</c:v>
                </c:pt>
                <c:pt idx="5">
                  <c:v>4460</c:v>
                </c:pt>
                <c:pt idx="6">
                  <c:v>5041</c:v>
                </c:pt>
                <c:pt idx="11">
                  <c:v>3469</c:v>
                </c:pt>
                <c:pt idx="12">
                  <c:v>1601</c:v>
                </c:pt>
                <c:pt idx="13">
                  <c:v>4390</c:v>
                </c:pt>
                <c:pt idx="14">
                  <c:v>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CF-449F-82F2-59EED3A8C745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2814</c:v>
                </c:pt>
                <c:pt idx="1">
                  <c:v>29830</c:v>
                </c:pt>
                <c:pt idx="2">
                  <c:v>889</c:v>
                </c:pt>
                <c:pt idx="3">
                  <c:v>5762</c:v>
                </c:pt>
                <c:pt idx="4">
                  <c:v>6656</c:v>
                </c:pt>
                <c:pt idx="5">
                  <c:v>4460</c:v>
                </c:pt>
                <c:pt idx="6">
                  <c:v>5041</c:v>
                </c:pt>
                <c:pt idx="7">
                  <c:v>5108</c:v>
                </c:pt>
                <c:pt idx="9">
                  <c:v>5214</c:v>
                </c:pt>
                <c:pt idx="10">
                  <c:v>3267</c:v>
                </c:pt>
                <c:pt idx="11">
                  <c:v>3469</c:v>
                </c:pt>
                <c:pt idx="12">
                  <c:v>1601</c:v>
                </c:pt>
                <c:pt idx="13">
                  <c:v>4390</c:v>
                </c:pt>
                <c:pt idx="14">
                  <c:v>3626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CF-449F-82F2-59EED3A8C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39%</c:v>
                </c:pt>
                <c:pt idx="1">
                  <c:v>0%</c:v>
                </c:pt>
                <c:pt idx="2">
                  <c:v>21%</c:v>
                </c:pt>
                <c:pt idx="3">
                  <c:v>67%</c:v>
                </c:pt>
                <c:pt idx="4">
                  <c:v>100%</c:v>
                </c:pt>
                <c:pt idx="5">
                  <c:v>92%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67%</c:v>
                </c:pt>
                <c:pt idx="12">
                  <c:v>33%</c:v>
                </c:pt>
                <c:pt idx="13">
                  <c:v>83%</c:v>
                </c:pt>
                <c:pt idx="14">
                  <c:v>75%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0.38805970149253732</c:v>
                </c:pt>
                <c:pt idx="1">
                  <c:v>0</c:v>
                </c:pt>
                <c:pt idx="2">
                  <c:v>0.20833333333333334</c:v>
                </c:pt>
                <c:pt idx="3">
                  <c:v>0.66666666666666663</c:v>
                </c:pt>
                <c:pt idx="4">
                  <c:v>1</c:v>
                </c:pt>
                <c:pt idx="5">
                  <c:v>0.91666666666666663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0.66666666666666663</c:v>
                </c:pt>
                <c:pt idx="12">
                  <c:v>0.33333333333333331</c:v>
                </c:pt>
                <c:pt idx="13">
                  <c:v>0.83333333333333337</c:v>
                </c:pt>
                <c:pt idx="14">
                  <c:v>0.75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1-4C29-8F94-D6234296D2D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71-4C29-8F94-D6234296D2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BASE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0.42269123134328351</c:v>
                </c:pt>
                <c:pt idx="1">
                  <c:v>0.42269123134328351</c:v>
                </c:pt>
                <c:pt idx="2">
                  <c:v>0.42269123134328351</c:v>
                </c:pt>
                <c:pt idx="3">
                  <c:v>0.42269123134328351</c:v>
                </c:pt>
                <c:pt idx="4">
                  <c:v>0.42269123134328351</c:v>
                </c:pt>
                <c:pt idx="5">
                  <c:v>0.42269123134328351</c:v>
                </c:pt>
                <c:pt idx="6">
                  <c:v>0.42269123134328351</c:v>
                </c:pt>
                <c:pt idx="7">
                  <c:v>0.42269123134328351</c:v>
                </c:pt>
                <c:pt idx="8">
                  <c:v>0.42269123134328351</c:v>
                </c:pt>
                <c:pt idx="9">
                  <c:v>0.42269123134328351</c:v>
                </c:pt>
                <c:pt idx="10">
                  <c:v>0.42269123134328351</c:v>
                </c:pt>
                <c:pt idx="11">
                  <c:v>0.42269123134328351</c:v>
                </c:pt>
                <c:pt idx="12">
                  <c:v>0.42269123134328351</c:v>
                </c:pt>
                <c:pt idx="13">
                  <c:v>0.42269123134328351</c:v>
                </c:pt>
                <c:pt idx="14">
                  <c:v>0.42269123134328351</c:v>
                </c:pt>
                <c:pt idx="15">
                  <c:v>0.42269123134328351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1-4C29-8F94-D6234296D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D7C-4F44-B26F-14A6A0B326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C-4F44-B26F-14A6A0B32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D7C-4F44-B26F-14A6A0B326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7C-4F44-B26F-14A6A0B32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1">
                  <c:v>9368</c:v>
                </c:pt>
                <c:pt idx="2">
                  <c:v>4537</c:v>
                </c:pt>
                <c:pt idx="3">
                  <c:v>10146</c:v>
                </c:pt>
                <c:pt idx="4">
                  <c:v>6626</c:v>
                </c:pt>
                <c:pt idx="5">
                  <c:v>5359</c:v>
                </c:pt>
                <c:pt idx="6">
                  <c:v>5019</c:v>
                </c:pt>
                <c:pt idx="10">
                  <c:v>206</c:v>
                </c:pt>
                <c:pt idx="11">
                  <c:v>6157</c:v>
                </c:pt>
                <c:pt idx="12">
                  <c:v>4558</c:v>
                </c:pt>
                <c:pt idx="13">
                  <c:v>5642</c:v>
                </c:pt>
                <c:pt idx="14">
                  <c:v>5491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7-4B17-8C65-F8A9B1704383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2814</c:v>
                </c:pt>
                <c:pt idx="1">
                  <c:v>9368</c:v>
                </c:pt>
                <c:pt idx="2">
                  <c:v>4537</c:v>
                </c:pt>
                <c:pt idx="3">
                  <c:v>10146</c:v>
                </c:pt>
                <c:pt idx="4">
                  <c:v>6626</c:v>
                </c:pt>
                <c:pt idx="5">
                  <c:v>5359</c:v>
                </c:pt>
                <c:pt idx="6">
                  <c:v>5019</c:v>
                </c:pt>
                <c:pt idx="7">
                  <c:v>5108</c:v>
                </c:pt>
                <c:pt idx="9">
                  <c:v>5214</c:v>
                </c:pt>
                <c:pt idx="10">
                  <c:v>206</c:v>
                </c:pt>
                <c:pt idx="11">
                  <c:v>6157</c:v>
                </c:pt>
                <c:pt idx="12">
                  <c:v>4558</c:v>
                </c:pt>
                <c:pt idx="13">
                  <c:v>5642</c:v>
                </c:pt>
                <c:pt idx="14">
                  <c:v>5491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7-4B17-8C65-F8A9B1704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83%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13%</c:v>
                </c:pt>
                <c:pt idx="11">
                  <c:v>100%</c:v>
                </c:pt>
                <c:pt idx="12">
                  <c:v>88%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0.83333333333333337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0.125</c:v>
                </c:pt>
                <c:pt idx="11">
                  <c:v>1</c:v>
                </c:pt>
                <c:pt idx="12">
                  <c:v>0.875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4-467C-BB5E-37FFF281385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B4-467C-BB5E-37FFF28138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0.58854166666666674</c:v>
                </c:pt>
                <c:pt idx="1">
                  <c:v>0.58854166666666674</c:v>
                </c:pt>
                <c:pt idx="2">
                  <c:v>0.58854166666666674</c:v>
                </c:pt>
                <c:pt idx="3">
                  <c:v>0.58854166666666674</c:v>
                </c:pt>
                <c:pt idx="4">
                  <c:v>0.58854166666666674</c:v>
                </c:pt>
                <c:pt idx="5">
                  <c:v>0.58854166666666674</c:v>
                </c:pt>
                <c:pt idx="6">
                  <c:v>0.58854166666666674</c:v>
                </c:pt>
                <c:pt idx="7">
                  <c:v>0.58854166666666674</c:v>
                </c:pt>
                <c:pt idx="8">
                  <c:v>0.58854166666666674</c:v>
                </c:pt>
                <c:pt idx="9">
                  <c:v>0.58854166666666674</c:v>
                </c:pt>
                <c:pt idx="10">
                  <c:v>0.58854166666666674</c:v>
                </c:pt>
                <c:pt idx="11">
                  <c:v>0.58854166666666674</c:v>
                </c:pt>
                <c:pt idx="12">
                  <c:v>0.58854166666666674</c:v>
                </c:pt>
                <c:pt idx="13">
                  <c:v>0.58854166666666674</c:v>
                </c:pt>
                <c:pt idx="14">
                  <c:v>0.58854166666666674</c:v>
                </c:pt>
                <c:pt idx="15">
                  <c:v>0.58854166666666674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B4-467C-BB5E-37FFF2813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1">
                  <c:v>9368</c:v>
                </c:pt>
                <c:pt idx="2">
                  <c:v>4537</c:v>
                </c:pt>
                <c:pt idx="3">
                  <c:v>10146</c:v>
                </c:pt>
                <c:pt idx="4">
                  <c:v>6626</c:v>
                </c:pt>
                <c:pt idx="5">
                  <c:v>5359</c:v>
                </c:pt>
                <c:pt idx="6">
                  <c:v>5019</c:v>
                </c:pt>
                <c:pt idx="10">
                  <c:v>206</c:v>
                </c:pt>
                <c:pt idx="11">
                  <c:v>6157</c:v>
                </c:pt>
                <c:pt idx="12">
                  <c:v>4558</c:v>
                </c:pt>
                <c:pt idx="13">
                  <c:v>5642</c:v>
                </c:pt>
                <c:pt idx="14">
                  <c:v>5491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6-4806-A7E0-EE941E76036A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2814</c:v>
                </c:pt>
                <c:pt idx="1">
                  <c:v>9368</c:v>
                </c:pt>
                <c:pt idx="2">
                  <c:v>4537</c:v>
                </c:pt>
                <c:pt idx="3">
                  <c:v>10146</c:v>
                </c:pt>
                <c:pt idx="4">
                  <c:v>6626</c:v>
                </c:pt>
                <c:pt idx="5">
                  <c:v>5359</c:v>
                </c:pt>
                <c:pt idx="6">
                  <c:v>5019</c:v>
                </c:pt>
                <c:pt idx="7">
                  <c:v>5108</c:v>
                </c:pt>
                <c:pt idx="9">
                  <c:v>5214</c:v>
                </c:pt>
                <c:pt idx="10">
                  <c:v>206</c:v>
                </c:pt>
                <c:pt idx="11">
                  <c:v>6157</c:v>
                </c:pt>
                <c:pt idx="12">
                  <c:v>4558</c:v>
                </c:pt>
                <c:pt idx="13">
                  <c:v>5642</c:v>
                </c:pt>
                <c:pt idx="14">
                  <c:v>5491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C6-4806-A7E0-EE941E76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83%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13%</c:v>
                </c:pt>
                <c:pt idx="11">
                  <c:v>100%</c:v>
                </c:pt>
                <c:pt idx="12">
                  <c:v>88%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0.83333333333333337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0.125</c:v>
                </c:pt>
                <c:pt idx="11">
                  <c:v>1</c:v>
                </c:pt>
                <c:pt idx="12">
                  <c:v>0.875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A-42A1-BEF5-B99CB79CC8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9A-42A1-BEF5-B99CB79CC8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0.58854166666666674</c:v>
                </c:pt>
                <c:pt idx="1">
                  <c:v>0.58854166666666674</c:v>
                </c:pt>
                <c:pt idx="2">
                  <c:v>0.58854166666666674</c:v>
                </c:pt>
                <c:pt idx="3">
                  <c:v>0.58854166666666674</c:v>
                </c:pt>
                <c:pt idx="4">
                  <c:v>0.58854166666666674</c:v>
                </c:pt>
                <c:pt idx="5">
                  <c:v>0.58854166666666674</c:v>
                </c:pt>
                <c:pt idx="6">
                  <c:v>0.58854166666666674</c:v>
                </c:pt>
                <c:pt idx="7">
                  <c:v>0.58854166666666674</c:v>
                </c:pt>
                <c:pt idx="8">
                  <c:v>0.58854166666666674</c:v>
                </c:pt>
                <c:pt idx="9">
                  <c:v>0.58854166666666674</c:v>
                </c:pt>
                <c:pt idx="10">
                  <c:v>0.58854166666666674</c:v>
                </c:pt>
                <c:pt idx="11">
                  <c:v>0.58854166666666674</c:v>
                </c:pt>
                <c:pt idx="12">
                  <c:v>0.58854166666666674</c:v>
                </c:pt>
                <c:pt idx="13">
                  <c:v>0.58854166666666674</c:v>
                </c:pt>
                <c:pt idx="14">
                  <c:v>0.58854166666666674</c:v>
                </c:pt>
                <c:pt idx="15">
                  <c:v>0.58854166666666674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A-42A1-BEF5-B99CB79CC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77-40F9-A70E-0B7920FA4F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7-40F9-A70E-0B7920FA4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877-40F9-A70E-0B7920FA4F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77-40F9-A70E-0B7920FA4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'29'!$L$6:$L$23</c:f>
              <c:numCache>
                <c:formatCode>_(* #,##0_);_(* \(#,##0\);_(* "-"_);_(@_)</c:formatCode>
                <c:ptCount val="18"/>
                <c:pt idx="2">
                  <c:v>5006</c:v>
                </c:pt>
                <c:pt idx="3">
                  <c:v>10044</c:v>
                </c:pt>
                <c:pt idx="4">
                  <c:v>330</c:v>
                </c:pt>
                <c:pt idx="5">
                  <c:v>400</c:v>
                </c:pt>
                <c:pt idx="6">
                  <c:v>2057</c:v>
                </c:pt>
                <c:pt idx="7">
                  <c:v>5033</c:v>
                </c:pt>
                <c:pt idx="8">
                  <c:v>350</c:v>
                </c:pt>
                <c:pt idx="9">
                  <c:v>400</c:v>
                </c:pt>
                <c:pt idx="12">
                  <c:v>0</c:v>
                </c:pt>
                <c:pt idx="13">
                  <c:v>2774</c:v>
                </c:pt>
                <c:pt idx="14">
                  <c:v>5644</c:v>
                </c:pt>
                <c:pt idx="15">
                  <c:v>4687</c:v>
                </c:pt>
                <c:pt idx="16">
                  <c:v>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2-4392-8F34-D1F4066B3D63}"/>
            </c:ext>
          </c:extLst>
        </c:ser>
        <c:ser>
          <c:idx val="1"/>
          <c:order val="1"/>
          <c:tx>
            <c:v>계획</c:v>
          </c:tx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'29'!$J$6:$J$23</c:f>
              <c:numCache>
                <c:formatCode>_(* #,##0_);_(* \(#,##0\);_(* "-"_);_(@_)</c:formatCode>
                <c:ptCount val="18"/>
                <c:pt idx="0">
                  <c:v>2814</c:v>
                </c:pt>
                <c:pt idx="1">
                  <c:v>9368</c:v>
                </c:pt>
                <c:pt idx="2">
                  <c:v>5006</c:v>
                </c:pt>
                <c:pt idx="3">
                  <c:v>10044</c:v>
                </c:pt>
                <c:pt idx="4">
                  <c:v>330</c:v>
                </c:pt>
                <c:pt idx="5">
                  <c:v>400</c:v>
                </c:pt>
                <c:pt idx="6">
                  <c:v>2057</c:v>
                </c:pt>
                <c:pt idx="7">
                  <c:v>5033</c:v>
                </c:pt>
                <c:pt idx="8">
                  <c:v>350</c:v>
                </c:pt>
                <c:pt idx="9">
                  <c:v>400</c:v>
                </c:pt>
                <c:pt idx="11">
                  <c:v>5214</c:v>
                </c:pt>
                <c:pt idx="12">
                  <c:v>206</c:v>
                </c:pt>
                <c:pt idx="13">
                  <c:v>2774</c:v>
                </c:pt>
                <c:pt idx="14">
                  <c:v>5644</c:v>
                </c:pt>
                <c:pt idx="15">
                  <c:v>4687</c:v>
                </c:pt>
                <c:pt idx="16">
                  <c:v>5401</c:v>
                </c:pt>
                <c:pt idx="17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2-4392-8F34-D1F4066B3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13%</c:v>
                </c:pt>
                <c:pt idx="5">
                  <c:v>13%</c:v>
                </c:pt>
                <c:pt idx="6">
                  <c:v>42%</c:v>
                </c:pt>
                <c:pt idx="7">
                  <c:v>100%</c:v>
                </c:pt>
                <c:pt idx="8">
                  <c:v>13%</c:v>
                </c:pt>
                <c:pt idx="9">
                  <c:v>13%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54%</c:v>
                </c:pt>
                <c:pt idx="14">
                  <c:v>100%</c:v>
                </c:pt>
                <c:pt idx="15">
                  <c:v>88%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0.125</c:v>
                </c:pt>
                <c:pt idx="6">
                  <c:v>0.41666666666666669</c:v>
                </c:pt>
                <c:pt idx="7">
                  <c:v>1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0.875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5-4C9F-9663-F6BE9E20E0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15-4C9F-9663-F6BE9E20E0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'29'!$AE$6:$AE$23</c:f>
              <c:numCache>
                <c:formatCode>0%</c:formatCode>
                <c:ptCount val="18"/>
                <c:pt idx="0">
                  <c:v>0.40740740740740738</c:v>
                </c:pt>
                <c:pt idx="1">
                  <c:v>0.40740740740740738</c:v>
                </c:pt>
                <c:pt idx="2">
                  <c:v>0.40740740740740738</c:v>
                </c:pt>
                <c:pt idx="3">
                  <c:v>0.40740740740740738</c:v>
                </c:pt>
                <c:pt idx="4">
                  <c:v>0.40740740740740738</c:v>
                </c:pt>
                <c:pt idx="5">
                  <c:v>0.40740740740740738</c:v>
                </c:pt>
                <c:pt idx="6">
                  <c:v>0.40740740740740738</c:v>
                </c:pt>
                <c:pt idx="7">
                  <c:v>0.40740740740740738</c:v>
                </c:pt>
                <c:pt idx="8">
                  <c:v>0.40740740740740738</c:v>
                </c:pt>
                <c:pt idx="9">
                  <c:v>0.40740740740740738</c:v>
                </c:pt>
                <c:pt idx="10">
                  <c:v>0.40740740740740738</c:v>
                </c:pt>
                <c:pt idx="11">
                  <c:v>0.40740740740740738</c:v>
                </c:pt>
                <c:pt idx="12">
                  <c:v>0.40740740740740738</c:v>
                </c:pt>
                <c:pt idx="13">
                  <c:v>0.40740740740740738</c:v>
                </c:pt>
                <c:pt idx="14">
                  <c:v>0.40740740740740738</c:v>
                </c:pt>
                <c:pt idx="15">
                  <c:v>0.40740740740740738</c:v>
                </c:pt>
                <c:pt idx="16">
                  <c:v>0.40740740740740738</c:v>
                </c:pt>
                <c:pt idx="17">
                  <c:v>0.40740740740740738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15-4C9F-9663-F6BE9E20E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'29'!$L$6:$L$23</c:f>
              <c:numCache>
                <c:formatCode>_(* #,##0_);_(* \(#,##0\);_(* "-"_);_(@_)</c:formatCode>
                <c:ptCount val="18"/>
                <c:pt idx="2">
                  <c:v>5006</c:v>
                </c:pt>
                <c:pt idx="3">
                  <c:v>10044</c:v>
                </c:pt>
                <c:pt idx="4">
                  <c:v>330</c:v>
                </c:pt>
                <c:pt idx="5">
                  <c:v>400</c:v>
                </c:pt>
                <c:pt idx="6">
                  <c:v>2057</c:v>
                </c:pt>
                <c:pt idx="7">
                  <c:v>5033</c:v>
                </c:pt>
                <c:pt idx="8">
                  <c:v>350</c:v>
                </c:pt>
                <c:pt idx="9">
                  <c:v>400</c:v>
                </c:pt>
                <c:pt idx="12">
                  <c:v>0</c:v>
                </c:pt>
                <c:pt idx="13">
                  <c:v>2774</c:v>
                </c:pt>
                <c:pt idx="14">
                  <c:v>5644</c:v>
                </c:pt>
                <c:pt idx="15">
                  <c:v>4687</c:v>
                </c:pt>
                <c:pt idx="16">
                  <c:v>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9-4780-897B-0EE37662BC5B}"/>
            </c:ext>
          </c:extLst>
        </c:ser>
        <c:ser>
          <c:idx val="1"/>
          <c:order val="1"/>
          <c:tx>
            <c:v>계획</c:v>
          </c:tx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'29'!$J$6:$J$23</c:f>
              <c:numCache>
                <c:formatCode>_(* #,##0_);_(* \(#,##0\);_(* "-"_);_(@_)</c:formatCode>
                <c:ptCount val="18"/>
                <c:pt idx="0">
                  <c:v>2814</c:v>
                </c:pt>
                <c:pt idx="1">
                  <c:v>9368</c:v>
                </c:pt>
                <c:pt idx="2">
                  <c:v>5006</c:v>
                </c:pt>
                <c:pt idx="3">
                  <c:v>10044</c:v>
                </c:pt>
                <c:pt idx="4">
                  <c:v>330</c:v>
                </c:pt>
                <c:pt idx="5">
                  <c:v>400</c:v>
                </c:pt>
                <c:pt idx="6">
                  <c:v>2057</c:v>
                </c:pt>
                <c:pt idx="7">
                  <c:v>5033</c:v>
                </c:pt>
                <c:pt idx="8">
                  <c:v>350</c:v>
                </c:pt>
                <c:pt idx="9">
                  <c:v>400</c:v>
                </c:pt>
                <c:pt idx="11">
                  <c:v>5214</c:v>
                </c:pt>
                <c:pt idx="12">
                  <c:v>206</c:v>
                </c:pt>
                <c:pt idx="13">
                  <c:v>2774</c:v>
                </c:pt>
                <c:pt idx="14">
                  <c:v>5644</c:v>
                </c:pt>
                <c:pt idx="15">
                  <c:v>4687</c:v>
                </c:pt>
                <c:pt idx="16">
                  <c:v>5401</c:v>
                </c:pt>
                <c:pt idx="17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9-4780-897B-0EE37662B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13%</c:v>
                </c:pt>
                <c:pt idx="5">
                  <c:v>13%</c:v>
                </c:pt>
                <c:pt idx="6">
                  <c:v>42%</c:v>
                </c:pt>
                <c:pt idx="7">
                  <c:v>100%</c:v>
                </c:pt>
                <c:pt idx="8">
                  <c:v>13%</c:v>
                </c:pt>
                <c:pt idx="9">
                  <c:v>13%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54%</c:v>
                </c:pt>
                <c:pt idx="14">
                  <c:v>100%</c:v>
                </c:pt>
                <c:pt idx="15">
                  <c:v>88%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0.125</c:v>
                </c:pt>
                <c:pt idx="6">
                  <c:v>0.41666666666666669</c:v>
                </c:pt>
                <c:pt idx="7">
                  <c:v>1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0.875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F-4C00-A871-87BA601144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BF-4C00-A871-87BA601144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'29'!$D$6:$D$23</c:f>
              <c:strCache>
                <c:ptCount val="17"/>
                <c:pt idx="0">
                  <c:v>SLIDER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COVER</c:v>
                </c:pt>
                <c:pt idx="7">
                  <c:v>BASE</c:v>
                </c:pt>
                <c:pt idx="8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BOTTOM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'29'!$AE$6:$AE$23</c:f>
              <c:numCache>
                <c:formatCode>0%</c:formatCode>
                <c:ptCount val="18"/>
                <c:pt idx="0">
                  <c:v>0.40740740740740738</c:v>
                </c:pt>
                <c:pt idx="1">
                  <c:v>0.40740740740740738</c:v>
                </c:pt>
                <c:pt idx="2">
                  <c:v>0.40740740740740738</c:v>
                </c:pt>
                <c:pt idx="3">
                  <c:v>0.40740740740740738</c:v>
                </c:pt>
                <c:pt idx="4">
                  <c:v>0.40740740740740738</c:v>
                </c:pt>
                <c:pt idx="5">
                  <c:v>0.40740740740740738</c:v>
                </c:pt>
                <c:pt idx="6">
                  <c:v>0.40740740740740738</c:v>
                </c:pt>
                <c:pt idx="7">
                  <c:v>0.40740740740740738</c:v>
                </c:pt>
                <c:pt idx="8">
                  <c:v>0.40740740740740738</c:v>
                </c:pt>
                <c:pt idx="9">
                  <c:v>0.40740740740740738</c:v>
                </c:pt>
                <c:pt idx="10">
                  <c:v>0.40740740740740738</c:v>
                </c:pt>
                <c:pt idx="11">
                  <c:v>0.40740740740740738</c:v>
                </c:pt>
                <c:pt idx="12">
                  <c:v>0.40740740740740738</c:v>
                </c:pt>
                <c:pt idx="13">
                  <c:v>0.40740740740740738</c:v>
                </c:pt>
                <c:pt idx="14">
                  <c:v>0.40740740740740738</c:v>
                </c:pt>
                <c:pt idx="15">
                  <c:v>0.40740740740740738</c:v>
                </c:pt>
                <c:pt idx="16">
                  <c:v>0.40740740740740738</c:v>
                </c:pt>
                <c:pt idx="17">
                  <c:v>0.40740740740740738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BF-4C00-A871-87BA60114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336-4838-A506-68C45C963F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6-4838-A506-68C45C963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336-4838-A506-68C45C963F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36-4838-A506-68C45C963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'30'!$L$6:$L$22</c:f>
              <c:numCache>
                <c:formatCode>_(* #,##0_);_(* \(#,##0\);_(* "-"_);_(@_)</c:formatCode>
                <c:ptCount val="17"/>
                <c:pt idx="2">
                  <c:v>151456</c:v>
                </c:pt>
                <c:pt idx="3">
                  <c:v>369</c:v>
                </c:pt>
                <c:pt idx="4">
                  <c:v>597</c:v>
                </c:pt>
                <c:pt idx="5">
                  <c:v>7400</c:v>
                </c:pt>
                <c:pt idx="7">
                  <c:v>5053</c:v>
                </c:pt>
                <c:pt idx="8">
                  <c:v>3915</c:v>
                </c:pt>
                <c:pt idx="11">
                  <c:v>5165</c:v>
                </c:pt>
                <c:pt idx="12">
                  <c:v>17212</c:v>
                </c:pt>
                <c:pt idx="13">
                  <c:v>4089</c:v>
                </c:pt>
                <c:pt idx="14">
                  <c:v>5432</c:v>
                </c:pt>
                <c:pt idx="15">
                  <c:v>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0-41E0-86A3-2E7D566A699E}"/>
            </c:ext>
          </c:extLst>
        </c:ser>
        <c:ser>
          <c:idx val="1"/>
          <c:order val="1"/>
          <c:tx>
            <c:v>계획</c:v>
          </c:tx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'30'!$J$6:$J$22</c:f>
              <c:numCache>
                <c:formatCode>_(* #,##0_);_(* \(#,##0\);_(* "-"_);_(@_)</c:formatCode>
                <c:ptCount val="17"/>
                <c:pt idx="0">
                  <c:v>2814</c:v>
                </c:pt>
                <c:pt idx="1">
                  <c:v>9368</c:v>
                </c:pt>
                <c:pt idx="2">
                  <c:v>151456</c:v>
                </c:pt>
                <c:pt idx="3">
                  <c:v>369</c:v>
                </c:pt>
                <c:pt idx="4">
                  <c:v>597</c:v>
                </c:pt>
                <c:pt idx="5">
                  <c:v>7400</c:v>
                </c:pt>
                <c:pt idx="6">
                  <c:v>2057</c:v>
                </c:pt>
                <c:pt idx="7">
                  <c:v>5053</c:v>
                </c:pt>
                <c:pt idx="8">
                  <c:v>3915</c:v>
                </c:pt>
                <c:pt idx="10">
                  <c:v>5214</c:v>
                </c:pt>
                <c:pt idx="11">
                  <c:v>5165</c:v>
                </c:pt>
                <c:pt idx="12">
                  <c:v>17212</c:v>
                </c:pt>
                <c:pt idx="13">
                  <c:v>4089</c:v>
                </c:pt>
                <c:pt idx="14">
                  <c:v>5432</c:v>
                </c:pt>
                <c:pt idx="15">
                  <c:v>5798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60-41E0-86A3-2E7D566A6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13%</c:v>
                </c:pt>
                <c:pt idx="4">
                  <c:v>17%</c:v>
                </c:pt>
                <c:pt idx="5">
                  <c:v>42%</c:v>
                </c:pt>
                <c:pt idx="6">
                  <c:v>0%</c:v>
                </c:pt>
                <c:pt idx="7">
                  <c:v>100%</c:v>
                </c:pt>
                <c:pt idx="8">
                  <c:v>88%</c:v>
                </c:pt>
                <c:pt idx="9">
                  <c:v>0%</c:v>
                </c:pt>
                <c:pt idx="10">
                  <c:v>0%</c:v>
                </c:pt>
                <c:pt idx="11">
                  <c:v>88%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0.41666666666666669</c:v>
                </c:pt>
                <c:pt idx="6">
                  <c:v>0</c:v>
                </c:pt>
                <c:pt idx="7">
                  <c:v>1</c:v>
                </c:pt>
                <c:pt idx="8">
                  <c:v>0.875</c:v>
                </c:pt>
                <c:pt idx="9">
                  <c:v>0</c:v>
                </c:pt>
                <c:pt idx="10">
                  <c:v>0</c:v>
                </c:pt>
                <c:pt idx="11">
                  <c:v>0.875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4-4BE0-90CA-12E83602DC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F4-4BE0-90CA-12E83602DC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'30'!$AE$6:$AE$22</c:f>
              <c:numCache>
                <c:formatCode>0%</c:formatCode>
                <c:ptCount val="17"/>
                <c:pt idx="0">
                  <c:v>0.45833333333333331</c:v>
                </c:pt>
                <c:pt idx="1">
                  <c:v>0.45833333333333331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0.45833333333333331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4-4BE0-90CA-12E83602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'30'!$L$6:$L$22</c:f>
              <c:numCache>
                <c:formatCode>_(* #,##0_);_(* \(#,##0\);_(* "-"_);_(@_)</c:formatCode>
                <c:ptCount val="17"/>
                <c:pt idx="2">
                  <c:v>151456</c:v>
                </c:pt>
                <c:pt idx="3">
                  <c:v>369</c:v>
                </c:pt>
                <c:pt idx="4">
                  <c:v>597</c:v>
                </c:pt>
                <c:pt idx="5">
                  <c:v>7400</c:v>
                </c:pt>
                <c:pt idx="7">
                  <c:v>5053</c:v>
                </c:pt>
                <c:pt idx="8">
                  <c:v>3915</c:v>
                </c:pt>
                <c:pt idx="11">
                  <c:v>5165</c:v>
                </c:pt>
                <c:pt idx="12">
                  <c:v>17212</c:v>
                </c:pt>
                <c:pt idx="13">
                  <c:v>4089</c:v>
                </c:pt>
                <c:pt idx="14">
                  <c:v>5432</c:v>
                </c:pt>
                <c:pt idx="15">
                  <c:v>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9-44CC-8606-4F1D9872A4FD}"/>
            </c:ext>
          </c:extLst>
        </c:ser>
        <c:ser>
          <c:idx val="1"/>
          <c:order val="1"/>
          <c:tx>
            <c:v>계획</c:v>
          </c:tx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'30'!$J$6:$J$22</c:f>
              <c:numCache>
                <c:formatCode>_(* #,##0_);_(* \(#,##0\);_(* "-"_);_(@_)</c:formatCode>
                <c:ptCount val="17"/>
                <c:pt idx="0">
                  <c:v>2814</c:v>
                </c:pt>
                <c:pt idx="1">
                  <c:v>9368</c:v>
                </c:pt>
                <c:pt idx="2">
                  <c:v>151456</c:v>
                </c:pt>
                <c:pt idx="3">
                  <c:v>369</c:v>
                </c:pt>
                <c:pt idx="4">
                  <c:v>597</c:v>
                </c:pt>
                <c:pt idx="5">
                  <c:v>7400</c:v>
                </c:pt>
                <c:pt idx="6">
                  <c:v>2057</c:v>
                </c:pt>
                <c:pt idx="7">
                  <c:v>5053</c:v>
                </c:pt>
                <c:pt idx="8">
                  <c:v>3915</c:v>
                </c:pt>
                <c:pt idx="10">
                  <c:v>5214</c:v>
                </c:pt>
                <c:pt idx="11">
                  <c:v>5165</c:v>
                </c:pt>
                <c:pt idx="12">
                  <c:v>17212</c:v>
                </c:pt>
                <c:pt idx="13">
                  <c:v>4089</c:v>
                </c:pt>
                <c:pt idx="14">
                  <c:v>5432</c:v>
                </c:pt>
                <c:pt idx="15">
                  <c:v>5798</c:v>
                </c:pt>
                <c:pt idx="16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9-44CC-8606-4F1D9872A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13%</c:v>
                </c:pt>
                <c:pt idx="4">
                  <c:v>17%</c:v>
                </c:pt>
                <c:pt idx="5">
                  <c:v>42%</c:v>
                </c:pt>
                <c:pt idx="6">
                  <c:v>0%</c:v>
                </c:pt>
                <c:pt idx="7">
                  <c:v>100%</c:v>
                </c:pt>
                <c:pt idx="8">
                  <c:v>88%</c:v>
                </c:pt>
                <c:pt idx="9">
                  <c:v>0%</c:v>
                </c:pt>
                <c:pt idx="10">
                  <c:v>0%</c:v>
                </c:pt>
                <c:pt idx="11">
                  <c:v>88%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0.41666666666666669</c:v>
                </c:pt>
                <c:pt idx="6">
                  <c:v>0</c:v>
                </c:pt>
                <c:pt idx="7">
                  <c:v>1</c:v>
                </c:pt>
                <c:pt idx="8">
                  <c:v>0.875</c:v>
                </c:pt>
                <c:pt idx="9">
                  <c:v>0</c:v>
                </c:pt>
                <c:pt idx="10">
                  <c:v>0</c:v>
                </c:pt>
                <c:pt idx="11">
                  <c:v>0.875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4-41B6-89B3-7B4B783A0C4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D4-41B6-89B3-7B4B783A0C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SLIDER</c:v>
                </c:pt>
                <c:pt idx="1">
                  <c:v>SLIDER</c:v>
                </c:pt>
                <c:pt idx="3">
                  <c:v>STOPPER</c:v>
                </c:pt>
                <c:pt idx="4">
                  <c:v>ACTUATOR</c:v>
                </c:pt>
                <c:pt idx="5">
                  <c:v>BASE</c:v>
                </c:pt>
                <c:pt idx="7">
                  <c:v>BASE</c:v>
                </c:pt>
                <c:pt idx="8">
                  <c:v>CASE/HOLDER</c:v>
                </c:pt>
                <c:pt idx="9">
                  <c:v>BASE</c:v>
                </c:pt>
                <c:pt idx="10">
                  <c:v>ADAPTER</c:v>
                </c:pt>
                <c:pt idx="11">
                  <c:v>BOTTOM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'30'!$AE$6:$AE$22</c:f>
              <c:numCache>
                <c:formatCode>0%</c:formatCode>
                <c:ptCount val="17"/>
                <c:pt idx="0">
                  <c:v>0.45833333333333331</c:v>
                </c:pt>
                <c:pt idx="1">
                  <c:v>0.45833333333333331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0.45833333333333331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4-41B6-89B3-7B4B783A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59-481F-AA25-6C70A5C834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9-481F-AA25-6C70A5C83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259-481F-AA25-6C70A5C834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9-481F-AA25-6C70A5C83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10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4">
                  <c:v>0.4044117647058823</c:v>
                </c:pt>
                <c:pt idx="5">
                  <c:v>0.425438596491228</c:v>
                </c:pt>
                <c:pt idx="6">
                  <c:v>0.4264705882352941</c:v>
                </c:pt>
                <c:pt idx="7">
                  <c:v>0.42291666666666672</c:v>
                </c:pt>
                <c:pt idx="8">
                  <c:v>0.43229166666666669</c:v>
                </c:pt>
                <c:pt idx="9">
                  <c:v>0.38020833333333331</c:v>
                </c:pt>
                <c:pt idx="11">
                  <c:v>0.43489583333333337</c:v>
                </c:pt>
                <c:pt idx="12">
                  <c:v>0.515625</c:v>
                </c:pt>
                <c:pt idx="13">
                  <c:v>0.54166666666666674</c:v>
                </c:pt>
                <c:pt idx="14">
                  <c:v>0.58333333333333337</c:v>
                </c:pt>
                <c:pt idx="15">
                  <c:v>0.59895833333333326</c:v>
                </c:pt>
                <c:pt idx="18">
                  <c:v>0.46614583333333331</c:v>
                </c:pt>
                <c:pt idx="19">
                  <c:v>0.43229166666666669</c:v>
                </c:pt>
                <c:pt idx="20">
                  <c:v>0.49479166666666663</c:v>
                </c:pt>
                <c:pt idx="21">
                  <c:v>0.52083333333333326</c:v>
                </c:pt>
                <c:pt idx="22">
                  <c:v>0.4375</c:v>
                </c:pt>
                <c:pt idx="23">
                  <c:v>0.29947916666666663</c:v>
                </c:pt>
                <c:pt idx="25">
                  <c:v>0.30989583333333331</c:v>
                </c:pt>
                <c:pt idx="26">
                  <c:v>0.42269123134328351</c:v>
                </c:pt>
                <c:pt idx="27">
                  <c:v>0.58854166666666674</c:v>
                </c:pt>
                <c:pt idx="28">
                  <c:v>0.40740740740740738</c:v>
                </c:pt>
                <c:pt idx="29">
                  <c:v>0.45833333333333331</c:v>
                </c:pt>
                <c:pt idx="31">
                  <c:v>0.32271380391988475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10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0.36735676456427546</c:v>
                </c:pt>
                <c:pt idx="1">
                  <c:v>0.22311827956989244</c:v>
                </c:pt>
                <c:pt idx="2">
                  <c:v>0.5161290322580645</c:v>
                </c:pt>
                <c:pt idx="3">
                  <c:v>0.37903225806451607</c:v>
                </c:pt>
                <c:pt idx="4">
                  <c:v>0.66129032258064513</c:v>
                </c:pt>
                <c:pt idx="5">
                  <c:v>0.16532258064516131</c:v>
                </c:pt>
                <c:pt idx="6">
                  <c:v>0.63172043010752688</c:v>
                </c:pt>
                <c:pt idx="7">
                  <c:v>9.6774193548387094E-2</c:v>
                </c:pt>
                <c:pt idx="8">
                  <c:v>0</c:v>
                </c:pt>
                <c:pt idx="9">
                  <c:v>0.11559139784946237</c:v>
                </c:pt>
                <c:pt idx="10">
                  <c:v>0.54435483870967738</c:v>
                </c:pt>
                <c:pt idx="11">
                  <c:v>0.25134408602150538</c:v>
                </c:pt>
                <c:pt idx="12">
                  <c:v>0.43682795698924742</c:v>
                </c:pt>
                <c:pt idx="13">
                  <c:v>0.52284946236559149</c:v>
                </c:pt>
                <c:pt idx="14">
                  <c:v>0.41532258064516137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2.xml"/><Relationship Id="rId1" Type="http://schemas.openxmlformats.org/officeDocument/2006/relationships/chart" Target="../charts/chart1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3EE5D0-A152-4B97-8368-3C8AA320A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4E37A60-CFE2-4403-8CD8-69225375B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7E9A539-6CA7-4DF4-AEDC-27F76D73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84C2CB0-15F1-4CC7-A0E8-1BE1241F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9B69026-7861-48B2-B8D5-A5316AC44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D52951A-75FA-4380-AE5B-651F6340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FA9FC15-2EAB-4A08-9748-9A874A674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345C132-74AC-422A-8A12-B48812F1F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3F95EE0-437C-4B47-9242-3BC57E2CF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8BDDF55-913B-4D33-8F95-C79D74558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73366BA-6473-4A5E-A0A3-013D16FAD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E2379EC-1D0B-4605-BACD-7049189CE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2AB7A22-D897-42C4-AC78-DE787D225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4908EDA-0A91-4F48-9C11-D52235FF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0A1901-43C1-43C5-9DE3-B77D250DA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CF50DB6-EBB0-4D44-B313-FFF8814CC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3343356-5A67-4030-BBC5-8425CC5D0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8CEB0D5-1645-4D04-928D-95680403C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548F300-326F-4252-ADF8-F01DBF159C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44E72EF-007E-4A33-B500-75669BD3A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7442840-D327-4D22-B5AF-59C7148E6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75F9B24-B286-4634-91EE-B91E5B6B7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85C3DD8-12A8-4B35-8423-E3F0DF997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9307F13-DC3C-4BF6-A284-CF98B3AF6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4C6CCD-DE2C-4006-A5F5-8F9CA0997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EB75A65-1E40-4077-9B7D-E04B55D7A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75267BE-B3DE-4B71-82C2-73296A31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73275A-D598-4BAF-9A76-5F7D865DB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023CBD2-9920-4289-A7B3-17AF056F3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CE600B0-4721-44E8-BFB1-4A7C34D4C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233C69F-0996-466A-A047-39F38E374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408ED08-D2EA-41EF-B3CC-4D19B9245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307DEAE-C23F-46EB-8313-AF3E2E55B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4C97D45-363A-4F51-9DD5-8B835BC9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3EF6AFB-FB57-4D03-8D48-CEE0F75E4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983A6E-E58C-4ACD-8287-EAD1A9976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60215ED-F462-4F4B-B040-86E82E623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D53EE1B-F1D3-465C-99D3-01F0D23A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34D44C8-6F02-4B95-B79D-D42E668C4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BA72D56-E500-4699-A046-88839A6A2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6E62200-1429-443A-B1FC-986B7A5E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FE2CBF6-A4D1-47A6-89E5-2782E7300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B1FF319-B9CF-4A07-AD71-CC1A159F9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4D81E2B-D8A4-4A1D-BDCA-1070EE779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0381989-A8F0-41C7-B1B5-2EF08787E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A4E45E9-9467-4D1A-B5B4-F31599B30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73394C5-9B06-4CB7-AAB7-9CB7E62EC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E2A0F3B-C863-404D-AFB1-452E1959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BF28DCC-E2A2-431F-921D-A917253CA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399133A-4598-4CB3-972D-44FFC625F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150D52A-2ED5-463A-ABC3-C24207D1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F2A6CD0-B8D3-4D1D-929A-4E9FA685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578ECF1-7002-4FD1-8489-E76176BE9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AD78F9B-862F-45DE-8A41-25F9922D8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2EB2D5F-A4FA-40C7-A9DC-7C5BCA7E3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9A2CC2A-F03A-4DC1-8288-4182B42A6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15C0B81-42FA-4A66-A323-CFA26CF3E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F9D2BBA-FEE8-4E38-86D4-FFC549C5C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7819FE5-BB02-41FA-8C42-20D952E9A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42CC19D-8A8D-421F-9DF8-0177E8584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429C28E-C721-4FF9-847C-F4315A5A0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B486386-20BC-465E-8613-CE27DFC0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A1D9F0E-E9C1-40EE-A682-58F1C57E1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77CE9B-E015-4085-B961-712413518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51BEF8-B3C6-40D5-B603-E206D3160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B9939F3-2E7E-4DD4-8FDF-39639058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4138F4F-51C3-487D-8969-6CFD67560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51EE504-7CB2-4B94-9917-83BC58AC1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5775CDD-38CF-46E8-AFAE-BF9B9C4F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A53BD15-FC00-4504-8117-0D54E690F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300D7A-59D9-4354-8C73-5D9846BB7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2C231E8-17C6-444D-88F7-C08DCD69B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A168E18-2F00-482F-845A-A6871B3B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6C2DBD5-86AB-42C1-ABAB-183AB7EA8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4C89ACA-CB29-4040-9263-4479467D9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27FDE80-8EA4-4B49-AFB4-A0963855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6D9F7CA-2E97-4697-A009-993718987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1BD0405-BC8C-420D-9016-5CEC3DD33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1590A37-C3AE-409F-A463-D314A41ED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9E4D47-FA20-4FC4-A04E-22D4097B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BD74134-9370-4A15-BC33-341A658F3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E6775A3-0F1C-4574-9956-CBB8D3EA9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7171C42-2122-4907-9239-CFB67117A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E0BD11F-4DC0-4DF0-8942-C078E3850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AACF1BD-17C5-40C6-9B1C-739EB964B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8EF8EFB-3C49-41B0-99C9-FE07FE723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BB5EBC8-7DB8-4AD8-8087-BF0295CC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18948D0-30E3-4408-AE2E-71C6EAE37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6412F5C-5FAA-4035-990C-42F7381B8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8AA0F5D-D310-4DE3-B075-DBF6D765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084F0F4-22C7-4E63-B238-BA057FFBE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9ADA3CC-3C1D-41EA-A3DA-B14D7FE48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47B089-35C6-42CE-8534-0D2E5EDCF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16D0A6E-8F35-43A9-B8B1-954691D9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6E85418-A667-427A-A991-E5202A06D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32EC13E-66DB-4AA9-B719-31FF259B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F065C08-1261-4C87-8DF5-30F71B3A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F1DF05E-4DA3-459F-9C0F-11FA93DD8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151BA4-B6E5-43E2-9B5E-E55A66C8E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37ED545-FAC7-4587-86A6-81A7ECC33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A4743A5-4010-4B39-8106-6CF9EBB6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F5B8650-6948-444A-9F08-4B76D6E9C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F2F271D-BFA7-474E-B0A1-C86A7AB58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8B2A28F-87E1-47A0-BA22-537218C30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24BB69-8D22-4D6D-934E-7ADB3C2A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901D6A-740E-4C3A-829B-97214A731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93DBF8-E1F0-4A9D-89AD-74DB59973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7327E0A-F879-4E25-926A-3D97953B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363208D-EB90-40A3-8BC0-8970B079C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31D16C0-75CD-48FF-92F3-3FDFAAB4C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82AFBCA-0958-4D5B-9053-2D305432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9CEBB8D-835B-4933-8E66-ABA03AA17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E4C6B1-B5B3-44EF-ABA3-A537A127E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BA63A25-B938-4CA8-AEC4-9B102F682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738AA17-2E35-4EA5-8E6D-8145D666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E58C15F-0BEA-4BCA-B09D-C6CEC361E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BD77D30-FCD4-4B10-8A62-3809944F9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02642A9-084A-4EA0-A483-CBCE40889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C7188BF-358F-4C69-BACD-D1414A58C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9058EAA-97BD-48B4-9B6B-9DB88EF41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F6A127-7BC6-482A-91BD-B035DE059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3234B0B-E52E-41DE-8C43-60CE69A8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0E105C3-925C-49F8-97EE-1C5F7D03C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3DB3727-7B63-41B0-9FCB-4B5CC20FC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C17B933-D92A-45F7-9315-446E7FADD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2F9D6FE-86C7-47B9-9BC2-C9BF8378B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4D51902-191C-4D3D-87F0-0258A7E97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1821CD-50E4-4BD8-935E-F7B00ACA4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4AC538A-2DC1-4010-83F8-264984AD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1960666-B460-4E25-BC56-543CE045B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FDD531D-AC8F-461B-9737-FA1F0B868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C7915E9-DE4C-472A-9DF7-1D33C223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59AFBA4-A125-465C-87F8-3A139F1A5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01F1B32-4A37-49A3-AE31-EDD5F12C8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F52D2C5-21F7-48F9-9577-49901DDE6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AA6C2DA-4C64-40FC-8DA7-A50ABC52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2C7532D-5ADA-4096-8408-A7F6D7082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34B6832-6062-452E-9FC8-1A4B80785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E2F795A-30D5-48A0-89AB-BD145306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21803E5-C5F0-43A8-B64A-C43A07201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94A5AF4-806D-473F-B5D9-D3B335C58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6D64625-0FDD-4152-B3A5-837C2ECFA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B005649-C760-4A5F-B598-53D55CAE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D06B661-D530-4043-9DE6-AB083FABF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24E5BA4-48A3-42C4-A7F6-646FCBE1F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32702B5-066A-4F87-8AE6-F68E0E2AE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E3B996E-522D-489D-967B-FEA114EAD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F044F3-2B0A-4D3F-A6FA-8D43508CB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6876583-EB3F-4A32-83C6-F676F4CC8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C1C46FD-C422-4E03-A169-304E0F43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7D7754-FF6E-4A0A-8A1E-464B6087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F5770A8-DE2A-498A-A8E4-D4125D033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FFC4E1-89C3-4536-94B6-830BE04A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7E898C6-494A-4B26-903D-BBCB444B3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C0E0-2A87-4206-9D29-4980E717C32F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202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31" t="s">
        <v>17</v>
      </c>
      <c r="L5" s="131" t="s">
        <v>18</v>
      </c>
      <c r="M5" s="131" t="s">
        <v>19</v>
      </c>
      <c r="N5" s="1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27" customHeight="1">
      <c r="A6" s="112">
        <v>1</v>
      </c>
      <c r="B6" s="11" t="s">
        <v>57</v>
      </c>
      <c r="C6" s="34" t="s">
        <v>121</v>
      </c>
      <c r="D6" s="52"/>
      <c r="E6" s="53" t="s">
        <v>178</v>
      </c>
      <c r="F6" s="12" t="s">
        <v>144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0.4044117647058823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135</v>
      </c>
      <c r="E7" s="53" t="s">
        <v>146</v>
      </c>
      <c r="F7" s="12" t="s">
        <v>137</v>
      </c>
      <c r="G7" s="12">
        <v>1</v>
      </c>
      <c r="H7" s="13">
        <v>24</v>
      </c>
      <c r="I7" s="31">
        <v>3000</v>
      </c>
      <c r="J7" s="14">
        <v>3166</v>
      </c>
      <c r="K7" s="15">
        <f>L7</f>
        <v>3166</v>
      </c>
      <c r="L7" s="15">
        <f>723+2443</f>
        <v>3166</v>
      </c>
      <c r="M7" s="15">
        <f t="shared" si="0"/>
        <v>3166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/>
      <c r="T7" s="16"/>
      <c r="U7" s="16"/>
      <c r="V7" s="17"/>
      <c r="W7" s="5">
        <v>8</v>
      </c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0.4044117647058823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11" t="s">
        <v>119</v>
      </c>
      <c r="D8" s="52" t="s">
        <v>203</v>
      </c>
      <c r="E8" s="53" t="s">
        <v>204</v>
      </c>
      <c r="F8" s="30" t="s">
        <v>127</v>
      </c>
      <c r="G8" s="33">
        <v>1</v>
      </c>
      <c r="H8" s="35">
        <v>24</v>
      </c>
      <c r="I8" s="7">
        <v>1000</v>
      </c>
      <c r="J8" s="14">
        <v>2103</v>
      </c>
      <c r="K8" s="15">
        <f>L8</f>
        <v>2103</v>
      </c>
      <c r="L8" s="15">
        <f>991+1112</f>
        <v>2103</v>
      </c>
      <c r="M8" s="15">
        <f t="shared" si="0"/>
        <v>2103</v>
      </c>
      <c r="N8" s="15">
        <v>0</v>
      </c>
      <c r="O8" s="58">
        <f t="shared" si="1"/>
        <v>0</v>
      </c>
      <c r="P8" s="39">
        <f t="shared" si="2"/>
        <v>11</v>
      </c>
      <c r="Q8" s="40">
        <f t="shared" si="3"/>
        <v>13</v>
      </c>
      <c r="R8" s="7"/>
      <c r="S8" s="6"/>
      <c r="T8" s="16"/>
      <c r="U8" s="16"/>
      <c r="V8" s="17"/>
      <c r="W8" s="5">
        <v>13</v>
      </c>
      <c r="X8" s="16"/>
      <c r="Y8" s="16"/>
      <c r="Z8" s="16"/>
      <c r="AA8" s="18"/>
      <c r="AB8" s="8">
        <f t="shared" si="4"/>
        <v>1</v>
      </c>
      <c r="AC8" s="9">
        <f t="shared" si="5"/>
        <v>0.45833333333333331</v>
      </c>
      <c r="AD8" s="10">
        <f t="shared" si="6"/>
        <v>0.45833333333333331</v>
      </c>
      <c r="AE8" s="36">
        <f t="shared" si="7"/>
        <v>0.4044117647058823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155</v>
      </c>
      <c r="E9" s="53" t="s">
        <v>165</v>
      </c>
      <c r="F9" s="30" t="s">
        <v>180</v>
      </c>
      <c r="G9" s="33">
        <v>1</v>
      </c>
      <c r="H9" s="35">
        <v>24</v>
      </c>
      <c r="I9" s="7">
        <v>9000</v>
      </c>
      <c r="J9" s="5">
        <v>1152</v>
      </c>
      <c r="K9" s="15">
        <f>L9</f>
        <v>1152</v>
      </c>
      <c r="L9" s="15">
        <f>465+687</f>
        <v>1152</v>
      </c>
      <c r="M9" s="15">
        <f t="shared" si="0"/>
        <v>1152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>AC9*AB9*(1-O9)</f>
        <v>0.25</v>
      </c>
      <c r="AE9" s="36">
        <f t="shared" si="7"/>
        <v>0.4044117647058823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5217</v>
      </c>
      <c r="K10" s="15">
        <f>L10</f>
        <v>5217</v>
      </c>
      <c r="L10" s="15">
        <f>1865+3352</f>
        <v>5217</v>
      </c>
      <c r="M10" s="15">
        <f t="shared" si="0"/>
        <v>5217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ref="AD10:AD14" si="9">AC10*AB10*(1-O10)</f>
        <v>0.91666666666666663</v>
      </c>
      <c r="AE10" s="36">
        <f t="shared" si="7"/>
        <v>0.4044117647058823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12082</v>
      </c>
      <c r="K11" s="15">
        <f>L11+10616</f>
        <v>22698</v>
      </c>
      <c r="L11" s="15">
        <f>2806*2+3235*2</f>
        <v>12082</v>
      </c>
      <c r="M11" s="15">
        <f t="shared" si="0"/>
        <v>12082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9"/>
        <v>1</v>
      </c>
      <c r="AE11" s="36">
        <f t="shared" si="7"/>
        <v>0.4044117647058823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182</v>
      </c>
      <c r="D12" s="52" t="s">
        <v>115</v>
      </c>
      <c r="E12" s="53" t="s">
        <v>195</v>
      </c>
      <c r="F12" s="30" t="s">
        <v>168</v>
      </c>
      <c r="G12" s="12">
        <v>1</v>
      </c>
      <c r="H12" s="13">
        <v>22</v>
      </c>
      <c r="I12" s="31">
        <v>4500</v>
      </c>
      <c r="J12" s="5">
        <v>4017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0.4044117647058823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205</v>
      </c>
      <c r="F13" s="30" t="s">
        <v>130</v>
      </c>
      <c r="G13" s="12">
        <v>1</v>
      </c>
      <c r="H13" s="13">
        <v>28</v>
      </c>
      <c r="I13" s="31">
        <v>2300</v>
      </c>
      <c r="J13" s="5">
        <v>650</v>
      </c>
      <c r="K13" s="15">
        <f>L13</f>
        <v>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0.4044117647058823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182</v>
      </c>
      <c r="D14" s="52" t="s">
        <v>115</v>
      </c>
      <c r="E14" s="53" t="s">
        <v>181</v>
      </c>
      <c r="F14" s="30" t="s">
        <v>173</v>
      </c>
      <c r="G14" s="33">
        <v>1</v>
      </c>
      <c r="H14" s="35">
        <v>60</v>
      </c>
      <c r="I14" s="7">
        <v>150</v>
      </c>
      <c r="J14" s="5">
        <v>308</v>
      </c>
      <c r="K14" s="15">
        <f>L14+308</f>
        <v>308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0.4044117647058823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142</v>
      </c>
      <c r="F15" s="12" t="s">
        <v>144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0.4044117647058823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135</v>
      </c>
      <c r="E16" s="53" t="s">
        <v>175</v>
      </c>
      <c r="F16" s="30" t="s">
        <v>176</v>
      </c>
      <c r="G16" s="12">
        <v>1</v>
      </c>
      <c r="H16" s="13">
        <v>24</v>
      </c>
      <c r="I16" s="7">
        <v>58000</v>
      </c>
      <c r="J16" s="14">
        <v>3433</v>
      </c>
      <c r="K16" s="15">
        <f>L16+3599+5250+5336+5402+5766+5931+3420+5712+5574+5768</f>
        <v>55191</v>
      </c>
      <c r="L16" s="15">
        <f>2505+928</f>
        <v>3433</v>
      </c>
      <c r="M16" s="15">
        <f t="shared" si="0"/>
        <v>3433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0.4044117647058823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154</v>
      </c>
      <c r="E17" s="53" t="s">
        <v>200</v>
      </c>
      <c r="F17" s="30" t="s">
        <v>183</v>
      </c>
      <c r="G17" s="12">
        <v>1</v>
      </c>
      <c r="H17" s="13">
        <v>24</v>
      </c>
      <c r="I17" s="7">
        <v>2000</v>
      </c>
      <c r="J17" s="14">
        <v>2303</v>
      </c>
      <c r="K17" s="15">
        <f>L17</f>
        <v>2303</v>
      </c>
      <c r="L17" s="15">
        <f>2303</f>
        <v>2303</v>
      </c>
      <c r="M17" s="15">
        <f t="shared" si="0"/>
        <v>2303</v>
      </c>
      <c r="N17" s="15">
        <v>0</v>
      </c>
      <c r="O17" s="58">
        <f t="shared" si="1"/>
        <v>0</v>
      </c>
      <c r="P17" s="39">
        <f t="shared" si="2"/>
        <v>11</v>
      </c>
      <c r="Q17" s="40">
        <f t="shared" si="3"/>
        <v>13</v>
      </c>
      <c r="R17" s="7"/>
      <c r="S17" s="6"/>
      <c r="T17" s="16"/>
      <c r="U17" s="16"/>
      <c r="V17" s="17"/>
      <c r="W17" s="5">
        <v>13</v>
      </c>
      <c r="X17" s="16"/>
      <c r="Y17" s="16"/>
      <c r="Z17" s="16"/>
      <c r="AA17" s="18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6">
        <f t="shared" si="7"/>
        <v>0.4044117647058823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25000</v>
      </c>
      <c r="J18" s="14">
        <v>4435</v>
      </c>
      <c r="K18" s="15">
        <f>L18</f>
        <v>4435</v>
      </c>
      <c r="L18" s="15">
        <f>1527+2908</f>
        <v>4435</v>
      </c>
      <c r="M18" s="15">
        <f t="shared" si="0"/>
        <v>4435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0.4044117647058823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201</v>
      </c>
      <c r="F19" s="30" t="s">
        <v>145</v>
      </c>
      <c r="G19" s="33">
        <v>1</v>
      </c>
      <c r="H19" s="35">
        <v>24</v>
      </c>
      <c r="I19" s="7">
        <v>1000</v>
      </c>
      <c r="J19" s="14">
        <v>1766</v>
      </c>
      <c r="K19" s="15">
        <f>L19</f>
        <v>1766</v>
      </c>
      <c r="L19" s="15">
        <f>1766</f>
        <v>1766</v>
      </c>
      <c r="M19" s="15">
        <f t="shared" ref="M19" si="10">L19-N19</f>
        <v>1766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11</v>
      </c>
      <c r="Q19" s="40">
        <f t="shared" ref="Q19" si="13">SUM(R19:AA19)</f>
        <v>13</v>
      </c>
      <c r="R19" s="7"/>
      <c r="S19" s="6"/>
      <c r="T19" s="16"/>
      <c r="U19" s="16"/>
      <c r="V19" s="17"/>
      <c r="W19" s="5">
        <v>13</v>
      </c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0.45833333333333331</v>
      </c>
      <c r="AD19" s="10">
        <f t="shared" ref="AD19" si="16">AC19*AB19*(1-O19)</f>
        <v>0.45833333333333331</v>
      </c>
      <c r="AE19" s="36">
        <f t="shared" si="7"/>
        <v>0.4044117647058823</v>
      </c>
      <c r="AF19" s="84">
        <f t="shared" ref="AF19" si="17">A19</f>
        <v>14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206</v>
      </c>
      <c r="F20" s="30" t="s">
        <v>127</v>
      </c>
      <c r="G20" s="33">
        <v>1</v>
      </c>
      <c r="H20" s="35">
        <v>24</v>
      </c>
      <c r="I20" s="7">
        <v>3500</v>
      </c>
      <c r="J20" s="14">
        <v>2785</v>
      </c>
      <c r="K20" s="15">
        <f>L20</f>
        <v>2785</v>
      </c>
      <c r="L20" s="15">
        <f>2785</f>
        <v>2785</v>
      </c>
      <c r="M20" s="15">
        <f t="shared" si="0"/>
        <v>2785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/>
      <c r="T20" s="16">
        <v>12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6">
        <f t="shared" si="7"/>
        <v>0.4044117647058823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34" t="s">
        <v>118</v>
      </c>
      <c r="D21" s="52" t="s">
        <v>115</v>
      </c>
      <c r="E21" s="53" t="s">
        <v>179</v>
      </c>
      <c r="F21" s="30" t="s">
        <v>174</v>
      </c>
      <c r="G21" s="12">
        <v>1</v>
      </c>
      <c r="H21" s="13">
        <v>28</v>
      </c>
      <c r="I21" s="31">
        <v>20000</v>
      </c>
      <c r="J21" s="5">
        <v>2211</v>
      </c>
      <c r="K21" s="15">
        <f>L21</f>
        <v>2211</v>
      </c>
      <c r="L21" s="15">
        <f>2211</f>
        <v>2211</v>
      </c>
      <c r="M21" s="15">
        <f t="shared" si="0"/>
        <v>2211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>
        <v>12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>AC21*AB21*(1-O21)</f>
        <v>0.5</v>
      </c>
      <c r="AE21" s="36">
        <f t="shared" si="7"/>
        <v>0.4044117647058823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147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0.4044117647058823</v>
      </c>
      <c r="AF22" s="84">
        <f t="shared" si="8"/>
        <v>16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18">SUM(I6:I22)</f>
        <v>544950</v>
      </c>
      <c r="J23" s="19">
        <f t="shared" si="18"/>
        <v>59872</v>
      </c>
      <c r="K23" s="20">
        <f t="shared" si="18"/>
        <v>437333</v>
      </c>
      <c r="L23" s="21">
        <f t="shared" si="18"/>
        <v>40653</v>
      </c>
      <c r="M23" s="20">
        <f t="shared" si="18"/>
        <v>40653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165</v>
      </c>
      <c r="Q23" s="43">
        <f t="shared" si="19"/>
        <v>243</v>
      </c>
      <c r="R23" s="23">
        <f t="shared" si="19"/>
        <v>0</v>
      </c>
      <c r="S23" s="24">
        <f t="shared" si="19"/>
        <v>64</v>
      </c>
      <c r="T23" s="24">
        <f t="shared" si="19"/>
        <v>12</v>
      </c>
      <c r="U23" s="24">
        <f t="shared" si="19"/>
        <v>0</v>
      </c>
      <c r="V23" s="25">
        <f t="shared" si="19"/>
        <v>48</v>
      </c>
      <c r="W23" s="26">
        <f t="shared" si="19"/>
        <v>95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0.6470588235294118</v>
      </c>
      <c r="AC23" s="4">
        <f>AVERAGE(AC6:AC22)</f>
        <v>0.4044117647058823</v>
      </c>
      <c r="AD23" s="4">
        <f>AVERAGE(AD6:AD22)</f>
        <v>0.4044117647058823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160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208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130" t="s">
        <v>46</v>
      </c>
      <c r="D52" s="130" t="s">
        <v>47</v>
      </c>
      <c r="E52" s="130" t="s">
        <v>107</v>
      </c>
      <c r="F52" s="449" t="s">
        <v>106</v>
      </c>
      <c r="G52" s="450"/>
      <c r="H52" s="450"/>
      <c r="I52" s="450"/>
      <c r="J52" s="450"/>
      <c r="K52" s="450"/>
      <c r="L52" s="450"/>
      <c r="M52" s="451"/>
      <c r="N52" s="67" t="s">
        <v>110</v>
      </c>
      <c r="O52" s="130" t="s">
        <v>46</v>
      </c>
      <c r="P52" s="449" t="s">
        <v>47</v>
      </c>
      <c r="Q52" s="452"/>
      <c r="R52" s="449" t="s">
        <v>38</v>
      </c>
      <c r="S52" s="450"/>
      <c r="T52" s="450"/>
      <c r="U52" s="452"/>
      <c r="V52" s="449" t="s">
        <v>48</v>
      </c>
      <c r="W52" s="450"/>
      <c r="X52" s="450"/>
      <c r="Y52" s="450"/>
      <c r="Z52" s="450"/>
      <c r="AA52" s="450"/>
      <c r="AB52" s="450"/>
      <c r="AC52" s="450"/>
      <c r="AD52" s="451"/>
    </row>
    <row r="53" spans="1:32" ht="27" customHeight="1">
      <c r="A53" s="430" t="s">
        <v>119</v>
      </c>
      <c r="B53" s="431"/>
      <c r="C53" s="129" t="s">
        <v>177</v>
      </c>
      <c r="D53" s="129" t="s">
        <v>203</v>
      </c>
      <c r="E53" s="126" t="s">
        <v>204</v>
      </c>
      <c r="F53" s="418" t="s">
        <v>133</v>
      </c>
      <c r="G53" s="419"/>
      <c r="H53" s="419"/>
      <c r="I53" s="419"/>
      <c r="J53" s="419"/>
      <c r="K53" s="419"/>
      <c r="L53" s="419"/>
      <c r="M53" s="420"/>
      <c r="N53" s="125" t="s">
        <v>182</v>
      </c>
      <c r="O53" s="123" t="s">
        <v>150</v>
      </c>
      <c r="P53" s="432" t="s">
        <v>115</v>
      </c>
      <c r="Q53" s="433"/>
      <c r="R53" s="432" t="s">
        <v>195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118</v>
      </c>
      <c r="B54" s="431"/>
      <c r="C54" s="129" t="s">
        <v>170</v>
      </c>
      <c r="D54" s="129" t="s">
        <v>128</v>
      </c>
      <c r="E54" s="126" t="s">
        <v>148</v>
      </c>
      <c r="F54" s="418" t="s">
        <v>133</v>
      </c>
      <c r="G54" s="419"/>
      <c r="H54" s="419"/>
      <c r="I54" s="419"/>
      <c r="J54" s="419"/>
      <c r="K54" s="419"/>
      <c r="L54" s="419"/>
      <c r="M54" s="420"/>
      <c r="N54" s="125" t="s">
        <v>112</v>
      </c>
      <c r="O54" s="123" t="s">
        <v>132</v>
      </c>
      <c r="P54" s="432" t="s">
        <v>154</v>
      </c>
      <c r="Q54" s="433"/>
      <c r="R54" s="432" t="s">
        <v>209</v>
      </c>
      <c r="S54" s="434"/>
      <c r="T54" s="434"/>
      <c r="U54" s="433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119</v>
      </c>
      <c r="B55" s="431"/>
      <c r="C55" s="129" t="s">
        <v>132</v>
      </c>
      <c r="D55" s="129" t="s">
        <v>135</v>
      </c>
      <c r="E55" s="126" t="s">
        <v>146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125" t="s">
        <v>119</v>
      </c>
      <c r="O55" s="123" t="s">
        <v>172</v>
      </c>
      <c r="P55" s="432" t="s">
        <v>154</v>
      </c>
      <c r="Q55" s="433"/>
      <c r="R55" s="432" t="s">
        <v>210</v>
      </c>
      <c r="S55" s="434"/>
      <c r="T55" s="434"/>
      <c r="U55" s="433"/>
      <c r="V55" s="405" t="s">
        <v>133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112</v>
      </c>
      <c r="B56" s="431"/>
      <c r="C56" s="129" t="s">
        <v>143</v>
      </c>
      <c r="D56" s="129" t="s">
        <v>155</v>
      </c>
      <c r="E56" s="126" t="s">
        <v>165</v>
      </c>
      <c r="F56" s="418" t="s">
        <v>207</v>
      </c>
      <c r="G56" s="419"/>
      <c r="H56" s="419"/>
      <c r="I56" s="419"/>
      <c r="J56" s="419"/>
      <c r="K56" s="419"/>
      <c r="L56" s="419"/>
      <c r="M56" s="420"/>
      <c r="N56" s="125" t="s">
        <v>112</v>
      </c>
      <c r="O56" s="123" t="s">
        <v>143</v>
      </c>
      <c r="P56" s="432" t="s">
        <v>155</v>
      </c>
      <c r="Q56" s="433"/>
      <c r="R56" s="417" t="s">
        <v>165</v>
      </c>
      <c r="S56" s="417"/>
      <c r="T56" s="417"/>
      <c r="U56" s="417"/>
      <c r="V56" s="405" t="s">
        <v>129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30" t="s">
        <v>112</v>
      </c>
      <c r="B57" s="431"/>
      <c r="C57" s="129" t="s">
        <v>172</v>
      </c>
      <c r="D57" s="129" t="s">
        <v>154</v>
      </c>
      <c r="E57" s="126" t="s">
        <v>200</v>
      </c>
      <c r="F57" s="418" t="s">
        <v>133</v>
      </c>
      <c r="G57" s="419"/>
      <c r="H57" s="419"/>
      <c r="I57" s="419"/>
      <c r="J57" s="419"/>
      <c r="K57" s="419"/>
      <c r="L57" s="419"/>
      <c r="M57" s="420"/>
      <c r="N57" s="125" t="s">
        <v>119</v>
      </c>
      <c r="O57" s="123" t="s">
        <v>177</v>
      </c>
      <c r="P57" s="432" t="s">
        <v>211</v>
      </c>
      <c r="Q57" s="433"/>
      <c r="R57" s="432" t="s">
        <v>212</v>
      </c>
      <c r="S57" s="434"/>
      <c r="T57" s="434"/>
      <c r="U57" s="433"/>
      <c r="V57" s="405" t="s">
        <v>133</v>
      </c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16" t="s">
        <v>118</v>
      </c>
      <c r="B58" s="417"/>
      <c r="C58" s="126" t="s">
        <v>134</v>
      </c>
      <c r="D58" s="126" t="s">
        <v>115</v>
      </c>
      <c r="E58" s="126" t="s">
        <v>138</v>
      </c>
      <c r="F58" s="418" t="s">
        <v>133</v>
      </c>
      <c r="G58" s="419"/>
      <c r="H58" s="419"/>
      <c r="I58" s="419"/>
      <c r="J58" s="419"/>
      <c r="K58" s="419"/>
      <c r="L58" s="419"/>
      <c r="M58" s="420"/>
      <c r="N58" s="125" t="s">
        <v>112</v>
      </c>
      <c r="O58" s="123" t="s">
        <v>143</v>
      </c>
      <c r="P58" s="432" t="s">
        <v>115</v>
      </c>
      <c r="Q58" s="433"/>
      <c r="R58" s="432" t="s">
        <v>213</v>
      </c>
      <c r="S58" s="434"/>
      <c r="T58" s="434"/>
      <c r="U58" s="433"/>
      <c r="V58" s="405" t="s">
        <v>133</v>
      </c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 t="s">
        <v>112</v>
      </c>
      <c r="B59" s="431"/>
      <c r="C59" s="129" t="s">
        <v>140</v>
      </c>
      <c r="D59" s="129" t="s">
        <v>115</v>
      </c>
      <c r="E59" s="126" t="s">
        <v>201</v>
      </c>
      <c r="F59" s="418" t="s">
        <v>133</v>
      </c>
      <c r="G59" s="419"/>
      <c r="H59" s="419"/>
      <c r="I59" s="419"/>
      <c r="J59" s="419"/>
      <c r="K59" s="419"/>
      <c r="L59" s="419"/>
      <c r="M59" s="420"/>
      <c r="N59" s="125"/>
      <c r="O59" s="123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30" t="s">
        <v>112</v>
      </c>
      <c r="B60" s="431"/>
      <c r="C60" s="129" t="s">
        <v>140</v>
      </c>
      <c r="D60" s="129" t="s">
        <v>115</v>
      </c>
      <c r="E60" s="126" t="s">
        <v>206</v>
      </c>
      <c r="F60" s="418" t="s">
        <v>133</v>
      </c>
      <c r="G60" s="419"/>
      <c r="H60" s="419"/>
      <c r="I60" s="419"/>
      <c r="J60" s="419"/>
      <c r="K60" s="419"/>
      <c r="L60" s="419"/>
      <c r="M60" s="420"/>
      <c r="N60" s="125"/>
      <c r="O60" s="123"/>
      <c r="P60" s="432"/>
      <c r="Q60" s="433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</row>
    <row r="61" spans="1:32" ht="27" customHeight="1">
      <c r="A61" s="416" t="s">
        <v>118</v>
      </c>
      <c r="B61" s="417"/>
      <c r="C61" s="126" t="s">
        <v>149</v>
      </c>
      <c r="D61" s="126" t="s">
        <v>115</v>
      </c>
      <c r="E61" s="126" t="s">
        <v>179</v>
      </c>
      <c r="F61" s="418" t="s">
        <v>161</v>
      </c>
      <c r="G61" s="419"/>
      <c r="H61" s="419"/>
      <c r="I61" s="419"/>
      <c r="J61" s="419"/>
      <c r="K61" s="419"/>
      <c r="L61" s="419"/>
      <c r="M61" s="420"/>
      <c r="N61" s="125"/>
      <c r="O61" s="123"/>
      <c r="P61" s="417"/>
      <c r="Q61" s="417"/>
      <c r="R61" s="417"/>
      <c r="S61" s="417"/>
      <c r="T61" s="417"/>
      <c r="U61" s="417"/>
      <c r="V61" s="405"/>
      <c r="W61" s="405"/>
      <c r="X61" s="405"/>
      <c r="Y61" s="405"/>
      <c r="Z61" s="405"/>
      <c r="AA61" s="405"/>
      <c r="AB61" s="405"/>
      <c r="AC61" s="405"/>
      <c r="AD61" s="421"/>
      <c r="AF61" s="84">
        <f>8*3000</f>
        <v>24000</v>
      </c>
    </row>
    <row r="62" spans="1:32" ht="27" customHeight="1" thickBot="1">
      <c r="A62" s="422"/>
      <c r="B62" s="423"/>
      <c r="C62" s="127"/>
      <c r="D62" s="128"/>
      <c r="E62" s="128"/>
      <c r="F62" s="424"/>
      <c r="G62" s="425"/>
      <c r="H62" s="425"/>
      <c r="I62" s="425"/>
      <c r="J62" s="425"/>
      <c r="K62" s="425"/>
      <c r="L62" s="425"/>
      <c r="M62" s="426"/>
      <c r="N62" s="111"/>
      <c r="O62" s="103"/>
      <c r="P62" s="427"/>
      <c r="Q62" s="427"/>
      <c r="R62" s="427"/>
      <c r="S62" s="427"/>
      <c r="T62" s="427"/>
      <c r="U62" s="427"/>
      <c r="V62" s="428"/>
      <c r="W62" s="428"/>
      <c r="X62" s="428"/>
      <c r="Y62" s="428"/>
      <c r="Z62" s="428"/>
      <c r="AA62" s="428"/>
      <c r="AB62" s="428"/>
      <c r="AC62" s="428"/>
      <c r="AD62" s="429"/>
      <c r="AF62" s="84">
        <f>16*3000</f>
        <v>48000</v>
      </c>
    </row>
    <row r="63" spans="1:32" ht="27.75" thickBot="1">
      <c r="A63" s="414" t="s">
        <v>162</v>
      </c>
      <c r="B63" s="414"/>
      <c r="C63" s="414"/>
      <c r="D63" s="414"/>
      <c r="E63" s="41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15" t="s">
        <v>111</v>
      </c>
      <c r="B64" s="412"/>
      <c r="C64" s="124" t="s">
        <v>2</v>
      </c>
      <c r="D64" s="124" t="s">
        <v>37</v>
      </c>
      <c r="E64" s="124" t="s">
        <v>3</v>
      </c>
      <c r="F64" s="412" t="s">
        <v>109</v>
      </c>
      <c r="G64" s="412"/>
      <c r="H64" s="412"/>
      <c r="I64" s="412"/>
      <c r="J64" s="412"/>
      <c r="K64" s="412" t="s">
        <v>39</v>
      </c>
      <c r="L64" s="412"/>
      <c r="M64" s="124" t="s">
        <v>40</v>
      </c>
      <c r="N64" s="412" t="s">
        <v>41</v>
      </c>
      <c r="O64" s="412"/>
      <c r="P64" s="409" t="s">
        <v>42</v>
      </c>
      <c r="Q64" s="411"/>
      <c r="R64" s="409" t="s">
        <v>43</v>
      </c>
      <c r="S64" s="410"/>
      <c r="T64" s="410"/>
      <c r="U64" s="410"/>
      <c r="V64" s="410"/>
      <c r="W64" s="410"/>
      <c r="X64" s="410"/>
      <c r="Y64" s="410"/>
      <c r="Z64" s="410"/>
      <c r="AA64" s="411"/>
      <c r="AB64" s="412" t="s">
        <v>44</v>
      </c>
      <c r="AC64" s="412"/>
      <c r="AD64" s="413"/>
      <c r="AF64" s="84">
        <f>SUM(AF61:AF63)</f>
        <v>96000</v>
      </c>
    </row>
    <row r="65" spans="1:32" ht="25.5" customHeight="1">
      <c r="A65" s="400">
        <v>1</v>
      </c>
      <c r="B65" s="401"/>
      <c r="C65" s="104" t="s">
        <v>112</v>
      </c>
      <c r="D65" s="119"/>
      <c r="E65" s="122" t="s">
        <v>115</v>
      </c>
      <c r="F65" s="406" t="s">
        <v>205</v>
      </c>
      <c r="G65" s="407"/>
      <c r="H65" s="407"/>
      <c r="I65" s="407"/>
      <c r="J65" s="408"/>
      <c r="K65" s="394" t="s">
        <v>130</v>
      </c>
      <c r="L65" s="394"/>
      <c r="M65" s="51" t="s">
        <v>159</v>
      </c>
      <c r="N65" s="403" t="s">
        <v>141</v>
      </c>
      <c r="O65" s="403"/>
      <c r="P65" s="404">
        <v>30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2</v>
      </c>
      <c r="B66" s="401"/>
      <c r="C66" s="104" t="s">
        <v>121</v>
      </c>
      <c r="D66" s="119"/>
      <c r="E66" s="122" t="s">
        <v>115</v>
      </c>
      <c r="F66" s="406" t="s">
        <v>169</v>
      </c>
      <c r="G66" s="407"/>
      <c r="H66" s="407"/>
      <c r="I66" s="407"/>
      <c r="J66" s="408"/>
      <c r="K66" s="394" t="s">
        <v>152</v>
      </c>
      <c r="L66" s="394"/>
      <c r="M66" s="51" t="s">
        <v>151</v>
      </c>
      <c r="N66" s="403" t="s">
        <v>177</v>
      </c>
      <c r="O66" s="403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3</v>
      </c>
      <c r="B67" s="401"/>
      <c r="C67" s="104"/>
      <c r="D67" s="119"/>
      <c r="E67" s="122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4</v>
      </c>
      <c r="B68" s="401"/>
      <c r="C68" s="104"/>
      <c r="D68" s="119"/>
      <c r="E68" s="122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5</v>
      </c>
      <c r="B69" s="401"/>
      <c r="C69" s="104"/>
      <c r="D69" s="119"/>
      <c r="E69" s="122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6</v>
      </c>
      <c r="B70" s="401"/>
      <c r="C70" s="104"/>
      <c r="D70" s="119"/>
      <c r="E70" s="122"/>
      <c r="F70" s="406"/>
      <c r="G70" s="407"/>
      <c r="H70" s="407"/>
      <c r="I70" s="407"/>
      <c r="J70" s="408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7</v>
      </c>
      <c r="B71" s="401"/>
      <c r="C71" s="104"/>
      <c r="D71" s="119"/>
      <c r="E71" s="122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8</v>
      </c>
      <c r="B72" s="401"/>
      <c r="C72" s="104"/>
      <c r="D72" s="119"/>
      <c r="E72" s="122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9</v>
      </c>
      <c r="B73" s="401"/>
      <c r="C73" s="104"/>
      <c r="D73" s="119"/>
      <c r="E73" s="122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5.5" customHeight="1">
      <c r="A74" s="400">
        <v>10</v>
      </c>
      <c r="B74" s="401"/>
      <c r="C74" s="104"/>
      <c r="D74" s="119"/>
      <c r="E74" s="122"/>
      <c r="F74" s="402"/>
      <c r="G74" s="394"/>
      <c r="H74" s="394"/>
      <c r="I74" s="394"/>
      <c r="J74" s="394"/>
      <c r="K74" s="394"/>
      <c r="L74" s="394"/>
      <c r="M74" s="51"/>
      <c r="N74" s="403"/>
      <c r="O74" s="403"/>
      <c r="P74" s="404"/>
      <c r="Q74" s="404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394"/>
      <c r="AC74" s="394"/>
      <c r="AD74" s="395"/>
      <c r="AF74" s="50"/>
    </row>
    <row r="75" spans="1:32" ht="26.25" customHeight="1" thickBot="1">
      <c r="A75" s="374" t="s">
        <v>163</v>
      </c>
      <c r="B75" s="374"/>
      <c r="C75" s="374"/>
      <c r="D75" s="374"/>
      <c r="E75" s="374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375" t="s">
        <v>139</v>
      </c>
      <c r="B76" s="376"/>
      <c r="C76" s="121" t="s">
        <v>2</v>
      </c>
      <c r="D76" s="121" t="s">
        <v>37</v>
      </c>
      <c r="E76" s="121" t="s">
        <v>131</v>
      </c>
      <c r="F76" s="376" t="s">
        <v>38</v>
      </c>
      <c r="G76" s="376"/>
      <c r="H76" s="376"/>
      <c r="I76" s="376"/>
      <c r="J76" s="376"/>
      <c r="K76" s="396" t="s">
        <v>58</v>
      </c>
      <c r="L76" s="397"/>
      <c r="M76" s="397"/>
      <c r="N76" s="397"/>
      <c r="O76" s="397"/>
      <c r="P76" s="397"/>
      <c r="Q76" s="397"/>
      <c r="R76" s="397"/>
      <c r="S76" s="398"/>
      <c r="T76" s="376" t="s">
        <v>49</v>
      </c>
      <c r="U76" s="376"/>
      <c r="V76" s="396" t="s">
        <v>50</v>
      </c>
      <c r="W76" s="398"/>
      <c r="X76" s="397" t="s">
        <v>51</v>
      </c>
      <c r="Y76" s="397"/>
      <c r="Z76" s="397"/>
      <c r="AA76" s="397"/>
      <c r="AB76" s="397"/>
      <c r="AC76" s="397"/>
      <c r="AD76" s="399"/>
      <c r="AF76" s="50"/>
    </row>
    <row r="77" spans="1:32" ht="33.75" customHeight="1">
      <c r="A77" s="368">
        <v>1</v>
      </c>
      <c r="B77" s="369"/>
      <c r="C77" s="120" t="s">
        <v>112</v>
      </c>
      <c r="D77" s="120"/>
      <c r="E77" s="65" t="s">
        <v>117</v>
      </c>
      <c r="F77" s="383" t="s">
        <v>116</v>
      </c>
      <c r="G77" s="384"/>
      <c r="H77" s="384"/>
      <c r="I77" s="384"/>
      <c r="J77" s="385"/>
      <c r="K77" s="386" t="s">
        <v>120</v>
      </c>
      <c r="L77" s="387"/>
      <c r="M77" s="387"/>
      <c r="N77" s="387"/>
      <c r="O77" s="387"/>
      <c r="P77" s="387"/>
      <c r="Q77" s="387"/>
      <c r="R77" s="387"/>
      <c r="S77" s="388"/>
      <c r="T77" s="389">
        <v>43675</v>
      </c>
      <c r="U77" s="390"/>
      <c r="V77" s="391"/>
      <c r="W77" s="391"/>
      <c r="X77" s="392"/>
      <c r="Y77" s="392"/>
      <c r="Z77" s="392"/>
      <c r="AA77" s="392"/>
      <c r="AB77" s="392"/>
      <c r="AC77" s="392"/>
      <c r="AD77" s="393"/>
      <c r="AF77" s="50"/>
    </row>
    <row r="78" spans="1:32" ht="30" customHeight="1">
      <c r="A78" s="361">
        <f>A77+1</f>
        <v>2</v>
      </c>
      <c r="B78" s="362"/>
      <c r="C78" s="119"/>
      <c r="D78" s="119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ref="A79:A83" si="20">A78+1</f>
        <v>3</v>
      </c>
      <c r="B79" s="362"/>
      <c r="C79" s="119"/>
      <c r="D79" s="119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20"/>
        <v>4</v>
      </c>
      <c r="B80" s="362"/>
      <c r="C80" s="119"/>
      <c r="D80" s="119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20"/>
        <v>5</v>
      </c>
      <c r="B81" s="362"/>
      <c r="C81" s="119"/>
      <c r="D81" s="119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20"/>
        <v>6</v>
      </c>
      <c r="B82" s="362"/>
      <c r="C82" s="119"/>
      <c r="D82" s="119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0" customHeight="1">
      <c r="A83" s="361">
        <f t="shared" si="20"/>
        <v>7</v>
      </c>
      <c r="B83" s="362"/>
      <c r="C83" s="119"/>
      <c r="D83" s="119"/>
      <c r="E83" s="32"/>
      <c r="F83" s="362"/>
      <c r="G83" s="362"/>
      <c r="H83" s="362"/>
      <c r="I83" s="362"/>
      <c r="J83" s="362"/>
      <c r="K83" s="377"/>
      <c r="L83" s="378"/>
      <c r="M83" s="378"/>
      <c r="N83" s="378"/>
      <c r="O83" s="378"/>
      <c r="P83" s="378"/>
      <c r="Q83" s="378"/>
      <c r="R83" s="378"/>
      <c r="S83" s="379"/>
      <c r="T83" s="380"/>
      <c r="U83" s="380"/>
      <c r="V83" s="380"/>
      <c r="W83" s="380"/>
      <c r="X83" s="381"/>
      <c r="Y83" s="381"/>
      <c r="Z83" s="381"/>
      <c r="AA83" s="381"/>
      <c r="AB83" s="381"/>
      <c r="AC83" s="381"/>
      <c r="AD83" s="382"/>
      <c r="AF83" s="50"/>
    </row>
    <row r="84" spans="1:32" ht="36" thickBot="1">
      <c r="A84" s="374" t="s">
        <v>164</v>
      </c>
      <c r="B84" s="374"/>
      <c r="C84" s="374"/>
      <c r="D84" s="374"/>
      <c r="E84" s="37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75" t="s">
        <v>111</v>
      </c>
      <c r="B85" s="376"/>
      <c r="C85" s="366" t="s">
        <v>52</v>
      </c>
      <c r="D85" s="366"/>
      <c r="E85" s="366" t="s">
        <v>53</v>
      </c>
      <c r="F85" s="366"/>
      <c r="G85" s="366"/>
      <c r="H85" s="366"/>
      <c r="I85" s="366"/>
      <c r="J85" s="366"/>
      <c r="K85" s="366" t="s">
        <v>54</v>
      </c>
      <c r="L85" s="366"/>
      <c r="M85" s="366"/>
      <c r="N85" s="366"/>
      <c r="O85" s="366"/>
      <c r="P85" s="366"/>
      <c r="Q85" s="366"/>
      <c r="R85" s="366"/>
      <c r="S85" s="366"/>
      <c r="T85" s="366" t="s">
        <v>55</v>
      </c>
      <c r="U85" s="366"/>
      <c r="V85" s="366" t="s">
        <v>56</v>
      </c>
      <c r="W85" s="366"/>
      <c r="X85" s="366"/>
      <c r="Y85" s="366" t="s">
        <v>51</v>
      </c>
      <c r="Z85" s="366"/>
      <c r="AA85" s="366"/>
      <c r="AB85" s="366"/>
      <c r="AC85" s="366"/>
      <c r="AD85" s="367"/>
      <c r="AF85" s="50"/>
    </row>
    <row r="86" spans="1:32" ht="30.75" customHeight="1">
      <c r="A86" s="368">
        <v>1</v>
      </c>
      <c r="B86" s="369"/>
      <c r="C86" s="370"/>
      <c r="D86" s="370"/>
      <c r="E86" s="370"/>
      <c r="F86" s="370"/>
      <c r="G86" s="370"/>
      <c r="H86" s="370"/>
      <c r="I86" s="370"/>
      <c r="J86" s="370"/>
      <c r="K86" s="370"/>
      <c r="L86" s="370"/>
      <c r="M86" s="370"/>
      <c r="N86" s="370"/>
      <c r="O86" s="370"/>
      <c r="P86" s="370"/>
      <c r="Q86" s="370"/>
      <c r="R86" s="370"/>
      <c r="S86" s="370"/>
      <c r="T86" s="370"/>
      <c r="U86" s="370"/>
      <c r="V86" s="371"/>
      <c r="W86" s="371"/>
      <c r="X86" s="371"/>
      <c r="Y86" s="372"/>
      <c r="Z86" s="372"/>
      <c r="AA86" s="372"/>
      <c r="AB86" s="372"/>
      <c r="AC86" s="372"/>
      <c r="AD86" s="373"/>
      <c r="AF86" s="50"/>
    </row>
    <row r="87" spans="1:32" ht="30.75" customHeight="1">
      <c r="A87" s="361">
        <v>2</v>
      </c>
      <c r="B87" s="362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4"/>
      <c r="U87" s="364"/>
      <c r="V87" s="365"/>
      <c r="W87" s="365"/>
      <c r="X87" s="365"/>
      <c r="Y87" s="354"/>
      <c r="Z87" s="354"/>
      <c r="AA87" s="354"/>
      <c r="AB87" s="354"/>
      <c r="AC87" s="354"/>
      <c r="AD87" s="355"/>
      <c r="AF87" s="50"/>
    </row>
    <row r="88" spans="1:32" ht="30.75" customHeight="1" thickBot="1">
      <c r="A88" s="356">
        <v>3</v>
      </c>
      <c r="B88" s="357"/>
      <c r="C88" s="358"/>
      <c r="D88" s="358"/>
      <c r="E88" s="358"/>
      <c r="F88" s="358"/>
      <c r="G88" s="358"/>
      <c r="H88" s="358"/>
      <c r="I88" s="358"/>
      <c r="J88" s="358"/>
      <c r="K88" s="358"/>
      <c r="L88" s="358"/>
      <c r="M88" s="358"/>
      <c r="N88" s="358"/>
      <c r="O88" s="358"/>
      <c r="P88" s="358"/>
      <c r="Q88" s="358"/>
      <c r="R88" s="358"/>
      <c r="S88" s="358"/>
      <c r="T88" s="358"/>
      <c r="U88" s="358"/>
      <c r="V88" s="358"/>
      <c r="W88" s="358"/>
      <c r="X88" s="358"/>
      <c r="Y88" s="359"/>
      <c r="Z88" s="359"/>
      <c r="AA88" s="359"/>
      <c r="AB88" s="359"/>
      <c r="AC88" s="359"/>
      <c r="AD88" s="360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B6D8-51AC-42D2-9D69-2F4B242AC3BD}">
  <dimension ref="A1:AF90"/>
  <sheetViews>
    <sheetView view="pageBreakPreview" zoomScale="70" zoomScaleNormal="72" zoomScaleSheetLayoutView="70" workbookViewId="0">
      <selection activeCell="A87" sqref="A87:B8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215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27" customHeight="1">
      <c r="A6" s="112">
        <v>1</v>
      </c>
      <c r="B6" s="11" t="s">
        <v>57</v>
      </c>
      <c r="C6" s="34" t="s">
        <v>121</v>
      </c>
      <c r="D6" s="52"/>
      <c r="E6" s="53" t="s">
        <v>178</v>
      </c>
      <c r="F6" s="12" t="s">
        <v>144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4" si="0">L6-N6</f>
        <v>0</v>
      </c>
      <c r="N6" s="15">
        <v>0</v>
      </c>
      <c r="O6" s="58" t="str">
        <f t="shared" ref="O6:O25" si="1">IF(L6=0,"0",N6/L6)</f>
        <v>0</v>
      </c>
      <c r="P6" s="39" t="str">
        <f t="shared" ref="P6:P24" si="2">IF(L6=0,"0",(24-Q6))</f>
        <v>0</v>
      </c>
      <c r="Q6" s="40">
        <f t="shared" ref="Q6:Q24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4" si="4">IF(J6=0,"0",(L6/J6))</f>
        <v>0</v>
      </c>
      <c r="AC6" s="9">
        <f t="shared" ref="AC6:AC24" si="5">IF(P6=0,"0",(P6/24))</f>
        <v>0</v>
      </c>
      <c r="AD6" s="10">
        <f t="shared" ref="AD6:AD24" si="6">AC6*AB6*(1-O6)</f>
        <v>0</v>
      </c>
      <c r="AE6" s="36">
        <f t="shared" ref="AE6:AE24" si="7">$AD$25</f>
        <v>0.425438596491228</v>
      </c>
      <c r="AF6" s="84">
        <f t="shared" ref="AF6:AF24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209</v>
      </c>
      <c r="F7" s="12" t="s">
        <v>216</v>
      </c>
      <c r="G7" s="12">
        <v>1</v>
      </c>
      <c r="H7" s="13">
        <v>24</v>
      </c>
      <c r="I7" s="31">
        <v>500</v>
      </c>
      <c r="J7" s="14">
        <v>1211</v>
      </c>
      <c r="K7" s="15">
        <f>L7</f>
        <v>1211</v>
      </c>
      <c r="L7" s="15">
        <v>1211</v>
      </c>
      <c r="M7" s="15">
        <f t="shared" si="0"/>
        <v>1211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>
        <v>18</v>
      </c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0.425438596491228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11" t="s">
        <v>119</v>
      </c>
      <c r="D8" s="52" t="s">
        <v>211</v>
      </c>
      <c r="E8" s="53" t="s">
        <v>212</v>
      </c>
      <c r="F8" s="30" t="s">
        <v>127</v>
      </c>
      <c r="G8" s="33">
        <v>1</v>
      </c>
      <c r="H8" s="35">
        <v>24</v>
      </c>
      <c r="I8" s="7">
        <v>1000</v>
      </c>
      <c r="J8" s="14">
        <v>1372</v>
      </c>
      <c r="K8" s="15">
        <f>L8</f>
        <v>1372</v>
      </c>
      <c r="L8" s="15">
        <f>1372</f>
        <v>1372</v>
      </c>
      <c r="M8" s="15">
        <f t="shared" si="0"/>
        <v>1372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/>
      <c r="W8" s="5">
        <v>14</v>
      </c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0.425438596491228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118</v>
      </c>
      <c r="D9" s="52" t="s">
        <v>115</v>
      </c>
      <c r="E9" s="53" t="s">
        <v>217</v>
      </c>
      <c r="F9" s="30" t="s">
        <v>152</v>
      </c>
      <c r="G9" s="33">
        <v>1</v>
      </c>
      <c r="H9" s="35">
        <v>24</v>
      </c>
      <c r="I9" s="7">
        <v>500</v>
      </c>
      <c r="J9" s="5">
        <v>143</v>
      </c>
      <c r="K9" s="15">
        <f>L9</f>
        <v>143</v>
      </c>
      <c r="L9" s="15">
        <f>143</f>
        <v>143</v>
      </c>
      <c r="M9" s="15">
        <f t="shared" si="0"/>
        <v>143</v>
      </c>
      <c r="N9" s="15">
        <v>0</v>
      </c>
      <c r="O9" s="58">
        <f t="shared" si="1"/>
        <v>0</v>
      </c>
      <c r="P9" s="39">
        <f t="shared" si="2"/>
        <v>2</v>
      </c>
      <c r="Q9" s="40">
        <f t="shared" si="3"/>
        <v>22</v>
      </c>
      <c r="R9" s="7"/>
      <c r="S9" s="6">
        <v>22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8.3333333333333329E-2</v>
      </c>
      <c r="AD9" s="10">
        <f t="shared" si="6"/>
        <v>8.3333333333333329E-2</v>
      </c>
      <c r="AE9" s="36">
        <f t="shared" si="7"/>
        <v>0.425438596491228</v>
      </c>
      <c r="AF9" s="84">
        <f t="shared" si="8"/>
        <v>3</v>
      </c>
    </row>
    <row r="10" spans="1:32" ht="27" customHeight="1">
      <c r="A10" s="96">
        <v>3</v>
      </c>
      <c r="B10" s="11" t="s">
        <v>57</v>
      </c>
      <c r="C10" s="34" t="s">
        <v>121</v>
      </c>
      <c r="D10" s="52" t="s">
        <v>115</v>
      </c>
      <c r="E10" s="53" t="s">
        <v>218</v>
      </c>
      <c r="F10" s="30" t="s">
        <v>219</v>
      </c>
      <c r="G10" s="33">
        <v>1</v>
      </c>
      <c r="H10" s="35">
        <v>24</v>
      </c>
      <c r="I10" s="7">
        <v>31000</v>
      </c>
      <c r="J10" s="5">
        <v>2455</v>
      </c>
      <c r="K10" s="15">
        <f>L10</f>
        <v>2455</v>
      </c>
      <c r="L10" s="15">
        <f>2455</f>
        <v>2455</v>
      </c>
      <c r="M10" s="15">
        <f t="shared" ref="M10" si="9">L10-N10</f>
        <v>2455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11</v>
      </c>
      <c r="Q10" s="40">
        <f t="shared" ref="Q10" si="12">SUM(R10:AA10)</f>
        <v>13</v>
      </c>
      <c r="R10" s="7"/>
      <c r="S10" s="6"/>
      <c r="T10" s="16">
        <v>13</v>
      </c>
      <c r="U10" s="16"/>
      <c r="V10" s="17"/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0.45833333333333331</v>
      </c>
      <c r="AD10" s="10">
        <f t="shared" ref="AD10" si="15">AC10*AB10*(1-O10)</f>
        <v>0.45833333333333331</v>
      </c>
      <c r="AE10" s="36">
        <f t="shared" si="7"/>
        <v>0.425438596491228</v>
      </c>
      <c r="AF10" s="84">
        <f t="shared" ref="AF10" si="16">A10</f>
        <v>3</v>
      </c>
    </row>
    <row r="11" spans="1:32" ht="27" customHeight="1">
      <c r="A11" s="96">
        <v>4</v>
      </c>
      <c r="B11" s="11" t="s">
        <v>57</v>
      </c>
      <c r="C11" s="34" t="s">
        <v>112</v>
      </c>
      <c r="D11" s="52" t="s">
        <v>155</v>
      </c>
      <c r="E11" s="53" t="s">
        <v>165</v>
      </c>
      <c r="F11" s="30" t="s">
        <v>180</v>
      </c>
      <c r="G11" s="33">
        <v>1</v>
      </c>
      <c r="H11" s="35">
        <v>24</v>
      </c>
      <c r="I11" s="7">
        <v>9000</v>
      </c>
      <c r="J11" s="5">
        <v>3028</v>
      </c>
      <c r="K11" s="15">
        <f>L11+1152</f>
        <v>4180</v>
      </c>
      <c r="L11" s="15">
        <f>1473+1555</f>
        <v>3028</v>
      </c>
      <c r="M11" s="15">
        <f t="shared" si="0"/>
        <v>3028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/>
      <c r="S11" s="6">
        <v>7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>AC11*AB11*(1-O11)</f>
        <v>0.70833333333333337</v>
      </c>
      <c r="AE11" s="36">
        <f t="shared" si="7"/>
        <v>0.425438596491228</v>
      </c>
      <c r="AF11" s="84">
        <f t="shared" si="8"/>
        <v>4</v>
      </c>
    </row>
    <row r="12" spans="1:32" ht="27" customHeight="1">
      <c r="A12" s="96">
        <v>5</v>
      </c>
      <c r="B12" s="11" t="s">
        <v>57</v>
      </c>
      <c r="C12" s="11" t="s">
        <v>118</v>
      </c>
      <c r="D12" s="52" t="s">
        <v>128</v>
      </c>
      <c r="E12" s="53" t="s">
        <v>148</v>
      </c>
      <c r="F12" s="30" t="s">
        <v>145</v>
      </c>
      <c r="G12" s="33">
        <v>1</v>
      </c>
      <c r="H12" s="35">
        <v>24</v>
      </c>
      <c r="I12" s="7">
        <v>58000</v>
      </c>
      <c r="J12" s="14">
        <v>6628</v>
      </c>
      <c r="K12" s="15">
        <f>L12+5217</f>
        <v>11845</v>
      </c>
      <c r="L12" s="15">
        <f>3334+3294</f>
        <v>6628</v>
      </c>
      <c r="M12" s="15">
        <f t="shared" si="0"/>
        <v>6628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6" si="17">AC12*AB12*(1-O12)</f>
        <v>1</v>
      </c>
      <c r="AE12" s="36">
        <f t="shared" si="7"/>
        <v>0.425438596491228</v>
      </c>
      <c r="AF12" s="84">
        <f t="shared" si="8"/>
        <v>5</v>
      </c>
    </row>
    <row r="13" spans="1:32" ht="27" customHeight="1">
      <c r="A13" s="96">
        <v>6</v>
      </c>
      <c r="B13" s="11" t="s">
        <v>57</v>
      </c>
      <c r="C13" s="11" t="s">
        <v>119</v>
      </c>
      <c r="D13" s="52" t="s">
        <v>196</v>
      </c>
      <c r="E13" s="53" t="s">
        <v>194</v>
      </c>
      <c r="F13" s="30" t="s">
        <v>136</v>
      </c>
      <c r="G13" s="33">
        <v>2</v>
      </c>
      <c r="H13" s="35">
        <v>24</v>
      </c>
      <c r="I13" s="7">
        <v>15000</v>
      </c>
      <c r="J13" s="14">
        <v>7560</v>
      </c>
      <c r="K13" s="15">
        <f>L13+10616+12082</f>
        <v>30258</v>
      </c>
      <c r="L13" s="15">
        <f>562*2+3218*2</f>
        <v>7560</v>
      </c>
      <c r="M13" s="15">
        <f t="shared" si="0"/>
        <v>7560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/>
      <c r="T13" s="16"/>
      <c r="U13" s="16"/>
      <c r="V13" s="17"/>
      <c r="W13" s="5">
        <v>10</v>
      </c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17"/>
        <v>0.58333333333333337</v>
      </c>
      <c r="AE13" s="36">
        <f t="shared" si="7"/>
        <v>0.425438596491228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34" t="s">
        <v>182</v>
      </c>
      <c r="D14" s="52" t="s">
        <v>115</v>
      </c>
      <c r="E14" s="53" t="s">
        <v>195</v>
      </c>
      <c r="F14" s="30" t="s">
        <v>168</v>
      </c>
      <c r="G14" s="12">
        <v>1</v>
      </c>
      <c r="H14" s="13">
        <v>22</v>
      </c>
      <c r="I14" s="31">
        <v>4500</v>
      </c>
      <c r="J14" s="5">
        <v>4326</v>
      </c>
      <c r="K14" s="15">
        <f>L14</f>
        <v>4326</v>
      </c>
      <c r="L14" s="15">
        <f>2672+1654</f>
        <v>4326</v>
      </c>
      <c r="M14" s="15">
        <f t="shared" si="0"/>
        <v>4326</v>
      </c>
      <c r="N14" s="15">
        <v>0</v>
      </c>
      <c r="O14" s="58">
        <f t="shared" si="1"/>
        <v>0</v>
      </c>
      <c r="P14" s="39">
        <f t="shared" si="2"/>
        <v>22</v>
      </c>
      <c r="Q14" s="40">
        <f t="shared" si="3"/>
        <v>2</v>
      </c>
      <c r="R14" s="7"/>
      <c r="S14" s="6"/>
      <c r="T14" s="16"/>
      <c r="U14" s="16"/>
      <c r="V14" s="17">
        <v>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0.91666666666666663</v>
      </c>
      <c r="AD14" s="10">
        <f t="shared" si="17"/>
        <v>0.91666666666666663</v>
      </c>
      <c r="AE14" s="36">
        <f t="shared" si="7"/>
        <v>0.425438596491228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34" t="s">
        <v>112</v>
      </c>
      <c r="D15" s="52" t="s">
        <v>115</v>
      </c>
      <c r="E15" s="53" t="s">
        <v>205</v>
      </c>
      <c r="F15" s="30" t="s">
        <v>130</v>
      </c>
      <c r="G15" s="12">
        <v>1</v>
      </c>
      <c r="H15" s="13">
        <v>28</v>
      </c>
      <c r="I15" s="31">
        <v>2300</v>
      </c>
      <c r="J15" s="5">
        <v>650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>AC15*AB15*(1-O15)</f>
        <v>0</v>
      </c>
      <c r="AE15" s="36">
        <f t="shared" si="7"/>
        <v>0.425438596491228</v>
      </c>
      <c r="AF15" s="84">
        <f t="shared" si="8"/>
        <v>8</v>
      </c>
    </row>
    <row r="16" spans="1:32" ht="27" customHeight="1">
      <c r="A16" s="105">
        <v>9</v>
      </c>
      <c r="B16" s="11" t="s">
        <v>57</v>
      </c>
      <c r="C16" s="34" t="s">
        <v>182</v>
      </c>
      <c r="D16" s="52" t="s">
        <v>115</v>
      </c>
      <c r="E16" s="53" t="s">
        <v>181</v>
      </c>
      <c r="F16" s="30" t="s">
        <v>173</v>
      </c>
      <c r="G16" s="33">
        <v>1</v>
      </c>
      <c r="H16" s="35">
        <v>60</v>
      </c>
      <c r="I16" s="7">
        <v>150</v>
      </c>
      <c r="J16" s="5">
        <v>308</v>
      </c>
      <c r="K16" s="15">
        <f>L16+308</f>
        <v>308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7"/>
        <v>0</v>
      </c>
      <c r="AE16" s="36">
        <f t="shared" si="7"/>
        <v>0.425438596491228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121</v>
      </c>
      <c r="D17" s="52" t="s">
        <v>126</v>
      </c>
      <c r="E17" s="53" t="s">
        <v>142</v>
      </c>
      <c r="F17" s="12" t="s">
        <v>144</v>
      </c>
      <c r="G17" s="12">
        <v>1</v>
      </c>
      <c r="H17" s="13">
        <v>24</v>
      </c>
      <c r="I17" s="31">
        <f>11500+7500</f>
        <v>19000</v>
      </c>
      <c r="J17" s="14">
        <v>5080</v>
      </c>
      <c r="K17" s="15">
        <f>L17+2898+5234+1444+2583+5198+5277+2596+3070+5080</f>
        <v>33380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>
        <v>24</v>
      </c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0.425438596491228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135</v>
      </c>
      <c r="E18" s="53" t="s">
        <v>175</v>
      </c>
      <c r="F18" s="30" t="s">
        <v>176</v>
      </c>
      <c r="G18" s="12">
        <v>1</v>
      </c>
      <c r="H18" s="13">
        <v>24</v>
      </c>
      <c r="I18" s="7">
        <v>58000</v>
      </c>
      <c r="J18" s="14">
        <v>5032</v>
      </c>
      <c r="K18" s="15">
        <f>L18+3599+5250+5336+5402+5766+5931+3420+5712+5574+5768+3433</f>
        <v>60223</v>
      </c>
      <c r="L18" s="15">
        <f>2867+2165</f>
        <v>5032</v>
      </c>
      <c r="M18" s="15">
        <f t="shared" si="0"/>
        <v>5032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0.425438596491228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119</v>
      </c>
      <c r="D19" s="52" t="s">
        <v>154</v>
      </c>
      <c r="E19" s="53" t="s">
        <v>210</v>
      </c>
      <c r="F19" s="30" t="s">
        <v>183</v>
      </c>
      <c r="G19" s="12">
        <v>1</v>
      </c>
      <c r="H19" s="13">
        <v>24</v>
      </c>
      <c r="I19" s="7">
        <v>1000</v>
      </c>
      <c r="J19" s="14">
        <v>1434</v>
      </c>
      <c r="K19" s="15">
        <f>L19</f>
        <v>1434</v>
      </c>
      <c r="L19" s="15">
        <v>1434</v>
      </c>
      <c r="M19" s="15">
        <f t="shared" si="0"/>
        <v>1434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>
        <v>2</v>
      </c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0.425438596491228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118</v>
      </c>
      <c r="D20" s="52" t="s">
        <v>115</v>
      </c>
      <c r="E20" s="53" t="s">
        <v>138</v>
      </c>
      <c r="F20" s="30" t="s">
        <v>127</v>
      </c>
      <c r="G20" s="33">
        <v>1</v>
      </c>
      <c r="H20" s="35">
        <v>24</v>
      </c>
      <c r="I20" s="7">
        <v>25000</v>
      </c>
      <c r="J20" s="14">
        <v>4652</v>
      </c>
      <c r="K20" s="15">
        <f>L20+4435</f>
        <v>9087</v>
      </c>
      <c r="L20" s="15">
        <f>1798+2854</f>
        <v>4652</v>
      </c>
      <c r="M20" s="15">
        <f t="shared" si="0"/>
        <v>4652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0.425438596491228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115</v>
      </c>
      <c r="E21" s="53" t="s">
        <v>213</v>
      </c>
      <c r="F21" s="30" t="s">
        <v>145</v>
      </c>
      <c r="G21" s="33">
        <v>1</v>
      </c>
      <c r="H21" s="35">
        <v>24</v>
      </c>
      <c r="I21" s="7">
        <v>3500</v>
      </c>
      <c r="J21" s="14">
        <v>2413</v>
      </c>
      <c r="K21" s="15">
        <f>L21</f>
        <v>2413</v>
      </c>
      <c r="L21" s="15">
        <f>457+1956</f>
        <v>2413</v>
      </c>
      <c r="M21" s="15">
        <f t="shared" si="0"/>
        <v>2413</v>
      </c>
      <c r="N21" s="15">
        <v>0</v>
      </c>
      <c r="O21" s="58">
        <f t="shared" si="1"/>
        <v>0</v>
      </c>
      <c r="P21" s="39">
        <f t="shared" si="2"/>
        <v>17</v>
      </c>
      <c r="Q21" s="40">
        <f t="shared" si="3"/>
        <v>7</v>
      </c>
      <c r="R21" s="7"/>
      <c r="S21" s="6"/>
      <c r="T21" s="16">
        <v>7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0.70833333333333337</v>
      </c>
      <c r="AD21" s="10">
        <f t="shared" si="6"/>
        <v>0.70833333333333337</v>
      </c>
      <c r="AE21" s="36">
        <f t="shared" si="7"/>
        <v>0.425438596491228</v>
      </c>
      <c r="AF21" s="84">
        <f t="shared" si="8"/>
        <v>14</v>
      </c>
    </row>
    <row r="22" spans="1:32" ht="27" customHeight="1">
      <c r="A22" s="96">
        <v>14</v>
      </c>
      <c r="B22" s="11" t="s">
        <v>57</v>
      </c>
      <c r="C22" s="11" t="s">
        <v>112</v>
      </c>
      <c r="D22" s="52" t="s">
        <v>115</v>
      </c>
      <c r="E22" s="53" t="s">
        <v>206</v>
      </c>
      <c r="F22" s="30" t="s">
        <v>127</v>
      </c>
      <c r="G22" s="33">
        <v>1</v>
      </c>
      <c r="H22" s="35">
        <v>24</v>
      </c>
      <c r="I22" s="7">
        <v>3500</v>
      </c>
      <c r="J22" s="14">
        <v>930</v>
      </c>
      <c r="K22" s="15">
        <f>L22+2785</f>
        <v>3715</v>
      </c>
      <c r="L22" s="15">
        <v>930</v>
      </c>
      <c r="M22" s="15">
        <f t="shared" si="0"/>
        <v>930</v>
      </c>
      <c r="N22" s="15">
        <v>0</v>
      </c>
      <c r="O22" s="58">
        <f t="shared" si="1"/>
        <v>0</v>
      </c>
      <c r="P22" s="39">
        <f t="shared" si="2"/>
        <v>5</v>
      </c>
      <c r="Q22" s="40">
        <f t="shared" si="3"/>
        <v>19</v>
      </c>
      <c r="R22" s="7"/>
      <c r="S22" s="6"/>
      <c r="T22" s="16"/>
      <c r="U22" s="16"/>
      <c r="V22" s="17"/>
      <c r="W22" s="5">
        <v>19</v>
      </c>
      <c r="X22" s="16"/>
      <c r="Y22" s="16"/>
      <c r="Z22" s="16"/>
      <c r="AA22" s="18"/>
      <c r="AB22" s="8">
        <f t="shared" si="4"/>
        <v>1</v>
      </c>
      <c r="AC22" s="9">
        <f t="shared" si="5"/>
        <v>0.20833333333333334</v>
      </c>
      <c r="AD22" s="10">
        <f t="shared" si="6"/>
        <v>0.20833333333333334</v>
      </c>
      <c r="AE22" s="36">
        <f t="shared" si="7"/>
        <v>0.425438596491228</v>
      </c>
      <c r="AF22" s="84">
        <f t="shared" si="8"/>
        <v>14</v>
      </c>
    </row>
    <row r="23" spans="1:32" ht="27" customHeight="1">
      <c r="A23" s="96">
        <v>15</v>
      </c>
      <c r="B23" s="11" t="s">
        <v>57</v>
      </c>
      <c r="C23" s="34" t="s">
        <v>118</v>
      </c>
      <c r="D23" s="52" t="s">
        <v>115</v>
      </c>
      <c r="E23" s="53" t="s">
        <v>179</v>
      </c>
      <c r="F23" s="30" t="s">
        <v>174</v>
      </c>
      <c r="G23" s="12">
        <v>1</v>
      </c>
      <c r="H23" s="13">
        <v>28</v>
      </c>
      <c r="I23" s="31">
        <v>20000</v>
      </c>
      <c r="J23" s="5">
        <v>5318</v>
      </c>
      <c r="K23" s="15">
        <f>L23+2211</f>
        <v>7529</v>
      </c>
      <c r="L23" s="15">
        <f>2661+2657</f>
        <v>5318</v>
      </c>
      <c r="M23" s="15">
        <f t="shared" si="0"/>
        <v>5318</v>
      </c>
      <c r="N23" s="15">
        <v>0</v>
      </c>
      <c r="O23" s="58">
        <f t="shared" si="1"/>
        <v>0</v>
      </c>
      <c r="P23" s="39">
        <f t="shared" si="2"/>
        <v>12</v>
      </c>
      <c r="Q23" s="40">
        <f t="shared" si="3"/>
        <v>12</v>
      </c>
      <c r="R23" s="7"/>
      <c r="S23" s="6">
        <v>12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0.5</v>
      </c>
      <c r="AD23" s="10">
        <f>AC23*AB23*(1-O23)</f>
        <v>0.5</v>
      </c>
      <c r="AE23" s="36">
        <f t="shared" si="7"/>
        <v>0.425438596491228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147</v>
      </c>
      <c r="F24" s="12" t="s">
        <v>114</v>
      </c>
      <c r="G24" s="12">
        <v>4</v>
      </c>
      <c r="H24" s="35">
        <v>20</v>
      </c>
      <c r="I24" s="7">
        <v>300000</v>
      </c>
      <c r="J24" s="14">
        <v>4004</v>
      </c>
      <c r="K24" s="15">
        <f>30816+34860+35212+34672+33032+29240+28664+35888+4004</f>
        <v>266388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0.425438596491228</v>
      </c>
      <c r="AF24" s="84">
        <f t="shared" si="8"/>
        <v>16</v>
      </c>
    </row>
    <row r="25" spans="1:32" ht="31.5" customHeight="1" thickBot="1">
      <c r="A25" s="437" t="s">
        <v>34</v>
      </c>
      <c r="B25" s="438"/>
      <c r="C25" s="438"/>
      <c r="D25" s="438"/>
      <c r="E25" s="438"/>
      <c r="F25" s="438"/>
      <c r="G25" s="438"/>
      <c r="H25" s="439"/>
      <c r="I25" s="22">
        <f t="shared" ref="I25:N25" si="18">SUM(I6:I24)</f>
        <v>575450</v>
      </c>
      <c r="J25" s="19">
        <f t="shared" si="18"/>
        <v>61704</v>
      </c>
      <c r="K25" s="20">
        <f t="shared" si="18"/>
        <v>474497</v>
      </c>
      <c r="L25" s="21">
        <f t="shared" si="18"/>
        <v>46502</v>
      </c>
      <c r="M25" s="20">
        <f t="shared" si="18"/>
        <v>46502</v>
      </c>
      <c r="N25" s="21">
        <f t="shared" si="18"/>
        <v>0</v>
      </c>
      <c r="O25" s="41">
        <f t="shared" si="1"/>
        <v>0</v>
      </c>
      <c r="P25" s="42">
        <f t="shared" ref="P25:AA25" si="19">SUM(P6:P24)</f>
        <v>194</v>
      </c>
      <c r="Q25" s="43">
        <f t="shared" si="19"/>
        <v>262</v>
      </c>
      <c r="R25" s="23">
        <f t="shared" si="19"/>
        <v>0</v>
      </c>
      <c r="S25" s="24">
        <f t="shared" si="19"/>
        <v>45</v>
      </c>
      <c r="T25" s="24">
        <f t="shared" si="19"/>
        <v>20</v>
      </c>
      <c r="U25" s="24">
        <f t="shared" si="19"/>
        <v>0</v>
      </c>
      <c r="V25" s="25">
        <f t="shared" si="19"/>
        <v>50</v>
      </c>
      <c r="W25" s="26">
        <f t="shared" si="19"/>
        <v>123</v>
      </c>
      <c r="X25" s="27">
        <f t="shared" si="19"/>
        <v>0</v>
      </c>
      <c r="Y25" s="27">
        <f t="shared" si="19"/>
        <v>0</v>
      </c>
      <c r="Z25" s="27">
        <f t="shared" si="19"/>
        <v>0</v>
      </c>
      <c r="AA25" s="27">
        <f t="shared" si="19"/>
        <v>24</v>
      </c>
      <c r="AB25" s="28">
        <f>AVERAGE(AB6:AB24)</f>
        <v>0.73684210526315785</v>
      </c>
      <c r="AC25" s="4">
        <f>AVERAGE(AC6:AC24)</f>
        <v>0.425438596491228</v>
      </c>
      <c r="AD25" s="4">
        <f>AVERAGE(AD6:AD24)</f>
        <v>0.425438596491228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40" t="s">
        <v>45</v>
      </c>
      <c r="B52" s="440"/>
      <c r="C52" s="440"/>
      <c r="D52" s="440"/>
      <c r="E52" s="440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41" t="s">
        <v>220</v>
      </c>
      <c r="B53" s="442"/>
      <c r="C53" s="442"/>
      <c r="D53" s="442"/>
      <c r="E53" s="442"/>
      <c r="F53" s="442"/>
      <c r="G53" s="442"/>
      <c r="H53" s="442"/>
      <c r="I53" s="442"/>
      <c r="J53" s="442"/>
      <c r="K53" s="442"/>
      <c r="L53" s="442"/>
      <c r="M53" s="443"/>
      <c r="N53" s="444" t="s">
        <v>226</v>
      </c>
      <c r="O53" s="445"/>
      <c r="P53" s="445"/>
      <c r="Q53" s="445"/>
      <c r="R53" s="445"/>
      <c r="S53" s="445"/>
      <c r="T53" s="445"/>
      <c r="U53" s="445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7" t="s">
        <v>2</v>
      </c>
      <c r="B54" s="448"/>
      <c r="C54" s="133" t="s">
        <v>46</v>
      </c>
      <c r="D54" s="133" t="s">
        <v>47</v>
      </c>
      <c r="E54" s="133" t="s">
        <v>107</v>
      </c>
      <c r="F54" s="449" t="s">
        <v>106</v>
      </c>
      <c r="G54" s="450"/>
      <c r="H54" s="450"/>
      <c r="I54" s="450"/>
      <c r="J54" s="450"/>
      <c r="K54" s="450"/>
      <c r="L54" s="450"/>
      <c r="M54" s="451"/>
      <c r="N54" s="67" t="s">
        <v>110</v>
      </c>
      <c r="O54" s="133" t="s">
        <v>46</v>
      </c>
      <c r="P54" s="449" t="s">
        <v>47</v>
      </c>
      <c r="Q54" s="452"/>
      <c r="R54" s="449" t="s">
        <v>38</v>
      </c>
      <c r="S54" s="450"/>
      <c r="T54" s="450"/>
      <c r="U54" s="452"/>
      <c r="V54" s="449" t="s">
        <v>48</v>
      </c>
      <c r="W54" s="450"/>
      <c r="X54" s="450"/>
      <c r="Y54" s="450"/>
      <c r="Z54" s="450"/>
      <c r="AA54" s="450"/>
      <c r="AB54" s="450"/>
      <c r="AC54" s="450"/>
      <c r="AD54" s="451"/>
    </row>
    <row r="55" spans="1:32" ht="27" customHeight="1">
      <c r="A55" s="430" t="s">
        <v>119</v>
      </c>
      <c r="B55" s="431"/>
      <c r="C55" s="134" t="s">
        <v>177</v>
      </c>
      <c r="D55" s="134" t="s">
        <v>211</v>
      </c>
      <c r="E55" s="135" t="s">
        <v>212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139" t="s">
        <v>112</v>
      </c>
      <c r="O55" s="141" t="s">
        <v>143</v>
      </c>
      <c r="P55" s="432" t="s">
        <v>155</v>
      </c>
      <c r="Q55" s="433"/>
      <c r="R55" s="417" t="s">
        <v>165</v>
      </c>
      <c r="S55" s="417"/>
      <c r="T55" s="417"/>
      <c r="U55" s="417"/>
      <c r="V55" s="405" t="s">
        <v>129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118</v>
      </c>
      <c r="B56" s="431"/>
      <c r="C56" s="134" t="s">
        <v>177</v>
      </c>
      <c r="D56" s="134" t="s">
        <v>115</v>
      </c>
      <c r="E56" s="135" t="s">
        <v>217</v>
      </c>
      <c r="F56" s="418" t="s">
        <v>221</v>
      </c>
      <c r="G56" s="419"/>
      <c r="H56" s="419"/>
      <c r="I56" s="419"/>
      <c r="J56" s="419"/>
      <c r="K56" s="419"/>
      <c r="L56" s="419"/>
      <c r="M56" s="420"/>
      <c r="N56" s="139" t="s">
        <v>118</v>
      </c>
      <c r="O56" s="141" t="s">
        <v>172</v>
      </c>
      <c r="P56" s="432" t="s">
        <v>126</v>
      </c>
      <c r="Q56" s="433"/>
      <c r="R56" s="432" t="s">
        <v>227</v>
      </c>
      <c r="S56" s="434"/>
      <c r="T56" s="434"/>
      <c r="U56" s="433"/>
      <c r="V56" s="405" t="s">
        <v>133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30" t="s">
        <v>112</v>
      </c>
      <c r="B57" s="431"/>
      <c r="C57" s="134" t="s">
        <v>132</v>
      </c>
      <c r="D57" s="134" t="s">
        <v>154</v>
      </c>
      <c r="E57" s="135" t="s">
        <v>209</v>
      </c>
      <c r="F57" s="418" t="s">
        <v>133</v>
      </c>
      <c r="G57" s="419"/>
      <c r="H57" s="419"/>
      <c r="I57" s="419"/>
      <c r="J57" s="419"/>
      <c r="K57" s="419"/>
      <c r="L57" s="419"/>
      <c r="M57" s="420"/>
      <c r="N57" s="139"/>
      <c r="O57" s="141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 t="s">
        <v>112</v>
      </c>
      <c r="B58" s="431"/>
      <c r="C58" s="134" t="s">
        <v>143</v>
      </c>
      <c r="D58" s="134" t="s">
        <v>155</v>
      </c>
      <c r="E58" s="135" t="s">
        <v>165</v>
      </c>
      <c r="F58" s="418" t="s">
        <v>222</v>
      </c>
      <c r="G58" s="419"/>
      <c r="H58" s="419"/>
      <c r="I58" s="419"/>
      <c r="J58" s="419"/>
      <c r="K58" s="419"/>
      <c r="L58" s="419"/>
      <c r="M58" s="420"/>
      <c r="N58" s="139"/>
      <c r="O58" s="141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 t="s">
        <v>119</v>
      </c>
      <c r="B59" s="431"/>
      <c r="C59" s="134" t="s">
        <v>172</v>
      </c>
      <c r="D59" s="134" t="s">
        <v>154</v>
      </c>
      <c r="E59" s="135" t="s">
        <v>210</v>
      </c>
      <c r="F59" s="418" t="s">
        <v>223</v>
      </c>
      <c r="G59" s="419"/>
      <c r="H59" s="419"/>
      <c r="I59" s="419"/>
      <c r="J59" s="419"/>
      <c r="K59" s="419"/>
      <c r="L59" s="419"/>
      <c r="M59" s="420"/>
      <c r="N59" s="139"/>
      <c r="O59" s="141"/>
      <c r="P59" s="432"/>
      <c r="Q59" s="433"/>
      <c r="R59" s="432"/>
      <c r="S59" s="434"/>
      <c r="T59" s="434"/>
      <c r="U59" s="433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 t="s">
        <v>118</v>
      </c>
      <c r="B60" s="417"/>
      <c r="C60" s="135" t="s">
        <v>134</v>
      </c>
      <c r="D60" s="135" t="s">
        <v>115</v>
      </c>
      <c r="E60" s="135" t="s">
        <v>138</v>
      </c>
      <c r="F60" s="418" t="s">
        <v>224</v>
      </c>
      <c r="G60" s="419"/>
      <c r="H60" s="419"/>
      <c r="I60" s="419"/>
      <c r="J60" s="419"/>
      <c r="K60" s="419"/>
      <c r="L60" s="419"/>
      <c r="M60" s="420"/>
      <c r="N60" s="139"/>
      <c r="O60" s="141"/>
      <c r="P60" s="432"/>
      <c r="Q60" s="433"/>
      <c r="R60" s="432"/>
      <c r="S60" s="434"/>
      <c r="T60" s="434"/>
      <c r="U60" s="433"/>
      <c r="V60" s="405"/>
      <c r="W60" s="405"/>
      <c r="X60" s="405"/>
      <c r="Y60" s="405"/>
      <c r="Z60" s="405"/>
      <c r="AA60" s="405"/>
      <c r="AB60" s="405"/>
      <c r="AC60" s="405"/>
      <c r="AD60" s="421"/>
    </row>
    <row r="61" spans="1:32" ht="27" customHeight="1">
      <c r="A61" s="430" t="s">
        <v>112</v>
      </c>
      <c r="B61" s="431"/>
      <c r="C61" s="134" t="s">
        <v>140</v>
      </c>
      <c r="D61" s="134" t="s">
        <v>115</v>
      </c>
      <c r="E61" s="135" t="s">
        <v>225</v>
      </c>
      <c r="F61" s="418" t="s">
        <v>133</v>
      </c>
      <c r="G61" s="419"/>
      <c r="H61" s="419"/>
      <c r="I61" s="419"/>
      <c r="J61" s="419"/>
      <c r="K61" s="419"/>
      <c r="L61" s="419"/>
      <c r="M61" s="420"/>
      <c r="N61" s="139"/>
      <c r="O61" s="141"/>
      <c r="P61" s="432"/>
      <c r="Q61" s="433"/>
      <c r="R61" s="417"/>
      <c r="S61" s="417"/>
      <c r="T61" s="417"/>
      <c r="U61" s="417"/>
      <c r="V61" s="405"/>
      <c r="W61" s="405"/>
      <c r="X61" s="405"/>
      <c r="Y61" s="405"/>
      <c r="Z61" s="405"/>
      <c r="AA61" s="405"/>
      <c r="AB61" s="405"/>
      <c r="AC61" s="405"/>
      <c r="AD61" s="421"/>
    </row>
    <row r="62" spans="1:32" ht="27" customHeight="1">
      <c r="A62" s="430" t="s">
        <v>121</v>
      </c>
      <c r="B62" s="431"/>
      <c r="C62" s="134" t="s">
        <v>177</v>
      </c>
      <c r="D62" s="134" t="s">
        <v>115</v>
      </c>
      <c r="E62" s="135" t="s">
        <v>218</v>
      </c>
      <c r="F62" s="418" t="s">
        <v>133</v>
      </c>
      <c r="G62" s="419"/>
      <c r="H62" s="419"/>
      <c r="I62" s="419"/>
      <c r="J62" s="419"/>
      <c r="K62" s="419"/>
      <c r="L62" s="419"/>
      <c r="M62" s="420"/>
      <c r="N62" s="139"/>
      <c r="O62" s="141"/>
      <c r="P62" s="432"/>
      <c r="Q62" s="433"/>
      <c r="R62" s="417"/>
      <c r="S62" s="417"/>
      <c r="T62" s="417"/>
      <c r="U62" s="417"/>
      <c r="V62" s="405"/>
      <c r="W62" s="405"/>
      <c r="X62" s="405"/>
      <c r="Y62" s="405"/>
      <c r="Z62" s="405"/>
      <c r="AA62" s="405"/>
      <c r="AB62" s="405"/>
      <c r="AC62" s="405"/>
      <c r="AD62" s="421"/>
    </row>
    <row r="63" spans="1:32" ht="27" customHeight="1">
      <c r="A63" s="416" t="s">
        <v>182</v>
      </c>
      <c r="B63" s="417"/>
      <c r="C63" s="135" t="s">
        <v>150</v>
      </c>
      <c r="D63" s="135" t="s">
        <v>115</v>
      </c>
      <c r="E63" s="135" t="s">
        <v>195</v>
      </c>
      <c r="F63" s="418" t="s">
        <v>133</v>
      </c>
      <c r="G63" s="419"/>
      <c r="H63" s="419"/>
      <c r="I63" s="419"/>
      <c r="J63" s="419"/>
      <c r="K63" s="419"/>
      <c r="L63" s="419"/>
      <c r="M63" s="420"/>
      <c r="N63" s="139"/>
      <c r="O63" s="141"/>
      <c r="P63" s="417"/>
      <c r="Q63" s="417"/>
      <c r="R63" s="417"/>
      <c r="S63" s="417"/>
      <c r="T63" s="417"/>
      <c r="U63" s="417"/>
      <c r="V63" s="405"/>
      <c r="W63" s="405"/>
      <c r="X63" s="405"/>
      <c r="Y63" s="405"/>
      <c r="Z63" s="405"/>
      <c r="AA63" s="405"/>
      <c r="AB63" s="405"/>
      <c r="AC63" s="405"/>
      <c r="AD63" s="421"/>
      <c r="AF63" s="84">
        <f>8*3000</f>
        <v>24000</v>
      </c>
    </row>
    <row r="64" spans="1:32" ht="27" customHeight="1" thickBot="1">
      <c r="A64" s="422"/>
      <c r="B64" s="423"/>
      <c r="C64" s="136"/>
      <c r="D64" s="137"/>
      <c r="E64" s="137"/>
      <c r="F64" s="424"/>
      <c r="G64" s="425"/>
      <c r="H64" s="425"/>
      <c r="I64" s="425"/>
      <c r="J64" s="425"/>
      <c r="K64" s="425"/>
      <c r="L64" s="425"/>
      <c r="M64" s="426"/>
      <c r="N64" s="111"/>
      <c r="O64" s="103"/>
      <c r="P64" s="427"/>
      <c r="Q64" s="427"/>
      <c r="R64" s="427"/>
      <c r="S64" s="427"/>
      <c r="T64" s="427"/>
      <c r="U64" s="427"/>
      <c r="V64" s="428"/>
      <c r="W64" s="428"/>
      <c r="X64" s="428"/>
      <c r="Y64" s="428"/>
      <c r="Z64" s="428"/>
      <c r="AA64" s="428"/>
      <c r="AB64" s="428"/>
      <c r="AC64" s="428"/>
      <c r="AD64" s="429"/>
      <c r="AF64" s="84">
        <f>16*3000</f>
        <v>48000</v>
      </c>
    </row>
    <row r="65" spans="1:32" ht="27.75" thickBot="1">
      <c r="A65" s="414" t="s">
        <v>228</v>
      </c>
      <c r="B65" s="414"/>
      <c r="C65" s="414"/>
      <c r="D65" s="414"/>
      <c r="E65" s="414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415" t="s">
        <v>111</v>
      </c>
      <c r="B66" s="412"/>
      <c r="C66" s="138" t="s">
        <v>2</v>
      </c>
      <c r="D66" s="138" t="s">
        <v>37</v>
      </c>
      <c r="E66" s="138" t="s">
        <v>3</v>
      </c>
      <c r="F66" s="412" t="s">
        <v>109</v>
      </c>
      <c r="G66" s="412"/>
      <c r="H66" s="412"/>
      <c r="I66" s="412"/>
      <c r="J66" s="412"/>
      <c r="K66" s="412" t="s">
        <v>39</v>
      </c>
      <c r="L66" s="412"/>
      <c r="M66" s="138" t="s">
        <v>40</v>
      </c>
      <c r="N66" s="412" t="s">
        <v>41</v>
      </c>
      <c r="O66" s="412"/>
      <c r="P66" s="409" t="s">
        <v>42</v>
      </c>
      <c r="Q66" s="411"/>
      <c r="R66" s="409" t="s">
        <v>43</v>
      </c>
      <c r="S66" s="410"/>
      <c r="T66" s="410"/>
      <c r="U66" s="410"/>
      <c r="V66" s="410"/>
      <c r="W66" s="410"/>
      <c r="X66" s="410"/>
      <c r="Y66" s="410"/>
      <c r="Z66" s="410"/>
      <c r="AA66" s="411"/>
      <c r="AB66" s="412" t="s">
        <v>44</v>
      </c>
      <c r="AC66" s="412"/>
      <c r="AD66" s="413"/>
      <c r="AF66" s="84">
        <f>SUM(AF63:AF65)</f>
        <v>96000</v>
      </c>
    </row>
    <row r="67" spans="1:32" ht="25.5" customHeight="1">
      <c r="A67" s="400">
        <v>1</v>
      </c>
      <c r="B67" s="401"/>
      <c r="C67" s="104" t="s">
        <v>230</v>
      </c>
      <c r="D67" s="143"/>
      <c r="E67" s="140"/>
      <c r="F67" s="406" t="s">
        <v>229</v>
      </c>
      <c r="G67" s="407"/>
      <c r="H67" s="407"/>
      <c r="I67" s="407"/>
      <c r="J67" s="408"/>
      <c r="K67" s="394" t="s">
        <v>231</v>
      </c>
      <c r="L67" s="394"/>
      <c r="M67" s="51" t="s">
        <v>159</v>
      </c>
      <c r="N67" s="403" t="s">
        <v>134</v>
      </c>
      <c r="O67" s="403"/>
      <c r="P67" s="404">
        <f>50*32</f>
        <v>1600</v>
      </c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2</v>
      </c>
      <c r="B68" s="401"/>
      <c r="C68" s="104"/>
      <c r="D68" s="143"/>
      <c r="E68" s="140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3</v>
      </c>
      <c r="B69" s="401"/>
      <c r="C69" s="104"/>
      <c r="D69" s="143"/>
      <c r="E69" s="140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4</v>
      </c>
      <c r="B70" s="401"/>
      <c r="C70" s="104"/>
      <c r="D70" s="143"/>
      <c r="E70" s="140"/>
      <c r="F70" s="406"/>
      <c r="G70" s="407"/>
      <c r="H70" s="407"/>
      <c r="I70" s="407"/>
      <c r="J70" s="408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5</v>
      </c>
      <c r="B71" s="401"/>
      <c r="C71" s="104"/>
      <c r="D71" s="143"/>
      <c r="E71" s="140"/>
      <c r="F71" s="406"/>
      <c r="G71" s="407"/>
      <c r="H71" s="407"/>
      <c r="I71" s="407"/>
      <c r="J71" s="408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6</v>
      </c>
      <c r="B72" s="401"/>
      <c r="C72" s="104"/>
      <c r="D72" s="143"/>
      <c r="E72" s="140"/>
      <c r="F72" s="406"/>
      <c r="G72" s="407"/>
      <c r="H72" s="407"/>
      <c r="I72" s="407"/>
      <c r="J72" s="408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7</v>
      </c>
      <c r="B73" s="401"/>
      <c r="C73" s="104"/>
      <c r="D73" s="143"/>
      <c r="E73" s="140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5.5" customHeight="1">
      <c r="A74" s="400">
        <v>8</v>
      </c>
      <c r="B74" s="401"/>
      <c r="C74" s="104"/>
      <c r="D74" s="143"/>
      <c r="E74" s="140"/>
      <c r="F74" s="402"/>
      <c r="G74" s="394"/>
      <c r="H74" s="394"/>
      <c r="I74" s="394"/>
      <c r="J74" s="394"/>
      <c r="K74" s="394"/>
      <c r="L74" s="394"/>
      <c r="M74" s="51"/>
      <c r="N74" s="403"/>
      <c r="O74" s="403"/>
      <c r="P74" s="404"/>
      <c r="Q74" s="404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394"/>
      <c r="AC74" s="394"/>
      <c r="AD74" s="395"/>
      <c r="AF74" s="50"/>
    </row>
    <row r="75" spans="1:32" ht="25.5" customHeight="1">
      <c r="A75" s="400">
        <v>9</v>
      </c>
      <c r="B75" s="401"/>
      <c r="C75" s="104"/>
      <c r="D75" s="143"/>
      <c r="E75" s="140"/>
      <c r="F75" s="402"/>
      <c r="G75" s="394"/>
      <c r="H75" s="394"/>
      <c r="I75" s="394"/>
      <c r="J75" s="394"/>
      <c r="K75" s="394"/>
      <c r="L75" s="394"/>
      <c r="M75" s="51"/>
      <c r="N75" s="403"/>
      <c r="O75" s="403"/>
      <c r="P75" s="404"/>
      <c r="Q75" s="404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394"/>
      <c r="AC75" s="394"/>
      <c r="AD75" s="395"/>
      <c r="AF75" s="50"/>
    </row>
    <row r="76" spans="1:32" ht="25.5" customHeight="1">
      <c r="A76" s="400">
        <v>10</v>
      </c>
      <c r="B76" s="401"/>
      <c r="C76" s="104"/>
      <c r="D76" s="143"/>
      <c r="E76" s="140"/>
      <c r="F76" s="402"/>
      <c r="G76" s="394"/>
      <c r="H76" s="394"/>
      <c r="I76" s="394"/>
      <c r="J76" s="394"/>
      <c r="K76" s="394"/>
      <c r="L76" s="394"/>
      <c r="M76" s="51"/>
      <c r="N76" s="403"/>
      <c r="O76" s="403"/>
      <c r="P76" s="404"/>
      <c r="Q76" s="404"/>
      <c r="R76" s="405"/>
      <c r="S76" s="405"/>
      <c r="T76" s="405"/>
      <c r="U76" s="405"/>
      <c r="V76" s="405"/>
      <c r="W76" s="405"/>
      <c r="X76" s="405"/>
      <c r="Y76" s="405"/>
      <c r="Z76" s="405"/>
      <c r="AA76" s="405"/>
      <c r="AB76" s="394"/>
      <c r="AC76" s="394"/>
      <c r="AD76" s="395"/>
      <c r="AF76" s="50"/>
    </row>
    <row r="77" spans="1:32" ht="26.25" customHeight="1" thickBot="1">
      <c r="A77" s="374" t="s">
        <v>232</v>
      </c>
      <c r="B77" s="374"/>
      <c r="C77" s="374"/>
      <c r="D77" s="374"/>
      <c r="E77" s="374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375" t="s">
        <v>139</v>
      </c>
      <c r="B78" s="376"/>
      <c r="C78" s="142" t="s">
        <v>2</v>
      </c>
      <c r="D78" s="142" t="s">
        <v>37</v>
      </c>
      <c r="E78" s="142" t="s">
        <v>131</v>
      </c>
      <c r="F78" s="376" t="s">
        <v>38</v>
      </c>
      <c r="G78" s="376"/>
      <c r="H78" s="376"/>
      <c r="I78" s="376"/>
      <c r="J78" s="376"/>
      <c r="K78" s="396" t="s">
        <v>58</v>
      </c>
      <c r="L78" s="397"/>
      <c r="M78" s="397"/>
      <c r="N78" s="397"/>
      <c r="O78" s="397"/>
      <c r="P78" s="397"/>
      <c r="Q78" s="397"/>
      <c r="R78" s="397"/>
      <c r="S78" s="398"/>
      <c r="T78" s="376" t="s">
        <v>49</v>
      </c>
      <c r="U78" s="376"/>
      <c r="V78" s="396" t="s">
        <v>50</v>
      </c>
      <c r="W78" s="398"/>
      <c r="X78" s="397" t="s">
        <v>51</v>
      </c>
      <c r="Y78" s="397"/>
      <c r="Z78" s="397"/>
      <c r="AA78" s="397"/>
      <c r="AB78" s="397"/>
      <c r="AC78" s="397"/>
      <c r="AD78" s="399"/>
      <c r="AF78" s="50"/>
    </row>
    <row r="79" spans="1:32" ht="33.75" customHeight="1">
      <c r="A79" s="368">
        <v>1</v>
      </c>
      <c r="B79" s="369"/>
      <c r="C79" s="144" t="s">
        <v>112</v>
      </c>
      <c r="D79" s="144"/>
      <c r="E79" s="65" t="s">
        <v>117</v>
      </c>
      <c r="F79" s="383" t="s">
        <v>116</v>
      </c>
      <c r="G79" s="384"/>
      <c r="H79" s="384"/>
      <c r="I79" s="384"/>
      <c r="J79" s="385"/>
      <c r="K79" s="386" t="s">
        <v>120</v>
      </c>
      <c r="L79" s="387"/>
      <c r="M79" s="387"/>
      <c r="N79" s="387"/>
      <c r="O79" s="387"/>
      <c r="P79" s="387"/>
      <c r="Q79" s="387"/>
      <c r="R79" s="387"/>
      <c r="S79" s="388"/>
      <c r="T79" s="389">
        <v>43675</v>
      </c>
      <c r="U79" s="390"/>
      <c r="V79" s="391"/>
      <c r="W79" s="391"/>
      <c r="X79" s="392"/>
      <c r="Y79" s="392"/>
      <c r="Z79" s="392"/>
      <c r="AA79" s="392"/>
      <c r="AB79" s="392"/>
      <c r="AC79" s="392"/>
      <c r="AD79" s="393"/>
      <c r="AF79" s="50"/>
    </row>
    <row r="80" spans="1:32" ht="30" customHeight="1">
      <c r="A80" s="361">
        <f>A79+1</f>
        <v>2</v>
      </c>
      <c r="B80" s="362"/>
      <c r="C80" s="143"/>
      <c r="D80" s="143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ref="A81:A85" si="20">A80+1</f>
        <v>3</v>
      </c>
      <c r="B81" s="362"/>
      <c r="C81" s="143"/>
      <c r="D81" s="143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20"/>
        <v>4</v>
      </c>
      <c r="B82" s="362"/>
      <c r="C82" s="143"/>
      <c r="D82" s="143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0" customHeight="1">
      <c r="A83" s="361">
        <f t="shared" si="20"/>
        <v>5</v>
      </c>
      <c r="B83" s="362"/>
      <c r="C83" s="143"/>
      <c r="D83" s="143"/>
      <c r="E83" s="32"/>
      <c r="F83" s="362"/>
      <c r="G83" s="362"/>
      <c r="H83" s="362"/>
      <c r="I83" s="362"/>
      <c r="J83" s="362"/>
      <c r="K83" s="377"/>
      <c r="L83" s="378"/>
      <c r="M83" s="378"/>
      <c r="N83" s="378"/>
      <c r="O83" s="378"/>
      <c r="P83" s="378"/>
      <c r="Q83" s="378"/>
      <c r="R83" s="378"/>
      <c r="S83" s="379"/>
      <c r="T83" s="380"/>
      <c r="U83" s="380"/>
      <c r="V83" s="380"/>
      <c r="W83" s="380"/>
      <c r="X83" s="381"/>
      <c r="Y83" s="381"/>
      <c r="Z83" s="381"/>
      <c r="AA83" s="381"/>
      <c r="AB83" s="381"/>
      <c r="AC83" s="381"/>
      <c r="AD83" s="382"/>
      <c r="AF83" s="50"/>
    </row>
    <row r="84" spans="1:32" ht="30" customHeight="1">
      <c r="A84" s="361">
        <f t="shared" si="20"/>
        <v>6</v>
      </c>
      <c r="B84" s="362"/>
      <c r="C84" s="143"/>
      <c r="D84" s="143"/>
      <c r="E84" s="32"/>
      <c r="F84" s="362"/>
      <c r="G84" s="362"/>
      <c r="H84" s="362"/>
      <c r="I84" s="362"/>
      <c r="J84" s="362"/>
      <c r="K84" s="377"/>
      <c r="L84" s="378"/>
      <c r="M84" s="378"/>
      <c r="N84" s="378"/>
      <c r="O84" s="378"/>
      <c r="P84" s="378"/>
      <c r="Q84" s="378"/>
      <c r="R84" s="378"/>
      <c r="S84" s="379"/>
      <c r="T84" s="380"/>
      <c r="U84" s="380"/>
      <c r="V84" s="380"/>
      <c r="W84" s="380"/>
      <c r="X84" s="381"/>
      <c r="Y84" s="381"/>
      <c r="Z84" s="381"/>
      <c r="AA84" s="381"/>
      <c r="AB84" s="381"/>
      <c r="AC84" s="381"/>
      <c r="AD84" s="382"/>
      <c r="AF84" s="50"/>
    </row>
    <row r="85" spans="1:32" ht="30" customHeight="1">
      <c r="A85" s="361">
        <f t="shared" si="20"/>
        <v>7</v>
      </c>
      <c r="B85" s="362"/>
      <c r="C85" s="143"/>
      <c r="D85" s="143"/>
      <c r="E85" s="32"/>
      <c r="F85" s="362"/>
      <c r="G85" s="362"/>
      <c r="H85" s="362"/>
      <c r="I85" s="362"/>
      <c r="J85" s="362"/>
      <c r="K85" s="377"/>
      <c r="L85" s="378"/>
      <c r="M85" s="378"/>
      <c r="N85" s="378"/>
      <c r="O85" s="378"/>
      <c r="P85" s="378"/>
      <c r="Q85" s="378"/>
      <c r="R85" s="378"/>
      <c r="S85" s="379"/>
      <c r="T85" s="380"/>
      <c r="U85" s="380"/>
      <c r="V85" s="380"/>
      <c r="W85" s="380"/>
      <c r="X85" s="381"/>
      <c r="Y85" s="381"/>
      <c r="Z85" s="381"/>
      <c r="AA85" s="381"/>
      <c r="AB85" s="381"/>
      <c r="AC85" s="381"/>
      <c r="AD85" s="382"/>
      <c r="AF85" s="50"/>
    </row>
    <row r="86" spans="1:32" ht="36" thickBot="1">
      <c r="A86" s="374" t="s">
        <v>233</v>
      </c>
      <c r="B86" s="374"/>
      <c r="C86" s="374"/>
      <c r="D86" s="374"/>
      <c r="E86" s="374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375" t="s">
        <v>111</v>
      </c>
      <c r="B87" s="376"/>
      <c r="C87" s="366" t="s">
        <v>52</v>
      </c>
      <c r="D87" s="366"/>
      <c r="E87" s="366" t="s">
        <v>53</v>
      </c>
      <c r="F87" s="366"/>
      <c r="G87" s="366"/>
      <c r="H87" s="366"/>
      <c r="I87" s="366"/>
      <c r="J87" s="366"/>
      <c r="K87" s="366" t="s">
        <v>54</v>
      </c>
      <c r="L87" s="366"/>
      <c r="M87" s="366"/>
      <c r="N87" s="366"/>
      <c r="O87" s="366"/>
      <c r="P87" s="366"/>
      <c r="Q87" s="366"/>
      <c r="R87" s="366"/>
      <c r="S87" s="366"/>
      <c r="T87" s="366" t="s">
        <v>55</v>
      </c>
      <c r="U87" s="366"/>
      <c r="V87" s="366" t="s">
        <v>56</v>
      </c>
      <c r="W87" s="366"/>
      <c r="X87" s="366"/>
      <c r="Y87" s="366" t="s">
        <v>51</v>
      </c>
      <c r="Z87" s="366"/>
      <c r="AA87" s="366"/>
      <c r="AB87" s="366"/>
      <c r="AC87" s="366"/>
      <c r="AD87" s="367"/>
      <c r="AF87" s="50"/>
    </row>
    <row r="88" spans="1:32" ht="30.75" customHeight="1">
      <c r="A88" s="368">
        <v>1</v>
      </c>
      <c r="B88" s="369"/>
      <c r="C88" s="370"/>
      <c r="D88" s="370"/>
      <c r="E88" s="370"/>
      <c r="F88" s="370"/>
      <c r="G88" s="370"/>
      <c r="H88" s="370"/>
      <c r="I88" s="370"/>
      <c r="J88" s="370"/>
      <c r="K88" s="370"/>
      <c r="L88" s="370"/>
      <c r="M88" s="370"/>
      <c r="N88" s="370"/>
      <c r="O88" s="370"/>
      <c r="P88" s="370"/>
      <c r="Q88" s="370"/>
      <c r="R88" s="370"/>
      <c r="S88" s="370"/>
      <c r="T88" s="370"/>
      <c r="U88" s="370"/>
      <c r="V88" s="371"/>
      <c r="W88" s="371"/>
      <c r="X88" s="371"/>
      <c r="Y88" s="372"/>
      <c r="Z88" s="372"/>
      <c r="AA88" s="372"/>
      <c r="AB88" s="372"/>
      <c r="AC88" s="372"/>
      <c r="AD88" s="373"/>
      <c r="AF88" s="50"/>
    </row>
    <row r="89" spans="1:32" ht="30.75" customHeight="1">
      <c r="A89" s="361">
        <v>2</v>
      </c>
      <c r="B89" s="362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4"/>
      <c r="U89" s="364"/>
      <c r="V89" s="365"/>
      <c r="W89" s="365"/>
      <c r="X89" s="365"/>
      <c r="Y89" s="354"/>
      <c r="Z89" s="354"/>
      <c r="AA89" s="354"/>
      <c r="AB89" s="354"/>
      <c r="AC89" s="354"/>
      <c r="AD89" s="355"/>
      <c r="AF89" s="50"/>
    </row>
    <row r="90" spans="1:32" ht="30.75" customHeight="1" thickBot="1">
      <c r="A90" s="356">
        <v>3</v>
      </c>
      <c r="B90" s="357"/>
      <c r="C90" s="358"/>
      <c r="D90" s="358"/>
      <c r="E90" s="358"/>
      <c r="F90" s="358"/>
      <c r="G90" s="358"/>
      <c r="H90" s="358"/>
      <c r="I90" s="358"/>
      <c r="J90" s="358"/>
      <c r="K90" s="358"/>
      <c r="L90" s="358"/>
      <c r="M90" s="358"/>
      <c r="N90" s="358"/>
      <c r="O90" s="358"/>
      <c r="P90" s="358"/>
      <c r="Q90" s="358"/>
      <c r="R90" s="358"/>
      <c r="S90" s="358"/>
      <c r="T90" s="358"/>
      <c r="U90" s="358"/>
      <c r="V90" s="358"/>
      <c r="W90" s="358"/>
      <c r="X90" s="358"/>
      <c r="Y90" s="359"/>
      <c r="Z90" s="359"/>
      <c r="AA90" s="359"/>
      <c r="AB90" s="359"/>
      <c r="AC90" s="359"/>
      <c r="AD90" s="360"/>
      <c r="AF90" s="50"/>
    </row>
  </sheetData>
  <mergeCells count="232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3033-875D-4578-BEE3-286ED2A0FCA7}">
  <dimension ref="A1:AF88"/>
  <sheetViews>
    <sheetView view="pageBreakPreview" topLeftCell="A28" zoomScale="70" zoomScaleNormal="72" zoomScaleSheetLayoutView="70" workbookViewId="0">
      <selection activeCell="A53" sqref="A53:M5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234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57" t="s">
        <v>17</v>
      </c>
      <c r="L5" s="157" t="s">
        <v>18</v>
      </c>
      <c r="M5" s="157" t="s">
        <v>19</v>
      </c>
      <c r="N5" s="15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27" customHeight="1">
      <c r="A6" s="112">
        <v>1</v>
      </c>
      <c r="B6" s="11" t="s">
        <v>57</v>
      </c>
      <c r="C6" s="34" t="s">
        <v>121</v>
      </c>
      <c r="D6" s="52"/>
      <c r="E6" s="53" t="s">
        <v>178</v>
      </c>
      <c r="F6" s="12" t="s">
        <v>144</v>
      </c>
      <c r="G6" s="12">
        <v>2</v>
      </c>
      <c r="H6" s="13">
        <v>24</v>
      </c>
      <c r="I6" s="31">
        <v>23500</v>
      </c>
      <c r="J6" s="14">
        <v>5160</v>
      </c>
      <c r="K6" s="15">
        <f>L6+9388+9240+10442+5160</f>
        <v>34230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0.4264705882352941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209</v>
      </c>
      <c r="F7" s="12" t="s">
        <v>216</v>
      </c>
      <c r="G7" s="12">
        <v>1</v>
      </c>
      <c r="H7" s="13">
        <v>24</v>
      </c>
      <c r="I7" s="31">
        <v>500</v>
      </c>
      <c r="J7" s="14">
        <v>1211</v>
      </c>
      <c r="K7" s="15">
        <f>L7+1211</f>
        <v>1211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0.4264705882352941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3705</v>
      </c>
      <c r="K8" s="15">
        <f>L8+2455</f>
        <v>6160</v>
      </c>
      <c r="L8" s="15">
        <f>2264+1441</f>
        <v>3705</v>
      </c>
      <c r="M8" s="15">
        <f t="shared" si="0"/>
        <v>3705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0.4264705882352941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155</v>
      </c>
      <c r="E9" s="53" t="s">
        <v>165</v>
      </c>
      <c r="F9" s="30" t="s">
        <v>180</v>
      </c>
      <c r="G9" s="33">
        <v>1</v>
      </c>
      <c r="H9" s="35">
        <v>24</v>
      </c>
      <c r="I9" s="7">
        <v>9000</v>
      </c>
      <c r="J9" s="5">
        <v>3972</v>
      </c>
      <c r="K9" s="15">
        <f>L9+1152+3028</f>
        <v>8152</v>
      </c>
      <c r="L9" s="15">
        <f>2611+1361</f>
        <v>3972</v>
      </c>
      <c r="M9" s="15">
        <f t="shared" si="0"/>
        <v>3972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>AC9*AB9*(1-O9)</f>
        <v>0.83333333333333337</v>
      </c>
      <c r="AE9" s="36">
        <f t="shared" si="7"/>
        <v>0.4264705882352941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5843</v>
      </c>
      <c r="K10" s="15">
        <f>L10+5217+6628</f>
        <v>17688</v>
      </c>
      <c r="L10" s="15">
        <f>2686+3157</f>
        <v>5843</v>
      </c>
      <c r="M10" s="15">
        <f t="shared" si="0"/>
        <v>5843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ref="AD10:AD15" si="9">AC10*AB10*(1-O10)</f>
        <v>0.91666666666666663</v>
      </c>
      <c r="AE10" s="36">
        <f t="shared" si="7"/>
        <v>0.4264705882352941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7560</v>
      </c>
      <c r="K11" s="15">
        <f>L11+10616+12082+7560</f>
        <v>30258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0.4264705882352941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182</v>
      </c>
      <c r="D12" s="52" t="s">
        <v>115</v>
      </c>
      <c r="E12" s="53" t="s">
        <v>195</v>
      </c>
      <c r="F12" s="30" t="s">
        <v>168</v>
      </c>
      <c r="G12" s="12">
        <v>1</v>
      </c>
      <c r="H12" s="13">
        <v>22</v>
      </c>
      <c r="I12" s="31">
        <v>4500</v>
      </c>
      <c r="J12" s="5">
        <v>505</v>
      </c>
      <c r="K12" s="15">
        <f>L12+4326</f>
        <v>4831</v>
      </c>
      <c r="L12" s="15">
        <v>505</v>
      </c>
      <c r="M12" s="15">
        <f t="shared" si="0"/>
        <v>505</v>
      </c>
      <c r="N12" s="15">
        <v>0</v>
      </c>
      <c r="O12" s="58">
        <f t="shared" si="1"/>
        <v>0</v>
      </c>
      <c r="P12" s="39">
        <f t="shared" si="2"/>
        <v>2</v>
      </c>
      <c r="Q12" s="40">
        <f t="shared" si="3"/>
        <v>22</v>
      </c>
      <c r="R12" s="7"/>
      <c r="S12" s="6"/>
      <c r="T12" s="16"/>
      <c r="U12" s="16"/>
      <c r="V12" s="17"/>
      <c r="W12" s="5">
        <v>22</v>
      </c>
      <c r="X12" s="16"/>
      <c r="Y12" s="16"/>
      <c r="Z12" s="16"/>
      <c r="AA12" s="18"/>
      <c r="AB12" s="8">
        <f t="shared" si="4"/>
        <v>1</v>
      </c>
      <c r="AC12" s="9">
        <f t="shared" si="5"/>
        <v>8.3333333333333329E-2</v>
      </c>
      <c r="AD12" s="10">
        <f t="shared" si="9"/>
        <v>8.3333333333333329E-2</v>
      </c>
      <c r="AE12" s="36">
        <f t="shared" si="7"/>
        <v>0.4264705882352941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34" t="s">
        <v>235</v>
      </c>
      <c r="D13" s="52"/>
      <c r="E13" s="53" t="s">
        <v>236</v>
      </c>
      <c r="F13" s="30" t="s">
        <v>127</v>
      </c>
      <c r="G13" s="12" t="s">
        <v>237</v>
      </c>
      <c r="H13" s="13">
        <v>22</v>
      </c>
      <c r="I13" s="31">
        <v>1000</v>
      </c>
      <c r="J13" s="5">
        <v>3216</v>
      </c>
      <c r="K13" s="15">
        <f>L13</f>
        <v>3216</v>
      </c>
      <c r="L13" s="15">
        <f>1220+1996</f>
        <v>3216</v>
      </c>
      <c r="M13" s="15">
        <f t="shared" ref="M13" si="10">L13-N13</f>
        <v>3216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18</v>
      </c>
      <c r="Q13" s="40">
        <f t="shared" ref="Q13" si="13">SUM(R13:AA13)</f>
        <v>6</v>
      </c>
      <c r="R13" s="7"/>
      <c r="S13" s="6"/>
      <c r="T13" s="16">
        <v>6</v>
      </c>
      <c r="U13" s="16"/>
      <c r="V13" s="17"/>
      <c r="W13" s="5"/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0.75</v>
      </c>
      <c r="AD13" s="10">
        <f t="shared" ref="AD13" si="16">AC13*AB13*(1-O13)</f>
        <v>0.75</v>
      </c>
      <c r="AE13" s="36">
        <f t="shared" si="7"/>
        <v>0.4264705882352941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130</v>
      </c>
      <c r="G14" s="12">
        <v>1</v>
      </c>
      <c r="H14" s="13">
        <v>28</v>
      </c>
      <c r="I14" s="31">
        <v>2300</v>
      </c>
      <c r="J14" s="5">
        <v>650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>AC14*AB14*(1-O14)</f>
        <v>0</v>
      </c>
      <c r="AE14" s="36">
        <f t="shared" si="7"/>
        <v>0.4264705882352941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182</v>
      </c>
      <c r="D15" s="52" t="s">
        <v>115</v>
      </c>
      <c r="E15" s="53" t="s">
        <v>181</v>
      </c>
      <c r="F15" s="30" t="s">
        <v>173</v>
      </c>
      <c r="G15" s="33">
        <v>1</v>
      </c>
      <c r="H15" s="35">
        <v>60</v>
      </c>
      <c r="I15" s="7">
        <v>150</v>
      </c>
      <c r="J15" s="5">
        <v>308</v>
      </c>
      <c r="K15" s="15">
        <f>L15+308</f>
        <v>308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0.4264705882352941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 t="s">
        <v>126</v>
      </c>
      <c r="E16" s="53" t="s">
        <v>142</v>
      </c>
      <c r="F16" s="12" t="s">
        <v>144</v>
      </c>
      <c r="G16" s="12">
        <v>1</v>
      </c>
      <c r="H16" s="13">
        <v>24</v>
      </c>
      <c r="I16" s="31">
        <f>11500+7500</f>
        <v>19000</v>
      </c>
      <c r="J16" s="14">
        <v>5080</v>
      </c>
      <c r="K16" s="15">
        <f>L16+2898+5234+1444+2583+5198+5277+2596+3070+5080</f>
        <v>33380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0.4264705882352941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135</v>
      </c>
      <c r="E17" s="53" t="s">
        <v>175</v>
      </c>
      <c r="F17" s="30" t="s">
        <v>176</v>
      </c>
      <c r="G17" s="12">
        <v>1</v>
      </c>
      <c r="H17" s="13">
        <v>24</v>
      </c>
      <c r="I17" s="7">
        <v>58000</v>
      </c>
      <c r="J17" s="14">
        <v>5784</v>
      </c>
      <c r="K17" s="15">
        <f>L17+3599+5250+5336+5402+5766+5931+3420+5712+5574+5768+3433+5032</f>
        <v>66007</v>
      </c>
      <c r="L17" s="15">
        <f>2879+2905</f>
        <v>5784</v>
      </c>
      <c r="M17" s="15">
        <f t="shared" si="0"/>
        <v>5784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0.4264705882352941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118</v>
      </c>
      <c r="D18" s="52" t="s">
        <v>126</v>
      </c>
      <c r="E18" s="53" t="s">
        <v>227</v>
      </c>
      <c r="F18" s="30" t="s">
        <v>136</v>
      </c>
      <c r="G18" s="12">
        <v>1</v>
      </c>
      <c r="H18" s="13">
        <v>24</v>
      </c>
      <c r="I18" s="7">
        <v>22000</v>
      </c>
      <c r="J18" s="14">
        <v>1302</v>
      </c>
      <c r="K18" s="15">
        <f>L18</f>
        <v>1302</v>
      </c>
      <c r="L18" s="15">
        <f>1302</f>
        <v>1302</v>
      </c>
      <c r="M18" s="15">
        <f t="shared" si="0"/>
        <v>1302</v>
      </c>
      <c r="N18" s="15">
        <v>0</v>
      </c>
      <c r="O18" s="58">
        <f t="shared" si="1"/>
        <v>0</v>
      </c>
      <c r="P18" s="39">
        <f t="shared" si="2"/>
        <v>7</v>
      </c>
      <c r="Q18" s="40">
        <f t="shared" si="3"/>
        <v>17</v>
      </c>
      <c r="R18" s="7">
        <v>14</v>
      </c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0.29166666666666669</v>
      </c>
      <c r="AD18" s="10">
        <f t="shared" si="6"/>
        <v>0.29166666666666669</v>
      </c>
      <c r="AE18" s="36">
        <f t="shared" si="7"/>
        <v>0.4264705882352941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138</v>
      </c>
      <c r="F19" s="30" t="s">
        <v>127</v>
      </c>
      <c r="G19" s="33">
        <v>1</v>
      </c>
      <c r="H19" s="35">
        <v>24</v>
      </c>
      <c r="I19" s="7">
        <v>25000</v>
      </c>
      <c r="J19" s="14">
        <v>2675</v>
      </c>
      <c r="K19" s="15">
        <f>L19+4435+4652</f>
        <v>11762</v>
      </c>
      <c r="L19" s="15">
        <f>1974+701</f>
        <v>2675</v>
      </c>
      <c r="M19" s="15">
        <f t="shared" si="0"/>
        <v>2675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0.4264705882352941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213</v>
      </c>
      <c r="F20" s="30" t="s">
        <v>145</v>
      </c>
      <c r="G20" s="33">
        <v>1</v>
      </c>
      <c r="H20" s="35">
        <v>24</v>
      </c>
      <c r="I20" s="7">
        <v>3500</v>
      </c>
      <c r="J20" s="14">
        <v>4219</v>
      </c>
      <c r="K20" s="15">
        <f>L20+2413</f>
        <v>6632</v>
      </c>
      <c r="L20" s="15">
        <f>2073+2146</f>
        <v>4219</v>
      </c>
      <c r="M20" s="15">
        <f t="shared" si="0"/>
        <v>4219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0.4264705882352941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34" t="s">
        <v>118</v>
      </c>
      <c r="D21" s="52" t="s">
        <v>115</v>
      </c>
      <c r="E21" s="53" t="s">
        <v>179</v>
      </c>
      <c r="F21" s="30" t="s">
        <v>174</v>
      </c>
      <c r="G21" s="12">
        <v>1</v>
      </c>
      <c r="H21" s="13">
        <v>28</v>
      </c>
      <c r="I21" s="31">
        <v>20000</v>
      </c>
      <c r="J21" s="5">
        <v>5413</v>
      </c>
      <c r="K21" s="15">
        <f>L21+2211+5318</f>
        <v>12942</v>
      </c>
      <c r="L21" s="15">
        <f>2701+2712</f>
        <v>5413</v>
      </c>
      <c r="M21" s="15">
        <f t="shared" si="0"/>
        <v>5413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>AC21*AB21*(1-O21)</f>
        <v>1</v>
      </c>
      <c r="AE21" s="36">
        <f t="shared" si="7"/>
        <v>0.4264705882352941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147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0.4264705882352941</v>
      </c>
      <c r="AF22" s="84">
        <f t="shared" si="8"/>
        <v>16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18">SUM(I6:I22)</f>
        <v>592450</v>
      </c>
      <c r="J23" s="19">
        <f t="shared" si="18"/>
        <v>60607</v>
      </c>
      <c r="K23" s="20">
        <f t="shared" si="18"/>
        <v>504467</v>
      </c>
      <c r="L23" s="21">
        <f t="shared" si="18"/>
        <v>36634</v>
      </c>
      <c r="M23" s="20">
        <f t="shared" si="18"/>
        <v>36634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174</v>
      </c>
      <c r="Q23" s="43">
        <f t="shared" si="19"/>
        <v>234</v>
      </c>
      <c r="R23" s="23">
        <f t="shared" si="19"/>
        <v>14</v>
      </c>
      <c r="S23" s="24">
        <f t="shared" si="19"/>
        <v>24</v>
      </c>
      <c r="T23" s="24">
        <f t="shared" si="19"/>
        <v>6</v>
      </c>
      <c r="U23" s="24">
        <f t="shared" si="19"/>
        <v>0</v>
      </c>
      <c r="V23" s="25">
        <f t="shared" si="19"/>
        <v>48</v>
      </c>
      <c r="W23" s="26">
        <f t="shared" si="19"/>
        <v>118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0.58823529411764708</v>
      </c>
      <c r="AC23" s="4">
        <f>AVERAGE(AC6:AC22)</f>
        <v>0.4264705882352941</v>
      </c>
      <c r="AD23" s="4">
        <f>AVERAGE(AD6:AD22)</f>
        <v>0.4264705882352941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238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241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156" t="s">
        <v>46</v>
      </c>
      <c r="D52" s="156" t="s">
        <v>47</v>
      </c>
      <c r="E52" s="156" t="s">
        <v>107</v>
      </c>
      <c r="F52" s="449" t="s">
        <v>106</v>
      </c>
      <c r="G52" s="450"/>
      <c r="H52" s="450"/>
      <c r="I52" s="450"/>
      <c r="J52" s="450"/>
      <c r="K52" s="450"/>
      <c r="L52" s="450"/>
      <c r="M52" s="451"/>
      <c r="N52" s="67" t="s">
        <v>110</v>
      </c>
      <c r="O52" s="156" t="s">
        <v>46</v>
      </c>
      <c r="P52" s="449" t="s">
        <v>47</v>
      </c>
      <c r="Q52" s="452"/>
      <c r="R52" s="449" t="s">
        <v>38</v>
      </c>
      <c r="S52" s="450"/>
      <c r="T52" s="450"/>
      <c r="U52" s="452"/>
      <c r="V52" s="449" t="s">
        <v>48</v>
      </c>
      <c r="W52" s="450"/>
      <c r="X52" s="450"/>
      <c r="Y52" s="450"/>
      <c r="Z52" s="450"/>
      <c r="AA52" s="450"/>
      <c r="AB52" s="450"/>
      <c r="AC52" s="450"/>
      <c r="AD52" s="451"/>
    </row>
    <row r="53" spans="1:32" ht="27" customHeight="1">
      <c r="A53" s="430" t="s">
        <v>121</v>
      </c>
      <c r="B53" s="431"/>
      <c r="C53" s="155" t="s">
        <v>177</v>
      </c>
      <c r="D53" s="155" t="s">
        <v>115</v>
      </c>
      <c r="E53" s="152" t="s">
        <v>218</v>
      </c>
      <c r="F53" s="418" t="s">
        <v>239</v>
      </c>
      <c r="G53" s="419"/>
      <c r="H53" s="419"/>
      <c r="I53" s="419"/>
      <c r="J53" s="419"/>
      <c r="K53" s="419"/>
      <c r="L53" s="419"/>
      <c r="M53" s="420"/>
      <c r="N53" s="151" t="s">
        <v>119</v>
      </c>
      <c r="O53" s="149" t="s">
        <v>143</v>
      </c>
      <c r="P53" s="432" t="s">
        <v>185</v>
      </c>
      <c r="Q53" s="433"/>
      <c r="R53" s="417" t="s">
        <v>242</v>
      </c>
      <c r="S53" s="417"/>
      <c r="T53" s="417"/>
      <c r="U53" s="417"/>
      <c r="V53" s="405" t="s">
        <v>133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118</v>
      </c>
      <c r="B54" s="431"/>
      <c r="C54" s="155" t="s">
        <v>170</v>
      </c>
      <c r="D54" s="155" t="s">
        <v>128</v>
      </c>
      <c r="E54" s="152" t="s">
        <v>148</v>
      </c>
      <c r="F54" s="418" t="s">
        <v>239</v>
      </c>
      <c r="G54" s="419"/>
      <c r="H54" s="419"/>
      <c r="I54" s="419"/>
      <c r="J54" s="419"/>
      <c r="K54" s="419"/>
      <c r="L54" s="419"/>
      <c r="M54" s="420"/>
      <c r="N54" s="151" t="s">
        <v>118</v>
      </c>
      <c r="O54" s="149" t="s">
        <v>243</v>
      </c>
      <c r="P54" s="432" t="s">
        <v>126</v>
      </c>
      <c r="Q54" s="433"/>
      <c r="R54" s="432" t="s">
        <v>227</v>
      </c>
      <c r="S54" s="434"/>
      <c r="T54" s="434"/>
      <c r="U54" s="433"/>
      <c r="V54" s="405" t="s">
        <v>244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112</v>
      </c>
      <c r="B55" s="431"/>
      <c r="C55" s="155" t="s">
        <v>143</v>
      </c>
      <c r="D55" s="155" t="s">
        <v>155</v>
      </c>
      <c r="E55" s="152" t="s">
        <v>165</v>
      </c>
      <c r="F55" s="418" t="s">
        <v>129</v>
      </c>
      <c r="G55" s="419"/>
      <c r="H55" s="419"/>
      <c r="I55" s="419"/>
      <c r="J55" s="419"/>
      <c r="K55" s="419"/>
      <c r="L55" s="419"/>
      <c r="M55" s="420"/>
      <c r="N55" s="151" t="s">
        <v>118</v>
      </c>
      <c r="O55" s="149" t="s">
        <v>150</v>
      </c>
      <c r="P55" s="432" t="s">
        <v>115</v>
      </c>
      <c r="Q55" s="433"/>
      <c r="R55" s="432" t="s">
        <v>245</v>
      </c>
      <c r="S55" s="434"/>
      <c r="T55" s="434"/>
      <c r="U55" s="433"/>
      <c r="V55" s="405" t="s">
        <v>129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118</v>
      </c>
      <c r="B56" s="431"/>
      <c r="C56" s="155" t="s">
        <v>172</v>
      </c>
      <c r="D56" s="155" t="s">
        <v>126</v>
      </c>
      <c r="E56" s="152" t="s">
        <v>227</v>
      </c>
      <c r="F56" s="418" t="s">
        <v>240</v>
      </c>
      <c r="G56" s="419"/>
      <c r="H56" s="419"/>
      <c r="I56" s="419"/>
      <c r="J56" s="419"/>
      <c r="K56" s="419"/>
      <c r="L56" s="419"/>
      <c r="M56" s="420"/>
      <c r="N56" s="151" t="s">
        <v>112</v>
      </c>
      <c r="O56" s="149" t="s">
        <v>247</v>
      </c>
      <c r="P56" s="432" t="s">
        <v>248</v>
      </c>
      <c r="Q56" s="433"/>
      <c r="R56" s="417" t="s">
        <v>246</v>
      </c>
      <c r="S56" s="417"/>
      <c r="T56" s="417"/>
      <c r="U56" s="417"/>
      <c r="V56" s="405" t="s">
        <v>133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 t="s">
        <v>118</v>
      </c>
      <c r="B57" s="417"/>
      <c r="C57" s="152" t="s">
        <v>134</v>
      </c>
      <c r="D57" s="152" t="s">
        <v>115</v>
      </c>
      <c r="E57" s="152" t="s">
        <v>138</v>
      </c>
      <c r="F57" s="418" t="s">
        <v>197</v>
      </c>
      <c r="G57" s="419"/>
      <c r="H57" s="419"/>
      <c r="I57" s="419"/>
      <c r="J57" s="419"/>
      <c r="K57" s="419"/>
      <c r="L57" s="419"/>
      <c r="M57" s="420"/>
      <c r="N57" s="151" t="s">
        <v>119</v>
      </c>
      <c r="O57" s="149" t="s">
        <v>140</v>
      </c>
      <c r="P57" s="432" t="s">
        <v>115</v>
      </c>
      <c r="Q57" s="433"/>
      <c r="R57" s="432" t="s">
        <v>249</v>
      </c>
      <c r="S57" s="434"/>
      <c r="T57" s="434"/>
      <c r="U57" s="433"/>
      <c r="V57" s="405" t="s">
        <v>133</v>
      </c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16" t="s">
        <v>235</v>
      </c>
      <c r="B58" s="417"/>
      <c r="C58" s="152" t="s">
        <v>150</v>
      </c>
      <c r="D58" s="152"/>
      <c r="E58" s="152" t="s">
        <v>236</v>
      </c>
      <c r="F58" s="418" t="s">
        <v>133</v>
      </c>
      <c r="G58" s="419"/>
      <c r="H58" s="419"/>
      <c r="I58" s="419"/>
      <c r="J58" s="419"/>
      <c r="K58" s="419"/>
      <c r="L58" s="419"/>
      <c r="M58" s="420"/>
      <c r="N58" s="151" t="s">
        <v>119</v>
      </c>
      <c r="O58" s="149" t="s">
        <v>140</v>
      </c>
      <c r="P58" s="432" t="s">
        <v>251</v>
      </c>
      <c r="Q58" s="433"/>
      <c r="R58" s="432" t="s">
        <v>250</v>
      </c>
      <c r="S58" s="434"/>
      <c r="T58" s="434"/>
      <c r="U58" s="433"/>
      <c r="V58" s="405" t="s">
        <v>133</v>
      </c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155"/>
      <c r="D59" s="155"/>
      <c r="E59" s="152"/>
      <c r="F59" s="418"/>
      <c r="G59" s="419"/>
      <c r="H59" s="419"/>
      <c r="I59" s="419"/>
      <c r="J59" s="419"/>
      <c r="K59" s="419"/>
      <c r="L59" s="419"/>
      <c r="M59" s="420"/>
      <c r="N59" s="151"/>
      <c r="O59" s="149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30"/>
      <c r="B60" s="431"/>
      <c r="C60" s="155"/>
      <c r="D60" s="155"/>
      <c r="E60" s="152"/>
      <c r="F60" s="418"/>
      <c r="G60" s="419"/>
      <c r="H60" s="419"/>
      <c r="I60" s="419"/>
      <c r="J60" s="419"/>
      <c r="K60" s="419"/>
      <c r="L60" s="419"/>
      <c r="M60" s="420"/>
      <c r="N60" s="151"/>
      <c r="O60" s="149"/>
      <c r="P60" s="432"/>
      <c r="Q60" s="433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</row>
    <row r="61" spans="1:32" ht="27" customHeight="1">
      <c r="A61" s="416"/>
      <c r="B61" s="417"/>
      <c r="C61" s="152"/>
      <c r="D61" s="152"/>
      <c r="E61" s="152"/>
      <c r="F61" s="418"/>
      <c r="G61" s="419"/>
      <c r="H61" s="419"/>
      <c r="I61" s="419"/>
      <c r="J61" s="419"/>
      <c r="K61" s="419"/>
      <c r="L61" s="419"/>
      <c r="M61" s="420"/>
      <c r="N61" s="151"/>
      <c r="O61" s="149"/>
      <c r="P61" s="417"/>
      <c r="Q61" s="417"/>
      <c r="R61" s="417"/>
      <c r="S61" s="417"/>
      <c r="T61" s="417"/>
      <c r="U61" s="417"/>
      <c r="V61" s="405"/>
      <c r="W61" s="405"/>
      <c r="X61" s="405"/>
      <c r="Y61" s="405"/>
      <c r="Z61" s="405"/>
      <c r="AA61" s="405"/>
      <c r="AB61" s="405"/>
      <c r="AC61" s="405"/>
      <c r="AD61" s="421"/>
      <c r="AF61" s="84">
        <f>8*3000</f>
        <v>24000</v>
      </c>
    </row>
    <row r="62" spans="1:32" ht="27" customHeight="1" thickBot="1">
      <c r="A62" s="422"/>
      <c r="B62" s="423"/>
      <c r="C62" s="153"/>
      <c r="D62" s="154"/>
      <c r="E62" s="154"/>
      <c r="F62" s="424"/>
      <c r="G62" s="425"/>
      <c r="H62" s="425"/>
      <c r="I62" s="425"/>
      <c r="J62" s="425"/>
      <c r="K62" s="425"/>
      <c r="L62" s="425"/>
      <c r="M62" s="426"/>
      <c r="N62" s="111"/>
      <c r="O62" s="103"/>
      <c r="P62" s="427"/>
      <c r="Q62" s="427"/>
      <c r="R62" s="427"/>
      <c r="S62" s="427"/>
      <c r="T62" s="427"/>
      <c r="U62" s="427"/>
      <c r="V62" s="428"/>
      <c r="W62" s="428"/>
      <c r="X62" s="428"/>
      <c r="Y62" s="428"/>
      <c r="Z62" s="428"/>
      <c r="AA62" s="428"/>
      <c r="AB62" s="428"/>
      <c r="AC62" s="428"/>
      <c r="AD62" s="429"/>
      <c r="AF62" s="84">
        <f>16*3000</f>
        <v>48000</v>
      </c>
    </row>
    <row r="63" spans="1:32" ht="27.75" thickBot="1">
      <c r="A63" s="414" t="s">
        <v>252</v>
      </c>
      <c r="B63" s="414"/>
      <c r="C63" s="414"/>
      <c r="D63" s="414"/>
      <c r="E63" s="41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15" t="s">
        <v>111</v>
      </c>
      <c r="B64" s="412"/>
      <c r="C64" s="150" t="s">
        <v>2</v>
      </c>
      <c r="D64" s="150" t="s">
        <v>37</v>
      </c>
      <c r="E64" s="150" t="s">
        <v>3</v>
      </c>
      <c r="F64" s="412" t="s">
        <v>109</v>
      </c>
      <c r="G64" s="412"/>
      <c r="H64" s="412"/>
      <c r="I64" s="412"/>
      <c r="J64" s="412"/>
      <c r="K64" s="412" t="s">
        <v>39</v>
      </c>
      <c r="L64" s="412"/>
      <c r="M64" s="150" t="s">
        <v>40</v>
      </c>
      <c r="N64" s="412" t="s">
        <v>41</v>
      </c>
      <c r="O64" s="412"/>
      <c r="P64" s="409" t="s">
        <v>42</v>
      </c>
      <c r="Q64" s="411"/>
      <c r="R64" s="409" t="s">
        <v>43</v>
      </c>
      <c r="S64" s="410"/>
      <c r="T64" s="410"/>
      <c r="U64" s="410"/>
      <c r="V64" s="410"/>
      <c r="W64" s="410"/>
      <c r="X64" s="410"/>
      <c r="Y64" s="410"/>
      <c r="Z64" s="410"/>
      <c r="AA64" s="411"/>
      <c r="AB64" s="412" t="s">
        <v>44</v>
      </c>
      <c r="AC64" s="412"/>
      <c r="AD64" s="413"/>
      <c r="AF64" s="84">
        <f>SUM(AF61:AF63)</f>
        <v>96000</v>
      </c>
    </row>
    <row r="65" spans="1:32" ht="25.5" customHeight="1">
      <c r="A65" s="400">
        <v>1</v>
      </c>
      <c r="B65" s="401"/>
      <c r="C65" s="104"/>
      <c r="D65" s="145"/>
      <c r="E65" s="148"/>
      <c r="F65" s="406"/>
      <c r="G65" s="407"/>
      <c r="H65" s="407"/>
      <c r="I65" s="407"/>
      <c r="J65" s="408"/>
      <c r="K65" s="394"/>
      <c r="L65" s="394"/>
      <c r="M65" s="51"/>
      <c r="N65" s="403"/>
      <c r="O65" s="403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2</v>
      </c>
      <c r="B66" s="401"/>
      <c r="C66" s="104"/>
      <c r="D66" s="145"/>
      <c r="E66" s="148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3</v>
      </c>
      <c r="B67" s="401"/>
      <c r="C67" s="104"/>
      <c r="D67" s="145"/>
      <c r="E67" s="148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4</v>
      </c>
      <c r="B68" s="401"/>
      <c r="C68" s="104"/>
      <c r="D68" s="145"/>
      <c r="E68" s="148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5</v>
      </c>
      <c r="B69" s="401"/>
      <c r="C69" s="104"/>
      <c r="D69" s="145"/>
      <c r="E69" s="148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6</v>
      </c>
      <c r="B70" s="401"/>
      <c r="C70" s="104"/>
      <c r="D70" s="145"/>
      <c r="E70" s="148"/>
      <c r="F70" s="406"/>
      <c r="G70" s="407"/>
      <c r="H70" s="407"/>
      <c r="I70" s="407"/>
      <c r="J70" s="408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7</v>
      </c>
      <c r="B71" s="401"/>
      <c r="C71" s="104"/>
      <c r="D71" s="145"/>
      <c r="E71" s="148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8</v>
      </c>
      <c r="B72" s="401"/>
      <c r="C72" s="104"/>
      <c r="D72" s="145"/>
      <c r="E72" s="148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9</v>
      </c>
      <c r="B73" s="401"/>
      <c r="C73" s="104"/>
      <c r="D73" s="145"/>
      <c r="E73" s="148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5.5" customHeight="1">
      <c r="A74" s="400">
        <v>10</v>
      </c>
      <c r="B74" s="401"/>
      <c r="C74" s="104"/>
      <c r="D74" s="145"/>
      <c r="E74" s="148"/>
      <c r="F74" s="402"/>
      <c r="G74" s="394"/>
      <c r="H74" s="394"/>
      <c r="I74" s="394"/>
      <c r="J74" s="394"/>
      <c r="K74" s="394"/>
      <c r="L74" s="394"/>
      <c r="M74" s="51"/>
      <c r="N74" s="403"/>
      <c r="O74" s="403"/>
      <c r="P74" s="404"/>
      <c r="Q74" s="404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394"/>
      <c r="AC74" s="394"/>
      <c r="AD74" s="395"/>
      <c r="AF74" s="50"/>
    </row>
    <row r="75" spans="1:32" ht="26.25" customHeight="1" thickBot="1">
      <c r="A75" s="374" t="s">
        <v>253</v>
      </c>
      <c r="B75" s="374"/>
      <c r="C75" s="374"/>
      <c r="D75" s="374"/>
      <c r="E75" s="374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375" t="s">
        <v>139</v>
      </c>
      <c r="B76" s="376"/>
      <c r="C76" s="147" t="s">
        <v>2</v>
      </c>
      <c r="D76" s="147" t="s">
        <v>37</v>
      </c>
      <c r="E76" s="147" t="s">
        <v>131</v>
      </c>
      <c r="F76" s="376" t="s">
        <v>38</v>
      </c>
      <c r="G76" s="376"/>
      <c r="H76" s="376"/>
      <c r="I76" s="376"/>
      <c r="J76" s="376"/>
      <c r="K76" s="396" t="s">
        <v>58</v>
      </c>
      <c r="L76" s="397"/>
      <c r="M76" s="397"/>
      <c r="N76" s="397"/>
      <c r="O76" s="397"/>
      <c r="P76" s="397"/>
      <c r="Q76" s="397"/>
      <c r="R76" s="397"/>
      <c r="S76" s="398"/>
      <c r="T76" s="376" t="s">
        <v>49</v>
      </c>
      <c r="U76" s="376"/>
      <c r="V76" s="396" t="s">
        <v>50</v>
      </c>
      <c r="W76" s="398"/>
      <c r="X76" s="397" t="s">
        <v>51</v>
      </c>
      <c r="Y76" s="397"/>
      <c r="Z76" s="397"/>
      <c r="AA76" s="397"/>
      <c r="AB76" s="397"/>
      <c r="AC76" s="397"/>
      <c r="AD76" s="399"/>
      <c r="AF76" s="50"/>
    </row>
    <row r="77" spans="1:32" ht="33.75" customHeight="1">
      <c r="A77" s="368">
        <v>1</v>
      </c>
      <c r="B77" s="369"/>
      <c r="C77" s="146" t="s">
        <v>112</v>
      </c>
      <c r="D77" s="146"/>
      <c r="E77" s="65" t="s">
        <v>117</v>
      </c>
      <c r="F77" s="383" t="s">
        <v>116</v>
      </c>
      <c r="G77" s="384"/>
      <c r="H77" s="384"/>
      <c r="I77" s="384"/>
      <c r="J77" s="385"/>
      <c r="K77" s="386" t="s">
        <v>120</v>
      </c>
      <c r="L77" s="387"/>
      <c r="M77" s="387"/>
      <c r="N77" s="387"/>
      <c r="O77" s="387"/>
      <c r="P77" s="387"/>
      <c r="Q77" s="387"/>
      <c r="R77" s="387"/>
      <c r="S77" s="388"/>
      <c r="T77" s="389">
        <v>43675</v>
      </c>
      <c r="U77" s="390"/>
      <c r="V77" s="391"/>
      <c r="W77" s="391"/>
      <c r="X77" s="392"/>
      <c r="Y77" s="392"/>
      <c r="Z77" s="392"/>
      <c r="AA77" s="392"/>
      <c r="AB77" s="392"/>
      <c r="AC77" s="392"/>
      <c r="AD77" s="393"/>
      <c r="AF77" s="50"/>
    </row>
    <row r="78" spans="1:32" ht="30" customHeight="1">
      <c r="A78" s="361">
        <f>A77+1</f>
        <v>2</v>
      </c>
      <c r="B78" s="362"/>
      <c r="C78" s="145"/>
      <c r="D78" s="145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ref="A79:A83" si="20">A78+1</f>
        <v>3</v>
      </c>
      <c r="B79" s="362"/>
      <c r="C79" s="145"/>
      <c r="D79" s="145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20"/>
        <v>4</v>
      </c>
      <c r="B80" s="362"/>
      <c r="C80" s="145"/>
      <c r="D80" s="145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20"/>
        <v>5</v>
      </c>
      <c r="B81" s="362"/>
      <c r="C81" s="145"/>
      <c r="D81" s="145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20"/>
        <v>6</v>
      </c>
      <c r="B82" s="362"/>
      <c r="C82" s="145"/>
      <c r="D82" s="145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0" customHeight="1">
      <c r="A83" s="361">
        <f t="shared" si="20"/>
        <v>7</v>
      </c>
      <c r="B83" s="362"/>
      <c r="C83" s="145"/>
      <c r="D83" s="145"/>
      <c r="E83" s="32"/>
      <c r="F83" s="362"/>
      <c r="G83" s="362"/>
      <c r="H83" s="362"/>
      <c r="I83" s="362"/>
      <c r="J83" s="362"/>
      <c r="K83" s="377"/>
      <c r="L83" s="378"/>
      <c r="M83" s="378"/>
      <c r="N83" s="378"/>
      <c r="O83" s="378"/>
      <c r="P83" s="378"/>
      <c r="Q83" s="378"/>
      <c r="R83" s="378"/>
      <c r="S83" s="379"/>
      <c r="T83" s="380"/>
      <c r="U83" s="380"/>
      <c r="V83" s="380"/>
      <c r="W83" s="380"/>
      <c r="X83" s="381"/>
      <c r="Y83" s="381"/>
      <c r="Z83" s="381"/>
      <c r="AA83" s="381"/>
      <c r="AB83" s="381"/>
      <c r="AC83" s="381"/>
      <c r="AD83" s="382"/>
      <c r="AF83" s="50"/>
    </row>
    <row r="84" spans="1:32" ht="36" thickBot="1">
      <c r="A84" s="374" t="s">
        <v>254</v>
      </c>
      <c r="B84" s="374"/>
      <c r="C84" s="374"/>
      <c r="D84" s="374"/>
      <c r="E84" s="37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75" t="s">
        <v>111</v>
      </c>
      <c r="B85" s="376"/>
      <c r="C85" s="366" t="s">
        <v>52</v>
      </c>
      <c r="D85" s="366"/>
      <c r="E85" s="366" t="s">
        <v>53</v>
      </c>
      <c r="F85" s="366"/>
      <c r="G85" s="366"/>
      <c r="H85" s="366"/>
      <c r="I85" s="366"/>
      <c r="J85" s="366"/>
      <c r="K85" s="366" t="s">
        <v>54</v>
      </c>
      <c r="L85" s="366"/>
      <c r="M85" s="366"/>
      <c r="N85" s="366"/>
      <c r="O85" s="366"/>
      <c r="P85" s="366"/>
      <c r="Q85" s="366"/>
      <c r="R85" s="366"/>
      <c r="S85" s="366"/>
      <c r="T85" s="366" t="s">
        <v>55</v>
      </c>
      <c r="U85" s="366"/>
      <c r="V85" s="366" t="s">
        <v>56</v>
      </c>
      <c r="W85" s="366"/>
      <c r="X85" s="366"/>
      <c r="Y85" s="366" t="s">
        <v>51</v>
      </c>
      <c r="Z85" s="366"/>
      <c r="AA85" s="366"/>
      <c r="AB85" s="366"/>
      <c r="AC85" s="366"/>
      <c r="AD85" s="367"/>
      <c r="AF85" s="50"/>
    </row>
    <row r="86" spans="1:32" ht="30.75" customHeight="1">
      <c r="A86" s="368">
        <v>1</v>
      </c>
      <c r="B86" s="369"/>
      <c r="C86" s="370"/>
      <c r="D86" s="370"/>
      <c r="E86" s="370"/>
      <c r="F86" s="370"/>
      <c r="G86" s="370"/>
      <c r="H86" s="370"/>
      <c r="I86" s="370"/>
      <c r="J86" s="370"/>
      <c r="K86" s="370"/>
      <c r="L86" s="370"/>
      <c r="M86" s="370"/>
      <c r="N86" s="370"/>
      <c r="O86" s="370"/>
      <c r="P86" s="370"/>
      <c r="Q86" s="370"/>
      <c r="R86" s="370"/>
      <c r="S86" s="370"/>
      <c r="T86" s="370"/>
      <c r="U86" s="370"/>
      <c r="V86" s="371"/>
      <c r="W86" s="371"/>
      <c r="X86" s="371"/>
      <c r="Y86" s="372"/>
      <c r="Z86" s="372"/>
      <c r="AA86" s="372"/>
      <c r="AB86" s="372"/>
      <c r="AC86" s="372"/>
      <c r="AD86" s="373"/>
      <c r="AF86" s="50"/>
    </row>
    <row r="87" spans="1:32" ht="30.75" customHeight="1">
      <c r="A87" s="361">
        <v>2</v>
      </c>
      <c r="B87" s="362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4"/>
      <c r="U87" s="364"/>
      <c r="V87" s="365"/>
      <c r="W87" s="365"/>
      <c r="X87" s="365"/>
      <c r="Y87" s="354"/>
      <c r="Z87" s="354"/>
      <c r="AA87" s="354"/>
      <c r="AB87" s="354"/>
      <c r="AC87" s="354"/>
      <c r="AD87" s="355"/>
      <c r="AF87" s="50"/>
    </row>
    <row r="88" spans="1:32" ht="30.75" customHeight="1" thickBot="1">
      <c r="A88" s="356">
        <v>3</v>
      </c>
      <c r="B88" s="357"/>
      <c r="C88" s="358"/>
      <c r="D88" s="358"/>
      <c r="E88" s="358"/>
      <c r="F88" s="358"/>
      <c r="G88" s="358"/>
      <c r="H88" s="358"/>
      <c r="I88" s="358"/>
      <c r="J88" s="358"/>
      <c r="K88" s="358"/>
      <c r="L88" s="358"/>
      <c r="M88" s="358"/>
      <c r="N88" s="358"/>
      <c r="O88" s="358"/>
      <c r="P88" s="358"/>
      <c r="Q88" s="358"/>
      <c r="R88" s="358"/>
      <c r="S88" s="358"/>
      <c r="T88" s="358"/>
      <c r="U88" s="358"/>
      <c r="V88" s="358"/>
      <c r="W88" s="358"/>
      <c r="X88" s="358"/>
      <c r="Y88" s="359"/>
      <c r="Z88" s="359"/>
      <c r="AA88" s="359"/>
      <c r="AB88" s="359"/>
      <c r="AC88" s="359"/>
      <c r="AD88" s="360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5961-F0EA-4CE1-BED5-6DA2BC03DECD}">
  <dimension ref="A1:AF91"/>
  <sheetViews>
    <sheetView view="pageBreakPreview" topLeftCell="A28" zoomScale="70" zoomScaleNormal="72" zoomScaleSheetLayoutView="70" workbookViewId="0">
      <selection activeCell="F73" sqref="F73:J7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255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227</v>
      </c>
      <c r="F6" s="30" t="s">
        <v>136</v>
      </c>
      <c r="G6" s="12">
        <v>1</v>
      </c>
      <c r="H6" s="13">
        <v>24</v>
      </c>
      <c r="I6" s="7">
        <v>22000</v>
      </c>
      <c r="J6" s="14">
        <v>6328</v>
      </c>
      <c r="K6" s="15">
        <f>L6+1302</f>
        <v>7630</v>
      </c>
      <c r="L6" s="15">
        <f>3502+2826</f>
        <v>6328</v>
      </c>
      <c r="M6" s="15">
        <f t="shared" ref="M6" si="0">L6-N6</f>
        <v>6328</v>
      </c>
      <c r="N6" s="15">
        <v>0</v>
      </c>
      <c r="O6" s="58">
        <f t="shared" ref="O6" si="1">IF(L6=0,"0",N6/L6)</f>
        <v>0</v>
      </c>
      <c r="P6" s="39">
        <f t="shared" ref="P6" si="2">IF(L6=0,"0",(24-Q6))</f>
        <v>23</v>
      </c>
      <c r="Q6" s="40">
        <f t="shared" ref="Q6" si="3">SUM(R6:AA6)</f>
        <v>1</v>
      </c>
      <c r="R6" s="7"/>
      <c r="S6" s="6"/>
      <c r="T6" s="16">
        <v>1</v>
      </c>
      <c r="U6" s="16"/>
      <c r="V6" s="17"/>
      <c r="W6" s="5"/>
      <c r="X6" s="16"/>
      <c r="Y6" s="16"/>
      <c r="Z6" s="16"/>
      <c r="AA6" s="18"/>
      <c r="AB6" s="8">
        <f t="shared" ref="AB6" si="4">IF(J6=0,"0",(L6/J6))</f>
        <v>1</v>
      </c>
      <c r="AC6" s="9">
        <f t="shared" ref="AC6" si="5">IF(P6=0,"0",(P6/24))</f>
        <v>0.95833333333333337</v>
      </c>
      <c r="AD6" s="10">
        <f t="shared" ref="AD6" si="6">AC6*AB6*(1-O6)</f>
        <v>0.95833333333333337</v>
      </c>
      <c r="AE6" s="36">
        <f t="shared" ref="AE6:AE25" si="7">$AD$26</f>
        <v>0.42291666666666672</v>
      </c>
      <c r="AF6" s="84">
        <f t="shared" ref="AF6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209</v>
      </c>
      <c r="F7" s="12" t="s">
        <v>216</v>
      </c>
      <c r="G7" s="12">
        <v>1</v>
      </c>
      <c r="H7" s="13">
        <v>24</v>
      </c>
      <c r="I7" s="31">
        <v>500</v>
      </c>
      <c r="J7" s="14">
        <v>1211</v>
      </c>
      <c r="K7" s="15">
        <f>L7+1211</f>
        <v>1211</v>
      </c>
      <c r="L7" s="15"/>
      <c r="M7" s="15">
        <f t="shared" ref="M7:M25" si="9">L7-N7</f>
        <v>0</v>
      </c>
      <c r="N7" s="15">
        <v>0</v>
      </c>
      <c r="O7" s="58" t="str">
        <f t="shared" ref="O7:O26" si="10">IF(L7=0,"0",N7/L7)</f>
        <v>0</v>
      </c>
      <c r="P7" s="39" t="str">
        <f t="shared" ref="P7:P25" si="11">IF(L7=0,"0",(24-Q7))</f>
        <v>0</v>
      </c>
      <c r="Q7" s="40">
        <f t="shared" ref="Q7:Q25" si="12">SUM(R7:AA7)</f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ref="AB7:AB25" si="13">IF(J7=0,"0",(L7/J7))</f>
        <v>0</v>
      </c>
      <c r="AC7" s="9">
        <f t="shared" ref="AC7:AC25" si="14">IF(P7=0,"0",(P7/24))</f>
        <v>0</v>
      </c>
      <c r="AD7" s="10">
        <f t="shared" ref="AD7:AD25" si="15">AC7*AB7*(1-O7)</f>
        <v>0</v>
      </c>
      <c r="AE7" s="36">
        <f t="shared" si="7"/>
        <v>0.42291666666666672</v>
      </c>
      <c r="AF7" s="84">
        <f t="shared" ref="AF7:AF25" si="16">A7</f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5517</v>
      </c>
      <c r="K8" s="15">
        <f>L8+2455+3705</f>
        <v>11677</v>
      </c>
      <c r="L8" s="15">
        <f>2789+2728</f>
        <v>5517</v>
      </c>
      <c r="M8" s="15">
        <f t="shared" si="9"/>
        <v>5517</v>
      </c>
      <c r="N8" s="15">
        <v>0</v>
      </c>
      <c r="O8" s="58">
        <f t="shared" si="10"/>
        <v>0</v>
      </c>
      <c r="P8" s="39">
        <f t="shared" si="11"/>
        <v>24</v>
      </c>
      <c r="Q8" s="40">
        <f t="shared" si="12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13"/>
        <v>1</v>
      </c>
      <c r="AC8" s="9">
        <f t="shared" si="14"/>
        <v>1</v>
      </c>
      <c r="AD8" s="10">
        <f t="shared" si="15"/>
        <v>1</v>
      </c>
      <c r="AE8" s="36">
        <f t="shared" si="7"/>
        <v>0.42291666666666672</v>
      </c>
      <c r="AF8" s="84">
        <f t="shared" si="16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155</v>
      </c>
      <c r="E9" s="53" t="s">
        <v>165</v>
      </c>
      <c r="F9" s="30" t="s">
        <v>180</v>
      </c>
      <c r="G9" s="33">
        <v>1</v>
      </c>
      <c r="H9" s="35">
        <v>24</v>
      </c>
      <c r="I9" s="7">
        <v>9000</v>
      </c>
      <c r="J9" s="5">
        <v>1070</v>
      </c>
      <c r="K9" s="15">
        <f>L9+1152+3028+3972</f>
        <v>9222</v>
      </c>
      <c r="L9" s="15">
        <v>1070</v>
      </c>
      <c r="M9" s="15">
        <f t="shared" si="9"/>
        <v>1070</v>
      </c>
      <c r="N9" s="15">
        <v>0</v>
      </c>
      <c r="O9" s="58">
        <f t="shared" si="10"/>
        <v>0</v>
      </c>
      <c r="P9" s="39">
        <f t="shared" si="11"/>
        <v>5</v>
      </c>
      <c r="Q9" s="40">
        <f t="shared" si="12"/>
        <v>19</v>
      </c>
      <c r="R9" s="7"/>
      <c r="S9" s="6"/>
      <c r="T9" s="16"/>
      <c r="U9" s="16"/>
      <c r="V9" s="17"/>
      <c r="W9" s="5">
        <v>19</v>
      </c>
      <c r="X9" s="16"/>
      <c r="Y9" s="16"/>
      <c r="Z9" s="16"/>
      <c r="AA9" s="18"/>
      <c r="AB9" s="8">
        <f t="shared" si="13"/>
        <v>1</v>
      </c>
      <c r="AC9" s="9">
        <f t="shared" si="14"/>
        <v>0.20833333333333334</v>
      </c>
      <c r="AD9" s="10">
        <f>AC9*AB9*(1-O9)</f>
        <v>0.20833333333333334</v>
      </c>
      <c r="AE9" s="36">
        <f t="shared" si="7"/>
        <v>0.42291666666666672</v>
      </c>
      <c r="AF9" s="84">
        <f t="shared" si="16"/>
        <v>4</v>
      </c>
    </row>
    <row r="10" spans="1:32" ht="27" customHeight="1">
      <c r="A10" s="96">
        <v>4</v>
      </c>
      <c r="B10" s="11" t="s">
        <v>57</v>
      </c>
      <c r="C10" s="34" t="s">
        <v>119</v>
      </c>
      <c r="D10" s="52" t="s">
        <v>185</v>
      </c>
      <c r="E10" s="53" t="s">
        <v>242</v>
      </c>
      <c r="F10" s="30" t="s">
        <v>176</v>
      </c>
      <c r="G10" s="33">
        <v>2</v>
      </c>
      <c r="H10" s="35">
        <v>24</v>
      </c>
      <c r="I10" s="7">
        <v>2000</v>
      </c>
      <c r="J10" s="5">
        <v>2240</v>
      </c>
      <c r="K10" s="15">
        <f>L10</f>
        <v>2240</v>
      </c>
      <c r="L10" s="15">
        <f>1120*2</f>
        <v>2240</v>
      </c>
      <c r="M10" s="15">
        <f t="shared" ref="M10:M11" si="17">L10-N10</f>
        <v>2240</v>
      </c>
      <c r="N10" s="15">
        <v>0</v>
      </c>
      <c r="O10" s="58">
        <f t="shared" ref="O10:O11" si="18">IF(L10=0,"0",N10/L10)</f>
        <v>0</v>
      </c>
      <c r="P10" s="39">
        <f t="shared" ref="P10:P11" si="19">IF(L10=0,"0",(24-Q10))</f>
        <v>6</v>
      </c>
      <c r="Q10" s="40">
        <f t="shared" ref="Q10:Q11" si="20">SUM(R10:AA10)</f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ref="AB10:AB11" si="21">IF(J10=0,"0",(L10/J10))</f>
        <v>1</v>
      </c>
      <c r="AC10" s="9">
        <f t="shared" ref="AC10:AC11" si="22">IF(P10=0,"0",(P10/24))</f>
        <v>0.25</v>
      </c>
      <c r="AD10" s="10">
        <f t="shared" ref="AD10:AD11" si="23">AC10*AB10*(1-O10)</f>
        <v>0.25</v>
      </c>
      <c r="AE10" s="36">
        <f t="shared" si="7"/>
        <v>0.42291666666666672</v>
      </c>
      <c r="AF10" s="84">
        <f t="shared" ref="AF10:AF11" si="24">A10</f>
        <v>4</v>
      </c>
    </row>
    <row r="11" spans="1:32" ht="27" customHeight="1">
      <c r="A11" s="96">
        <v>4</v>
      </c>
      <c r="B11" s="11" t="s">
        <v>57</v>
      </c>
      <c r="C11" s="34" t="s">
        <v>112</v>
      </c>
      <c r="D11" s="52" t="s">
        <v>256</v>
      </c>
      <c r="E11" s="53" t="s">
        <v>257</v>
      </c>
      <c r="F11" s="30" t="s">
        <v>180</v>
      </c>
      <c r="G11" s="33">
        <v>1</v>
      </c>
      <c r="H11" s="35">
        <v>24</v>
      </c>
      <c r="I11" s="7">
        <v>2000</v>
      </c>
      <c r="J11" s="5">
        <v>2371</v>
      </c>
      <c r="K11" s="15">
        <f>L11</f>
        <v>2371</v>
      </c>
      <c r="L11" s="15">
        <f>2371</f>
        <v>2371</v>
      </c>
      <c r="M11" s="15">
        <f t="shared" si="17"/>
        <v>2371</v>
      </c>
      <c r="N11" s="15">
        <v>0</v>
      </c>
      <c r="O11" s="58">
        <f t="shared" si="18"/>
        <v>0</v>
      </c>
      <c r="P11" s="39">
        <f t="shared" si="19"/>
        <v>13</v>
      </c>
      <c r="Q11" s="40">
        <f t="shared" si="20"/>
        <v>11</v>
      </c>
      <c r="R11" s="7"/>
      <c r="S11" s="6"/>
      <c r="T11" s="16">
        <v>11</v>
      </c>
      <c r="U11" s="16"/>
      <c r="V11" s="17"/>
      <c r="W11" s="5"/>
      <c r="X11" s="16"/>
      <c r="Y11" s="16"/>
      <c r="Z11" s="16"/>
      <c r="AA11" s="18"/>
      <c r="AB11" s="8">
        <f t="shared" si="21"/>
        <v>1</v>
      </c>
      <c r="AC11" s="9">
        <f t="shared" si="22"/>
        <v>0.54166666666666663</v>
      </c>
      <c r="AD11" s="10">
        <f t="shared" si="23"/>
        <v>0.54166666666666663</v>
      </c>
      <c r="AE11" s="36">
        <f t="shared" si="7"/>
        <v>0.42291666666666672</v>
      </c>
      <c r="AF11" s="84">
        <f t="shared" si="24"/>
        <v>4</v>
      </c>
    </row>
    <row r="12" spans="1:32" ht="27" customHeight="1">
      <c r="A12" s="96">
        <v>5</v>
      </c>
      <c r="B12" s="11" t="s">
        <v>57</v>
      </c>
      <c r="C12" s="11" t="s">
        <v>118</v>
      </c>
      <c r="D12" s="52" t="s">
        <v>128</v>
      </c>
      <c r="E12" s="53" t="s">
        <v>148</v>
      </c>
      <c r="F12" s="30" t="s">
        <v>145</v>
      </c>
      <c r="G12" s="33">
        <v>1</v>
      </c>
      <c r="H12" s="35">
        <v>24</v>
      </c>
      <c r="I12" s="7">
        <v>58000</v>
      </c>
      <c r="J12" s="14">
        <v>6693</v>
      </c>
      <c r="K12" s="15">
        <f>L12+5217+6628+5843</f>
        <v>24381</v>
      </c>
      <c r="L12" s="15">
        <f>3296+3397</f>
        <v>6693</v>
      </c>
      <c r="M12" s="15">
        <f t="shared" si="9"/>
        <v>6693</v>
      </c>
      <c r="N12" s="15">
        <v>0</v>
      </c>
      <c r="O12" s="58">
        <f t="shared" si="10"/>
        <v>0</v>
      </c>
      <c r="P12" s="39">
        <f t="shared" si="11"/>
        <v>24</v>
      </c>
      <c r="Q12" s="40">
        <f t="shared" si="12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13"/>
        <v>1</v>
      </c>
      <c r="AC12" s="9">
        <f t="shared" si="14"/>
        <v>1</v>
      </c>
      <c r="AD12" s="10">
        <f t="shared" ref="AD12:AD16" si="25">AC12*AB12*(1-O12)</f>
        <v>1</v>
      </c>
      <c r="AE12" s="36">
        <f t="shared" si="7"/>
        <v>0.42291666666666672</v>
      </c>
      <c r="AF12" s="84">
        <f t="shared" si="16"/>
        <v>5</v>
      </c>
    </row>
    <row r="13" spans="1:32" ht="27" customHeight="1">
      <c r="A13" s="96">
        <v>6</v>
      </c>
      <c r="B13" s="11" t="s">
        <v>57</v>
      </c>
      <c r="C13" s="11" t="s">
        <v>119</v>
      </c>
      <c r="D13" s="52" t="s">
        <v>196</v>
      </c>
      <c r="E13" s="53" t="s">
        <v>194</v>
      </c>
      <c r="F13" s="30" t="s">
        <v>136</v>
      </c>
      <c r="G13" s="33">
        <v>2</v>
      </c>
      <c r="H13" s="35">
        <v>24</v>
      </c>
      <c r="I13" s="7">
        <v>15000</v>
      </c>
      <c r="J13" s="14">
        <v>7560</v>
      </c>
      <c r="K13" s="15">
        <f>L13+10616+12082+7560</f>
        <v>30258</v>
      </c>
      <c r="L13" s="15"/>
      <c r="M13" s="15">
        <f t="shared" si="9"/>
        <v>0</v>
      </c>
      <c r="N13" s="15">
        <v>0</v>
      </c>
      <c r="O13" s="58" t="str">
        <f t="shared" si="10"/>
        <v>0</v>
      </c>
      <c r="P13" s="39" t="str">
        <f t="shared" si="11"/>
        <v>0</v>
      </c>
      <c r="Q13" s="40">
        <f t="shared" si="12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13"/>
        <v>0</v>
      </c>
      <c r="AC13" s="9">
        <f t="shared" si="14"/>
        <v>0</v>
      </c>
      <c r="AD13" s="10">
        <f t="shared" si="25"/>
        <v>0</v>
      </c>
      <c r="AE13" s="36">
        <f t="shared" si="7"/>
        <v>0.42291666666666672</v>
      </c>
      <c r="AF13" s="84">
        <f t="shared" si="16"/>
        <v>6</v>
      </c>
    </row>
    <row r="14" spans="1:32" ht="27" customHeight="1">
      <c r="A14" s="96">
        <v>7</v>
      </c>
      <c r="B14" s="11" t="s">
        <v>57</v>
      </c>
      <c r="C14" s="34" t="s">
        <v>118</v>
      </c>
      <c r="D14" s="52" t="s">
        <v>115</v>
      </c>
      <c r="E14" s="53" t="s">
        <v>245</v>
      </c>
      <c r="F14" s="30" t="s">
        <v>152</v>
      </c>
      <c r="G14" s="12">
        <v>1</v>
      </c>
      <c r="H14" s="13">
        <v>22</v>
      </c>
      <c r="I14" s="31">
        <v>500</v>
      </c>
      <c r="J14" s="5">
        <v>1258</v>
      </c>
      <c r="K14" s="15">
        <f>L14</f>
        <v>1258</v>
      </c>
      <c r="L14" s="15">
        <v>1258</v>
      </c>
      <c r="M14" s="15">
        <f t="shared" si="9"/>
        <v>1258</v>
      </c>
      <c r="N14" s="15">
        <v>0</v>
      </c>
      <c r="O14" s="58">
        <f t="shared" si="10"/>
        <v>0</v>
      </c>
      <c r="P14" s="39">
        <f t="shared" si="11"/>
        <v>7</v>
      </c>
      <c r="Q14" s="40">
        <f t="shared" si="12"/>
        <v>17</v>
      </c>
      <c r="R14" s="7"/>
      <c r="S14" s="6"/>
      <c r="T14" s="16">
        <v>17</v>
      </c>
      <c r="U14" s="16"/>
      <c r="V14" s="17"/>
      <c r="W14" s="5"/>
      <c r="X14" s="16"/>
      <c r="Y14" s="16"/>
      <c r="Z14" s="16"/>
      <c r="AA14" s="18"/>
      <c r="AB14" s="8">
        <f t="shared" si="13"/>
        <v>1</v>
      </c>
      <c r="AC14" s="9">
        <f t="shared" si="14"/>
        <v>0.29166666666666669</v>
      </c>
      <c r="AD14" s="10">
        <f t="shared" si="25"/>
        <v>0.29166666666666669</v>
      </c>
      <c r="AE14" s="36">
        <f t="shared" si="7"/>
        <v>0.42291666666666672</v>
      </c>
      <c r="AF14" s="84">
        <f t="shared" si="16"/>
        <v>7</v>
      </c>
    </row>
    <row r="15" spans="1:32" ht="27" customHeight="1">
      <c r="A15" s="96">
        <v>8</v>
      </c>
      <c r="B15" s="11" t="s">
        <v>57</v>
      </c>
      <c r="C15" s="34" t="s">
        <v>112</v>
      </c>
      <c r="D15" s="52" t="s">
        <v>115</v>
      </c>
      <c r="E15" s="53" t="s">
        <v>205</v>
      </c>
      <c r="F15" s="30" t="s">
        <v>130</v>
      </c>
      <c r="G15" s="12">
        <v>1</v>
      </c>
      <c r="H15" s="13">
        <v>28</v>
      </c>
      <c r="I15" s="31">
        <v>2300</v>
      </c>
      <c r="J15" s="5">
        <v>1439</v>
      </c>
      <c r="K15" s="15">
        <f>L15</f>
        <v>1439</v>
      </c>
      <c r="L15" s="15">
        <f>462+977</f>
        <v>1439</v>
      </c>
      <c r="M15" s="15">
        <f t="shared" si="9"/>
        <v>1439</v>
      </c>
      <c r="N15" s="15">
        <v>0</v>
      </c>
      <c r="O15" s="58">
        <f t="shared" si="10"/>
        <v>0</v>
      </c>
      <c r="P15" s="39">
        <f t="shared" si="11"/>
        <v>19</v>
      </c>
      <c r="Q15" s="40">
        <f t="shared" si="12"/>
        <v>5</v>
      </c>
      <c r="R15" s="7"/>
      <c r="S15" s="6"/>
      <c r="T15" s="16"/>
      <c r="U15" s="16"/>
      <c r="V15" s="17">
        <v>5</v>
      </c>
      <c r="W15" s="5"/>
      <c r="X15" s="16"/>
      <c r="Y15" s="16"/>
      <c r="Z15" s="16"/>
      <c r="AA15" s="18"/>
      <c r="AB15" s="8">
        <f t="shared" si="13"/>
        <v>1</v>
      </c>
      <c r="AC15" s="9">
        <f t="shared" si="14"/>
        <v>0.79166666666666663</v>
      </c>
      <c r="AD15" s="10">
        <f>AC15*AB15*(1-O15)</f>
        <v>0.79166666666666663</v>
      </c>
      <c r="AE15" s="36">
        <f t="shared" si="7"/>
        <v>0.42291666666666672</v>
      </c>
      <c r="AF15" s="84">
        <f t="shared" si="16"/>
        <v>8</v>
      </c>
    </row>
    <row r="16" spans="1:32" ht="27" customHeight="1">
      <c r="A16" s="105">
        <v>9</v>
      </c>
      <c r="B16" s="11" t="s">
        <v>57</v>
      </c>
      <c r="C16" s="34" t="s">
        <v>182</v>
      </c>
      <c r="D16" s="52" t="s">
        <v>115</v>
      </c>
      <c r="E16" s="53" t="s">
        <v>181</v>
      </c>
      <c r="F16" s="30" t="s">
        <v>173</v>
      </c>
      <c r="G16" s="33">
        <v>1</v>
      </c>
      <c r="H16" s="35">
        <v>60</v>
      </c>
      <c r="I16" s="7">
        <v>150</v>
      </c>
      <c r="J16" s="5">
        <v>308</v>
      </c>
      <c r="K16" s="15">
        <f>L16+308</f>
        <v>308</v>
      </c>
      <c r="L16" s="15"/>
      <c r="M16" s="15">
        <f t="shared" si="9"/>
        <v>0</v>
      </c>
      <c r="N16" s="15">
        <v>0</v>
      </c>
      <c r="O16" s="58" t="str">
        <f t="shared" si="10"/>
        <v>0</v>
      </c>
      <c r="P16" s="39" t="str">
        <f t="shared" si="11"/>
        <v>0</v>
      </c>
      <c r="Q16" s="40">
        <f t="shared" si="12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13"/>
        <v>0</v>
      </c>
      <c r="AC16" s="9">
        <f t="shared" si="14"/>
        <v>0</v>
      </c>
      <c r="AD16" s="10">
        <f t="shared" si="25"/>
        <v>0</v>
      </c>
      <c r="AE16" s="36">
        <f t="shared" si="7"/>
        <v>0.42291666666666672</v>
      </c>
      <c r="AF16" s="84">
        <f t="shared" si="16"/>
        <v>9</v>
      </c>
    </row>
    <row r="17" spans="1:32" ht="27" customHeight="1">
      <c r="A17" s="95">
        <v>10</v>
      </c>
      <c r="B17" s="11" t="s">
        <v>57</v>
      </c>
      <c r="C17" s="34" t="s">
        <v>121</v>
      </c>
      <c r="D17" s="52" t="s">
        <v>126</v>
      </c>
      <c r="E17" s="53" t="s">
        <v>142</v>
      </c>
      <c r="F17" s="12" t="s">
        <v>144</v>
      </c>
      <c r="G17" s="12">
        <v>1</v>
      </c>
      <c r="H17" s="13">
        <v>24</v>
      </c>
      <c r="I17" s="31">
        <f>11500+7500</f>
        <v>19000</v>
      </c>
      <c r="J17" s="14">
        <v>5080</v>
      </c>
      <c r="K17" s="15">
        <f>L17+2898+5234+1444+2583+5198+5277+2596+3070+5080</f>
        <v>33380</v>
      </c>
      <c r="L17" s="15"/>
      <c r="M17" s="15">
        <f t="shared" si="9"/>
        <v>0</v>
      </c>
      <c r="N17" s="15">
        <v>0</v>
      </c>
      <c r="O17" s="58" t="str">
        <f t="shared" si="10"/>
        <v>0</v>
      </c>
      <c r="P17" s="39" t="str">
        <f t="shared" si="11"/>
        <v>0</v>
      </c>
      <c r="Q17" s="40">
        <f t="shared" si="12"/>
        <v>24</v>
      </c>
      <c r="R17" s="7"/>
      <c r="S17" s="6"/>
      <c r="T17" s="16"/>
      <c r="U17" s="16"/>
      <c r="V17" s="17">
        <v>24</v>
      </c>
      <c r="W17" s="5"/>
      <c r="X17" s="16"/>
      <c r="Y17" s="16"/>
      <c r="Z17" s="16"/>
      <c r="AA17" s="18"/>
      <c r="AB17" s="8">
        <f t="shared" si="13"/>
        <v>0</v>
      </c>
      <c r="AC17" s="9">
        <f t="shared" si="14"/>
        <v>0</v>
      </c>
      <c r="AD17" s="10">
        <f t="shared" si="15"/>
        <v>0</v>
      </c>
      <c r="AE17" s="36">
        <f t="shared" si="7"/>
        <v>0.42291666666666672</v>
      </c>
      <c r="AF17" s="84">
        <f t="shared" si="16"/>
        <v>10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135</v>
      </c>
      <c r="E18" s="53" t="s">
        <v>175</v>
      </c>
      <c r="F18" s="30" t="s">
        <v>176</v>
      </c>
      <c r="G18" s="12">
        <v>1</v>
      </c>
      <c r="H18" s="13">
        <v>24</v>
      </c>
      <c r="I18" s="7">
        <v>58000</v>
      </c>
      <c r="J18" s="14">
        <v>1535</v>
      </c>
      <c r="K18" s="15">
        <f>L18+3599+5250+5336+5402+5766+5931+3420+5712+5574+5768+3433+5032+5784</f>
        <v>67542</v>
      </c>
      <c r="L18" s="15">
        <f>1535</f>
        <v>1535</v>
      </c>
      <c r="M18" s="15">
        <f t="shared" si="9"/>
        <v>1535</v>
      </c>
      <c r="N18" s="15">
        <v>0</v>
      </c>
      <c r="O18" s="58">
        <f t="shared" si="10"/>
        <v>0</v>
      </c>
      <c r="P18" s="39">
        <f t="shared" si="11"/>
        <v>7</v>
      </c>
      <c r="Q18" s="40">
        <f t="shared" si="12"/>
        <v>17</v>
      </c>
      <c r="R18" s="7"/>
      <c r="S18" s="6"/>
      <c r="T18" s="16"/>
      <c r="U18" s="16"/>
      <c r="V18" s="17"/>
      <c r="W18" s="5">
        <v>17</v>
      </c>
      <c r="X18" s="16"/>
      <c r="Y18" s="16"/>
      <c r="Z18" s="16"/>
      <c r="AA18" s="18"/>
      <c r="AB18" s="8">
        <f t="shared" si="13"/>
        <v>1</v>
      </c>
      <c r="AC18" s="9">
        <f t="shared" si="14"/>
        <v>0.29166666666666669</v>
      </c>
      <c r="AD18" s="10">
        <f t="shared" si="15"/>
        <v>0.29166666666666669</v>
      </c>
      <c r="AE18" s="36">
        <f t="shared" si="7"/>
        <v>0.42291666666666672</v>
      </c>
      <c r="AF18" s="84">
        <f t="shared" si="16"/>
        <v>11</v>
      </c>
    </row>
    <row r="19" spans="1:32" ht="30" customHeight="1">
      <c r="A19" s="112">
        <v>11</v>
      </c>
      <c r="B19" s="11" t="s">
        <v>57</v>
      </c>
      <c r="C19" s="34" t="s">
        <v>112</v>
      </c>
      <c r="D19" s="52" t="s">
        <v>248</v>
      </c>
      <c r="E19" s="53" t="s">
        <v>246</v>
      </c>
      <c r="F19" s="30" t="s">
        <v>258</v>
      </c>
      <c r="G19" s="12">
        <v>1</v>
      </c>
      <c r="H19" s="13">
        <v>24</v>
      </c>
      <c r="I19" s="7">
        <v>20000</v>
      </c>
      <c r="J19" s="14">
        <v>5524</v>
      </c>
      <c r="K19" s="15">
        <f>L19</f>
        <v>5524</v>
      </c>
      <c r="L19" s="15">
        <f>1033+4491</f>
        <v>5524</v>
      </c>
      <c r="M19" s="15">
        <f t="shared" ref="M19" si="26">L19-N19</f>
        <v>5524</v>
      </c>
      <c r="N19" s="15">
        <v>0</v>
      </c>
      <c r="O19" s="58">
        <f t="shared" ref="O19" si="27">IF(L19=0,"0",N19/L19)</f>
        <v>0</v>
      </c>
      <c r="P19" s="39">
        <f t="shared" ref="P19" si="28">IF(L19=0,"0",(24-Q19))</f>
        <v>15</v>
      </c>
      <c r="Q19" s="40">
        <f t="shared" ref="Q19" si="29">SUM(R19:AA19)</f>
        <v>9</v>
      </c>
      <c r="R19" s="7"/>
      <c r="S19" s="6"/>
      <c r="T19" s="16">
        <v>9</v>
      </c>
      <c r="U19" s="16"/>
      <c r="V19" s="17"/>
      <c r="W19" s="5"/>
      <c r="X19" s="16"/>
      <c r="Y19" s="16"/>
      <c r="Z19" s="16"/>
      <c r="AA19" s="18"/>
      <c r="AB19" s="8">
        <f t="shared" ref="AB19" si="30">IF(J19=0,"0",(L19/J19))</f>
        <v>1</v>
      </c>
      <c r="AC19" s="9">
        <f t="shared" ref="AC19" si="31">IF(P19=0,"0",(P19/24))</f>
        <v>0.625</v>
      </c>
      <c r="AD19" s="10">
        <f t="shared" ref="AD19" si="32">AC19*AB19*(1-O19)</f>
        <v>0.625</v>
      </c>
      <c r="AE19" s="36">
        <f t="shared" si="7"/>
        <v>0.42291666666666672</v>
      </c>
      <c r="AF19" s="84">
        <f t="shared" ref="AF19" si="33">A19</f>
        <v>11</v>
      </c>
    </row>
    <row r="20" spans="1:32" ht="30" customHeight="1">
      <c r="A20" s="95">
        <v>12</v>
      </c>
      <c r="B20" s="11" t="s">
        <v>57</v>
      </c>
      <c r="C20" s="34" t="s">
        <v>118</v>
      </c>
      <c r="D20" s="52" t="s">
        <v>126</v>
      </c>
      <c r="E20" s="53" t="s">
        <v>227</v>
      </c>
      <c r="F20" s="30" t="s">
        <v>136</v>
      </c>
      <c r="G20" s="12">
        <v>1</v>
      </c>
      <c r="H20" s="13">
        <v>24</v>
      </c>
      <c r="I20" s="7">
        <v>22000</v>
      </c>
      <c r="J20" s="14">
        <v>1302</v>
      </c>
      <c r="K20" s="15">
        <f>L20+1302</f>
        <v>1302</v>
      </c>
      <c r="L20" s="15"/>
      <c r="M20" s="15">
        <f t="shared" si="9"/>
        <v>0</v>
      </c>
      <c r="N20" s="15">
        <v>0</v>
      </c>
      <c r="O20" s="58" t="str">
        <f t="shared" si="10"/>
        <v>0</v>
      </c>
      <c r="P20" s="39" t="str">
        <f t="shared" si="11"/>
        <v>0</v>
      </c>
      <c r="Q20" s="40">
        <f t="shared" si="12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13"/>
        <v>0</v>
      </c>
      <c r="AC20" s="9">
        <f t="shared" si="14"/>
        <v>0</v>
      </c>
      <c r="AD20" s="10">
        <f t="shared" si="15"/>
        <v>0</v>
      </c>
      <c r="AE20" s="36">
        <f t="shared" si="7"/>
        <v>0.42291666666666672</v>
      </c>
      <c r="AF20" s="84">
        <f t="shared" si="16"/>
        <v>12</v>
      </c>
    </row>
    <row r="21" spans="1:32" ht="27" customHeight="1">
      <c r="A21" s="96">
        <v>13</v>
      </c>
      <c r="B21" s="11" t="s">
        <v>57</v>
      </c>
      <c r="C21" s="11" t="s">
        <v>118</v>
      </c>
      <c r="D21" s="52" t="s">
        <v>115</v>
      </c>
      <c r="E21" s="53" t="s">
        <v>138</v>
      </c>
      <c r="F21" s="30" t="s">
        <v>127</v>
      </c>
      <c r="G21" s="33">
        <v>1</v>
      </c>
      <c r="H21" s="35">
        <v>24</v>
      </c>
      <c r="I21" s="7">
        <v>44000</v>
      </c>
      <c r="J21" s="14">
        <v>4471</v>
      </c>
      <c r="K21" s="15">
        <f>L21+4435+4652+2675</f>
        <v>16233</v>
      </c>
      <c r="L21" s="15">
        <f>1449+3022</f>
        <v>4471</v>
      </c>
      <c r="M21" s="15">
        <f t="shared" si="9"/>
        <v>4471</v>
      </c>
      <c r="N21" s="15">
        <v>0</v>
      </c>
      <c r="O21" s="58">
        <f t="shared" si="10"/>
        <v>0</v>
      </c>
      <c r="P21" s="39">
        <f t="shared" si="11"/>
        <v>21</v>
      </c>
      <c r="Q21" s="40">
        <f t="shared" si="12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13"/>
        <v>1</v>
      </c>
      <c r="AC21" s="9">
        <f t="shared" si="14"/>
        <v>0.875</v>
      </c>
      <c r="AD21" s="10">
        <f t="shared" si="15"/>
        <v>0.875</v>
      </c>
      <c r="AE21" s="36">
        <f t="shared" si="7"/>
        <v>0.42291666666666672</v>
      </c>
      <c r="AF21" s="84">
        <f t="shared" si="16"/>
        <v>13</v>
      </c>
    </row>
    <row r="22" spans="1:32" ht="27" customHeight="1">
      <c r="A22" s="96">
        <v>14</v>
      </c>
      <c r="B22" s="11" t="s">
        <v>57</v>
      </c>
      <c r="C22" s="11" t="s">
        <v>119</v>
      </c>
      <c r="D22" s="52" t="s">
        <v>115</v>
      </c>
      <c r="E22" s="53" t="s">
        <v>249</v>
      </c>
      <c r="F22" s="30" t="s">
        <v>152</v>
      </c>
      <c r="G22" s="33">
        <v>1</v>
      </c>
      <c r="H22" s="35">
        <v>24</v>
      </c>
      <c r="I22" s="7">
        <v>1000</v>
      </c>
      <c r="J22" s="14">
        <v>1550</v>
      </c>
      <c r="K22" s="15">
        <f>L22</f>
        <v>1550</v>
      </c>
      <c r="L22" s="15">
        <v>1550</v>
      </c>
      <c r="M22" s="15">
        <f t="shared" ref="M22" si="34">L22-N22</f>
        <v>1550</v>
      </c>
      <c r="N22" s="15">
        <v>0</v>
      </c>
      <c r="O22" s="58">
        <f t="shared" ref="O22" si="35">IF(L22=0,"0",N22/L22)</f>
        <v>0</v>
      </c>
      <c r="P22" s="39">
        <f t="shared" ref="P22" si="36">IF(L22=0,"0",(24-Q22))</f>
        <v>8</v>
      </c>
      <c r="Q22" s="40">
        <f t="shared" ref="Q22" si="37">SUM(R22:AA22)</f>
        <v>16</v>
      </c>
      <c r="R22" s="7"/>
      <c r="S22" s="6"/>
      <c r="T22" s="16"/>
      <c r="U22" s="16"/>
      <c r="V22" s="17"/>
      <c r="W22" s="5">
        <v>16</v>
      </c>
      <c r="X22" s="16"/>
      <c r="Y22" s="16"/>
      <c r="Z22" s="16"/>
      <c r="AA22" s="18"/>
      <c r="AB22" s="8">
        <f t="shared" ref="AB22" si="38">IF(J22=0,"0",(L22/J22))</f>
        <v>1</v>
      </c>
      <c r="AC22" s="9">
        <f t="shared" ref="AC22" si="39">IF(P22=0,"0",(P22/24))</f>
        <v>0.33333333333333331</v>
      </c>
      <c r="AD22" s="10">
        <f t="shared" ref="AD22" si="40">AC22*AB22*(1-O22)</f>
        <v>0.33333333333333331</v>
      </c>
      <c r="AE22" s="36">
        <f t="shared" si="7"/>
        <v>0.42291666666666672</v>
      </c>
      <c r="AF22" s="84">
        <f t="shared" ref="AF22" si="41">A22</f>
        <v>14</v>
      </c>
    </row>
    <row r="23" spans="1:32" ht="27" customHeight="1">
      <c r="A23" s="96">
        <v>14</v>
      </c>
      <c r="B23" s="11" t="s">
        <v>57</v>
      </c>
      <c r="C23" s="11" t="s">
        <v>119</v>
      </c>
      <c r="D23" s="52" t="s">
        <v>251</v>
      </c>
      <c r="E23" s="53" t="s">
        <v>250</v>
      </c>
      <c r="F23" s="30" t="s">
        <v>152</v>
      </c>
      <c r="G23" s="33">
        <v>1</v>
      </c>
      <c r="H23" s="35">
        <v>24</v>
      </c>
      <c r="I23" s="7">
        <v>1000</v>
      </c>
      <c r="J23" s="14">
        <v>1282</v>
      </c>
      <c r="K23" s="15">
        <f>L23</f>
        <v>1282</v>
      </c>
      <c r="L23" s="15">
        <f>295+987</f>
        <v>1282</v>
      </c>
      <c r="M23" s="15">
        <f t="shared" si="9"/>
        <v>1282</v>
      </c>
      <c r="N23" s="15">
        <v>0</v>
      </c>
      <c r="O23" s="58">
        <f t="shared" si="10"/>
        <v>0</v>
      </c>
      <c r="P23" s="39">
        <f t="shared" si="11"/>
        <v>7</v>
      </c>
      <c r="Q23" s="40">
        <f t="shared" si="12"/>
        <v>17</v>
      </c>
      <c r="R23" s="7"/>
      <c r="S23" s="6"/>
      <c r="T23" s="16"/>
      <c r="U23" s="16"/>
      <c r="V23" s="17"/>
      <c r="W23" s="5">
        <v>17</v>
      </c>
      <c r="X23" s="16"/>
      <c r="Y23" s="16"/>
      <c r="Z23" s="16"/>
      <c r="AA23" s="18"/>
      <c r="AB23" s="8">
        <f t="shared" si="13"/>
        <v>1</v>
      </c>
      <c r="AC23" s="9">
        <f t="shared" si="14"/>
        <v>0.29166666666666669</v>
      </c>
      <c r="AD23" s="10">
        <f t="shared" si="15"/>
        <v>0.29166666666666669</v>
      </c>
      <c r="AE23" s="36">
        <f t="shared" si="7"/>
        <v>0.42291666666666672</v>
      </c>
      <c r="AF23" s="84">
        <f t="shared" si="16"/>
        <v>14</v>
      </c>
    </row>
    <row r="24" spans="1:32" ht="27" customHeight="1">
      <c r="A24" s="96">
        <v>15</v>
      </c>
      <c r="B24" s="11" t="s">
        <v>57</v>
      </c>
      <c r="C24" s="34" t="s">
        <v>118</v>
      </c>
      <c r="D24" s="52" t="s">
        <v>115</v>
      </c>
      <c r="E24" s="53" t="s">
        <v>179</v>
      </c>
      <c r="F24" s="30" t="s">
        <v>174</v>
      </c>
      <c r="G24" s="12">
        <v>1</v>
      </c>
      <c r="H24" s="13">
        <v>28</v>
      </c>
      <c r="I24" s="31">
        <v>20000</v>
      </c>
      <c r="J24" s="5">
        <v>5548</v>
      </c>
      <c r="K24" s="15">
        <f>L24+2211+5318+5413</f>
        <v>18490</v>
      </c>
      <c r="L24" s="15">
        <f>2681+2732+135</f>
        <v>5548</v>
      </c>
      <c r="M24" s="15">
        <f t="shared" si="9"/>
        <v>5548</v>
      </c>
      <c r="N24" s="15">
        <v>0</v>
      </c>
      <c r="O24" s="58">
        <f t="shared" si="10"/>
        <v>0</v>
      </c>
      <c r="P24" s="39">
        <f t="shared" si="11"/>
        <v>24</v>
      </c>
      <c r="Q24" s="40">
        <f t="shared" si="12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13"/>
        <v>1</v>
      </c>
      <c r="AC24" s="9">
        <f t="shared" si="14"/>
        <v>1</v>
      </c>
      <c r="AD24" s="10">
        <f>AC24*AB24*(1-O24)</f>
        <v>1</v>
      </c>
      <c r="AE24" s="36">
        <f t="shared" si="7"/>
        <v>0.42291666666666672</v>
      </c>
      <c r="AF24" s="84">
        <f t="shared" si="16"/>
        <v>15</v>
      </c>
    </row>
    <row r="25" spans="1:32" ht="27" customHeight="1" thickBot="1">
      <c r="A25" s="96">
        <v>16</v>
      </c>
      <c r="B25" s="11" t="s">
        <v>57</v>
      </c>
      <c r="C25" s="11" t="s">
        <v>113</v>
      </c>
      <c r="D25" s="52"/>
      <c r="E25" s="53" t="s">
        <v>147</v>
      </c>
      <c r="F25" s="12" t="s">
        <v>114</v>
      </c>
      <c r="G25" s="12">
        <v>4</v>
      </c>
      <c r="H25" s="35">
        <v>20</v>
      </c>
      <c r="I25" s="7">
        <v>300000</v>
      </c>
      <c r="J25" s="14">
        <v>4004</v>
      </c>
      <c r="K25" s="15">
        <f>30816+34860+35212+34672+33032+29240+28664+35888+4004</f>
        <v>266388</v>
      </c>
      <c r="L25" s="15"/>
      <c r="M25" s="15">
        <f t="shared" si="9"/>
        <v>0</v>
      </c>
      <c r="N25" s="15">
        <v>0</v>
      </c>
      <c r="O25" s="58" t="str">
        <f t="shared" si="10"/>
        <v>0</v>
      </c>
      <c r="P25" s="39" t="str">
        <f t="shared" si="11"/>
        <v>0</v>
      </c>
      <c r="Q25" s="40">
        <f t="shared" si="12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13"/>
        <v>0</v>
      </c>
      <c r="AC25" s="9">
        <f t="shared" si="14"/>
        <v>0</v>
      </c>
      <c r="AD25" s="10">
        <f t="shared" si="15"/>
        <v>0</v>
      </c>
      <c r="AE25" s="36">
        <f t="shared" si="7"/>
        <v>0.42291666666666672</v>
      </c>
      <c r="AF25" s="84">
        <f t="shared" si="16"/>
        <v>16</v>
      </c>
    </row>
    <row r="26" spans="1:32" ht="31.5" customHeight="1" thickBot="1">
      <c r="A26" s="437" t="s">
        <v>34</v>
      </c>
      <c r="B26" s="438"/>
      <c r="C26" s="438"/>
      <c r="D26" s="438"/>
      <c r="E26" s="438"/>
      <c r="F26" s="438"/>
      <c r="G26" s="438"/>
      <c r="H26" s="439"/>
      <c r="I26" s="22">
        <f t="shared" ref="I26:N26" si="42">SUM(I6:I25)</f>
        <v>627450</v>
      </c>
      <c r="J26" s="19">
        <f t="shared" si="42"/>
        <v>66291</v>
      </c>
      <c r="K26" s="20">
        <f t="shared" si="42"/>
        <v>503686</v>
      </c>
      <c r="L26" s="21">
        <f t="shared" si="42"/>
        <v>46826</v>
      </c>
      <c r="M26" s="20">
        <f t="shared" si="42"/>
        <v>46826</v>
      </c>
      <c r="N26" s="21">
        <f t="shared" si="42"/>
        <v>0</v>
      </c>
      <c r="O26" s="41">
        <f t="shared" si="10"/>
        <v>0</v>
      </c>
      <c r="P26" s="42">
        <f t="shared" ref="P26:AA26" si="43">SUM(P6:P25)</f>
        <v>203</v>
      </c>
      <c r="Q26" s="43">
        <f t="shared" si="43"/>
        <v>277</v>
      </c>
      <c r="R26" s="23">
        <f t="shared" si="43"/>
        <v>24</v>
      </c>
      <c r="S26" s="24">
        <f t="shared" si="43"/>
        <v>3</v>
      </c>
      <c r="T26" s="24">
        <f t="shared" si="43"/>
        <v>38</v>
      </c>
      <c r="U26" s="24">
        <f t="shared" si="43"/>
        <v>0</v>
      </c>
      <c r="V26" s="25">
        <f t="shared" si="43"/>
        <v>53</v>
      </c>
      <c r="W26" s="26">
        <f t="shared" si="43"/>
        <v>159</v>
      </c>
      <c r="X26" s="27">
        <f t="shared" si="43"/>
        <v>0</v>
      </c>
      <c r="Y26" s="27">
        <f t="shared" si="43"/>
        <v>0</v>
      </c>
      <c r="Z26" s="27">
        <f t="shared" si="43"/>
        <v>0</v>
      </c>
      <c r="AA26" s="27">
        <f t="shared" si="43"/>
        <v>0</v>
      </c>
      <c r="AB26" s="28">
        <f>AVERAGE(AB6:AB25)</f>
        <v>0.7</v>
      </c>
      <c r="AC26" s="4">
        <f>AVERAGE(AC6:AC25)</f>
        <v>0.42291666666666672</v>
      </c>
      <c r="AD26" s="4">
        <f>AVERAGE(AD6:AD25)</f>
        <v>0.42291666666666672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5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440" t="s">
        <v>45</v>
      </c>
      <c r="B53" s="440"/>
      <c r="C53" s="440"/>
      <c r="D53" s="440"/>
      <c r="E53" s="440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441" t="s">
        <v>259</v>
      </c>
      <c r="B54" s="442"/>
      <c r="C54" s="442"/>
      <c r="D54" s="442"/>
      <c r="E54" s="442"/>
      <c r="F54" s="442"/>
      <c r="G54" s="442"/>
      <c r="H54" s="442"/>
      <c r="I54" s="442"/>
      <c r="J54" s="442"/>
      <c r="K54" s="442"/>
      <c r="L54" s="442"/>
      <c r="M54" s="443"/>
      <c r="N54" s="444" t="s">
        <v>261</v>
      </c>
      <c r="O54" s="445"/>
      <c r="P54" s="445"/>
      <c r="Q54" s="445"/>
      <c r="R54" s="445"/>
      <c r="S54" s="445"/>
      <c r="T54" s="445"/>
      <c r="U54" s="445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47" t="s">
        <v>2</v>
      </c>
      <c r="B55" s="448"/>
      <c r="C55" s="160" t="s">
        <v>46</v>
      </c>
      <c r="D55" s="160" t="s">
        <v>47</v>
      </c>
      <c r="E55" s="160" t="s">
        <v>107</v>
      </c>
      <c r="F55" s="449" t="s">
        <v>106</v>
      </c>
      <c r="G55" s="450"/>
      <c r="H55" s="450"/>
      <c r="I55" s="450"/>
      <c r="J55" s="450"/>
      <c r="K55" s="450"/>
      <c r="L55" s="450"/>
      <c r="M55" s="451"/>
      <c r="N55" s="67" t="s">
        <v>110</v>
      </c>
      <c r="O55" s="160" t="s">
        <v>46</v>
      </c>
      <c r="P55" s="449" t="s">
        <v>47</v>
      </c>
      <c r="Q55" s="452"/>
      <c r="R55" s="449" t="s">
        <v>38</v>
      </c>
      <c r="S55" s="450"/>
      <c r="T55" s="450"/>
      <c r="U55" s="452"/>
      <c r="V55" s="449" t="s">
        <v>48</v>
      </c>
      <c r="W55" s="450"/>
      <c r="X55" s="450"/>
      <c r="Y55" s="450"/>
      <c r="Z55" s="450"/>
      <c r="AA55" s="450"/>
      <c r="AB55" s="450"/>
      <c r="AC55" s="450"/>
      <c r="AD55" s="451"/>
    </row>
    <row r="56" spans="1:32" ht="27" customHeight="1">
      <c r="A56" s="430" t="s">
        <v>118</v>
      </c>
      <c r="B56" s="431"/>
      <c r="C56" s="161" t="s">
        <v>243</v>
      </c>
      <c r="D56" s="161" t="s">
        <v>126</v>
      </c>
      <c r="E56" s="163" t="s">
        <v>227</v>
      </c>
      <c r="F56" s="418" t="s">
        <v>244</v>
      </c>
      <c r="G56" s="419"/>
      <c r="H56" s="419"/>
      <c r="I56" s="419"/>
      <c r="J56" s="419"/>
      <c r="K56" s="419"/>
      <c r="L56" s="419"/>
      <c r="M56" s="420"/>
      <c r="N56" s="162" t="s">
        <v>118</v>
      </c>
      <c r="O56" s="168" t="s">
        <v>150</v>
      </c>
      <c r="P56" s="432" t="s">
        <v>115</v>
      </c>
      <c r="Q56" s="433"/>
      <c r="R56" s="417" t="s">
        <v>262</v>
      </c>
      <c r="S56" s="417"/>
      <c r="T56" s="417"/>
      <c r="U56" s="417"/>
      <c r="V56" s="405" t="s">
        <v>133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 t="s">
        <v>118</v>
      </c>
      <c r="B57" s="417"/>
      <c r="C57" s="163" t="s">
        <v>134</v>
      </c>
      <c r="D57" s="163" t="s">
        <v>115</v>
      </c>
      <c r="E57" s="163" t="s">
        <v>138</v>
      </c>
      <c r="F57" s="418" t="s">
        <v>129</v>
      </c>
      <c r="G57" s="419"/>
      <c r="H57" s="419"/>
      <c r="I57" s="419"/>
      <c r="J57" s="419"/>
      <c r="K57" s="419"/>
      <c r="L57" s="419"/>
      <c r="M57" s="420"/>
      <c r="N57" s="162" t="s">
        <v>112</v>
      </c>
      <c r="O57" s="168" t="s">
        <v>140</v>
      </c>
      <c r="P57" s="432" t="s">
        <v>155</v>
      </c>
      <c r="Q57" s="433"/>
      <c r="R57" s="432" t="s">
        <v>263</v>
      </c>
      <c r="S57" s="434"/>
      <c r="T57" s="434"/>
      <c r="U57" s="433"/>
      <c r="V57" s="405" t="s">
        <v>133</v>
      </c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 t="s">
        <v>119</v>
      </c>
      <c r="B58" s="431"/>
      <c r="C58" s="161" t="s">
        <v>143</v>
      </c>
      <c r="D58" s="161" t="s">
        <v>185</v>
      </c>
      <c r="E58" s="163" t="s">
        <v>242</v>
      </c>
      <c r="F58" s="418" t="s">
        <v>133</v>
      </c>
      <c r="G58" s="419"/>
      <c r="H58" s="419"/>
      <c r="I58" s="419"/>
      <c r="J58" s="419"/>
      <c r="K58" s="419"/>
      <c r="L58" s="419"/>
      <c r="M58" s="420"/>
      <c r="N58" s="162"/>
      <c r="O58" s="168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 t="s">
        <v>112</v>
      </c>
      <c r="B59" s="431"/>
      <c r="C59" s="161" t="s">
        <v>143</v>
      </c>
      <c r="D59" s="161" t="s">
        <v>256</v>
      </c>
      <c r="E59" s="163" t="s">
        <v>257</v>
      </c>
      <c r="F59" s="418" t="s">
        <v>133</v>
      </c>
      <c r="G59" s="419"/>
      <c r="H59" s="419"/>
      <c r="I59" s="419"/>
      <c r="J59" s="419"/>
      <c r="K59" s="419"/>
      <c r="L59" s="419"/>
      <c r="M59" s="420"/>
      <c r="N59" s="162"/>
      <c r="O59" s="168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 t="s">
        <v>118</v>
      </c>
      <c r="B60" s="417"/>
      <c r="C60" s="163" t="s">
        <v>150</v>
      </c>
      <c r="D60" s="163" t="s">
        <v>115</v>
      </c>
      <c r="E60" s="163" t="s">
        <v>245</v>
      </c>
      <c r="F60" s="418" t="s">
        <v>260</v>
      </c>
      <c r="G60" s="419"/>
      <c r="H60" s="419"/>
      <c r="I60" s="419"/>
      <c r="J60" s="419"/>
      <c r="K60" s="419"/>
      <c r="L60" s="419"/>
      <c r="M60" s="420"/>
      <c r="N60" s="162"/>
      <c r="O60" s="168"/>
      <c r="P60" s="432"/>
      <c r="Q60" s="433"/>
      <c r="R60" s="432"/>
      <c r="S60" s="434"/>
      <c r="T60" s="434"/>
      <c r="U60" s="433"/>
      <c r="V60" s="405"/>
      <c r="W60" s="405"/>
      <c r="X60" s="405"/>
      <c r="Y60" s="405"/>
      <c r="Z60" s="405"/>
      <c r="AA60" s="405"/>
      <c r="AB60" s="405"/>
      <c r="AC60" s="405"/>
      <c r="AD60" s="421"/>
    </row>
    <row r="61" spans="1:32" ht="27" customHeight="1">
      <c r="A61" s="416" t="s">
        <v>112</v>
      </c>
      <c r="B61" s="417"/>
      <c r="C61" s="163" t="s">
        <v>247</v>
      </c>
      <c r="D61" s="163" t="s">
        <v>248</v>
      </c>
      <c r="E61" s="163" t="s">
        <v>246</v>
      </c>
      <c r="F61" s="418" t="s">
        <v>133</v>
      </c>
      <c r="G61" s="419"/>
      <c r="H61" s="419"/>
      <c r="I61" s="419"/>
      <c r="J61" s="419"/>
      <c r="K61" s="419"/>
      <c r="L61" s="419"/>
      <c r="M61" s="420"/>
      <c r="N61" s="162"/>
      <c r="O61" s="168"/>
      <c r="P61" s="432"/>
      <c r="Q61" s="433"/>
      <c r="R61" s="432"/>
      <c r="S61" s="434"/>
      <c r="T61" s="434"/>
      <c r="U61" s="433"/>
      <c r="V61" s="405"/>
      <c r="W61" s="405"/>
      <c r="X61" s="405"/>
      <c r="Y61" s="405"/>
      <c r="Z61" s="405"/>
      <c r="AA61" s="405"/>
      <c r="AB61" s="405"/>
      <c r="AC61" s="405"/>
      <c r="AD61" s="421"/>
    </row>
    <row r="62" spans="1:32" ht="27" customHeight="1">
      <c r="A62" s="430" t="s">
        <v>119</v>
      </c>
      <c r="B62" s="431"/>
      <c r="C62" s="161" t="s">
        <v>140</v>
      </c>
      <c r="D62" s="161" t="s">
        <v>115</v>
      </c>
      <c r="E62" s="163" t="s">
        <v>249</v>
      </c>
      <c r="F62" s="418" t="s">
        <v>133</v>
      </c>
      <c r="G62" s="419"/>
      <c r="H62" s="419"/>
      <c r="I62" s="419"/>
      <c r="J62" s="419"/>
      <c r="K62" s="419"/>
      <c r="L62" s="419"/>
      <c r="M62" s="420"/>
      <c r="N62" s="162"/>
      <c r="O62" s="168"/>
      <c r="P62" s="432"/>
      <c r="Q62" s="433"/>
      <c r="R62" s="417"/>
      <c r="S62" s="417"/>
      <c r="T62" s="417"/>
      <c r="U62" s="417"/>
      <c r="V62" s="405"/>
      <c r="W62" s="405"/>
      <c r="X62" s="405"/>
      <c r="Y62" s="405"/>
      <c r="Z62" s="405"/>
      <c r="AA62" s="405"/>
      <c r="AB62" s="405"/>
      <c r="AC62" s="405"/>
      <c r="AD62" s="421"/>
    </row>
    <row r="63" spans="1:32" ht="27" customHeight="1">
      <c r="A63" s="430" t="s">
        <v>119</v>
      </c>
      <c r="B63" s="431"/>
      <c r="C63" s="161" t="s">
        <v>140</v>
      </c>
      <c r="D63" s="161" t="s">
        <v>251</v>
      </c>
      <c r="E63" s="163" t="s">
        <v>250</v>
      </c>
      <c r="F63" s="418" t="s">
        <v>133</v>
      </c>
      <c r="G63" s="419"/>
      <c r="H63" s="419"/>
      <c r="I63" s="419"/>
      <c r="J63" s="419"/>
      <c r="K63" s="419"/>
      <c r="L63" s="419"/>
      <c r="M63" s="420"/>
      <c r="N63" s="162"/>
      <c r="O63" s="168"/>
      <c r="P63" s="432"/>
      <c r="Q63" s="433"/>
      <c r="R63" s="417"/>
      <c r="S63" s="417"/>
      <c r="T63" s="417"/>
      <c r="U63" s="417"/>
      <c r="V63" s="405"/>
      <c r="W63" s="405"/>
      <c r="X63" s="405"/>
      <c r="Y63" s="405"/>
      <c r="Z63" s="405"/>
      <c r="AA63" s="405"/>
      <c r="AB63" s="405"/>
      <c r="AC63" s="405"/>
      <c r="AD63" s="421"/>
    </row>
    <row r="64" spans="1:32" ht="27" customHeight="1">
      <c r="A64" s="416"/>
      <c r="B64" s="417"/>
      <c r="C64" s="163"/>
      <c r="D64" s="163"/>
      <c r="E64" s="163"/>
      <c r="F64" s="418"/>
      <c r="G64" s="419"/>
      <c r="H64" s="419"/>
      <c r="I64" s="419"/>
      <c r="J64" s="419"/>
      <c r="K64" s="419"/>
      <c r="L64" s="419"/>
      <c r="M64" s="420"/>
      <c r="N64" s="162"/>
      <c r="O64" s="168"/>
      <c r="P64" s="417"/>
      <c r="Q64" s="417"/>
      <c r="R64" s="417"/>
      <c r="S64" s="417"/>
      <c r="T64" s="417"/>
      <c r="U64" s="417"/>
      <c r="V64" s="405"/>
      <c r="W64" s="405"/>
      <c r="X64" s="405"/>
      <c r="Y64" s="405"/>
      <c r="Z64" s="405"/>
      <c r="AA64" s="405"/>
      <c r="AB64" s="405"/>
      <c r="AC64" s="405"/>
      <c r="AD64" s="421"/>
      <c r="AF64" s="84">
        <f>8*3000</f>
        <v>24000</v>
      </c>
    </row>
    <row r="65" spans="1:32" ht="27" customHeight="1" thickBot="1">
      <c r="A65" s="422"/>
      <c r="B65" s="423"/>
      <c r="C65" s="164"/>
      <c r="D65" s="165"/>
      <c r="E65" s="165"/>
      <c r="F65" s="424"/>
      <c r="G65" s="425"/>
      <c r="H65" s="425"/>
      <c r="I65" s="425"/>
      <c r="J65" s="425"/>
      <c r="K65" s="425"/>
      <c r="L65" s="425"/>
      <c r="M65" s="426"/>
      <c r="N65" s="111"/>
      <c r="O65" s="103"/>
      <c r="P65" s="427"/>
      <c r="Q65" s="427"/>
      <c r="R65" s="427"/>
      <c r="S65" s="427"/>
      <c r="T65" s="427"/>
      <c r="U65" s="427"/>
      <c r="V65" s="428"/>
      <c r="W65" s="428"/>
      <c r="X65" s="428"/>
      <c r="Y65" s="428"/>
      <c r="Z65" s="428"/>
      <c r="AA65" s="428"/>
      <c r="AB65" s="428"/>
      <c r="AC65" s="428"/>
      <c r="AD65" s="429"/>
      <c r="AF65" s="84">
        <f>16*3000</f>
        <v>48000</v>
      </c>
    </row>
    <row r="66" spans="1:32" ht="27.75" thickBot="1">
      <c r="A66" s="414" t="s">
        <v>264</v>
      </c>
      <c r="B66" s="414"/>
      <c r="C66" s="414"/>
      <c r="D66" s="414"/>
      <c r="E66" s="414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4">
        <v>24000</v>
      </c>
    </row>
    <row r="67" spans="1:32" ht="29.25" customHeight="1" thickBot="1">
      <c r="A67" s="415" t="s">
        <v>111</v>
      </c>
      <c r="B67" s="412"/>
      <c r="C67" s="166" t="s">
        <v>2</v>
      </c>
      <c r="D67" s="166" t="s">
        <v>37</v>
      </c>
      <c r="E67" s="166" t="s">
        <v>3</v>
      </c>
      <c r="F67" s="412" t="s">
        <v>109</v>
      </c>
      <c r="G67" s="412"/>
      <c r="H67" s="412"/>
      <c r="I67" s="412"/>
      <c r="J67" s="412"/>
      <c r="K67" s="412" t="s">
        <v>39</v>
      </c>
      <c r="L67" s="412"/>
      <c r="M67" s="166" t="s">
        <v>40</v>
      </c>
      <c r="N67" s="412" t="s">
        <v>41</v>
      </c>
      <c r="O67" s="412"/>
      <c r="P67" s="409" t="s">
        <v>42</v>
      </c>
      <c r="Q67" s="411"/>
      <c r="R67" s="409" t="s">
        <v>43</v>
      </c>
      <c r="S67" s="410"/>
      <c r="T67" s="410"/>
      <c r="U67" s="410"/>
      <c r="V67" s="410"/>
      <c r="W67" s="410"/>
      <c r="X67" s="410"/>
      <c r="Y67" s="410"/>
      <c r="Z67" s="410"/>
      <c r="AA67" s="411"/>
      <c r="AB67" s="412" t="s">
        <v>44</v>
      </c>
      <c r="AC67" s="412"/>
      <c r="AD67" s="413"/>
      <c r="AF67" s="84">
        <f>SUM(AF64:AF66)</f>
        <v>96000</v>
      </c>
    </row>
    <row r="68" spans="1:32" ht="25.5" customHeight="1">
      <c r="A68" s="400">
        <v>1</v>
      </c>
      <c r="B68" s="401"/>
      <c r="C68" s="104" t="s">
        <v>118</v>
      </c>
      <c r="D68" s="170"/>
      <c r="E68" s="167" t="s">
        <v>126</v>
      </c>
      <c r="F68" s="406" t="s">
        <v>265</v>
      </c>
      <c r="G68" s="407"/>
      <c r="H68" s="407"/>
      <c r="I68" s="407"/>
      <c r="J68" s="408"/>
      <c r="K68" s="394" t="s">
        <v>130</v>
      </c>
      <c r="L68" s="394"/>
      <c r="M68" s="51" t="s">
        <v>151</v>
      </c>
      <c r="N68" s="403" t="s">
        <v>150</v>
      </c>
      <c r="O68" s="403"/>
      <c r="P68" s="404">
        <v>50</v>
      </c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2</v>
      </c>
      <c r="B69" s="401"/>
      <c r="C69" s="104"/>
      <c r="D69" s="170"/>
      <c r="E69" s="167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3</v>
      </c>
      <c r="B70" s="401"/>
      <c r="C70" s="104"/>
      <c r="D70" s="170"/>
      <c r="E70" s="167"/>
      <c r="F70" s="406"/>
      <c r="G70" s="407"/>
      <c r="H70" s="407"/>
      <c r="I70" s="407"/>
      <c r="J70" s="408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4</v>
      </c>
      <c r="B71" s="401"/>
      <c r="C71" s="104"/>
      <c r="D71" s="170"/>
      <c r="E71" s="167"/>
      <c r="F71" s="406"/>
      <c r="G71" s="407"/>
      <c r="H71" s="407"/>
      <c r="I71" s="407"/>
      <c r="J71" s="408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5</v>
      </c>
      <c r="B72" s="401"/>
      <c r="C72" s="104"/>
      <c r="D72" s="170"/>
      <c r="E72" s="167"/>
      <c r="F72" s="406"/>
      <c r="G72" s="407"/>
      <c r="H72" s="407"/>
      <c r="I72" s="407"/>
      <c r="J72" s="408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6</v>
      </c>
      <c r="B73" s="401"/>
      <c r="C73" s="104"/>
      <c r="D73" s="170"/>
      <c r="E73" s="167"/>
      <c r="F73" s="406"/>
      <c r="G73" s="407"/>
      <c r="H73" s="407"/>
      <c r="I73" s="407"/>
      <c r="J73" s="408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5.5" customHeight="1">
      <c r="A74" s="400">
        <v>7</v>
      </c>
      <c r="B74" s="401"/>
      <c r="C74" s="104"/>
      <c r="D74" s="170"/>
      <c r="E74" s="167"/>
      <c r="F74" s="402"/>
      <c r="G74" s="394"/>
      <c r="H74" s="394"/>
      <c r="I74" s="394"/>
      <c r="J74" s="394"/>
      <c r="K74" s="394"/>
      <c r="L74" s="394"/>
      <c r="M74" s="51"/>
      <c r="N74" s="403"/>
      <c r="O74" s="403"/>
      <c r="P74" s="404"/>
      <c r="Q74" s="404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394"/>
      <c r="AC74" s="394"/>
      <c r="AD74" s="395"/>
      <c r="AF74" s="50"/>
    </row>
    <row r="75" spans="1:32" ht="25.5" customHeight="1">
      <c r="A75" s="400">
        <v>8</v>
      </c>
      <c r="B75" s="401"/>
      <c r="C75" s="104"/>
      <c r="D75" s="170"/>
      <c r="E75" s="167"/>
      <c r="F75" s="402"/>
      <c r="G75" s="394"/>
      <c r="H75" s="394"/>
      <c r="I75" s="394"/>
      <c r="J75" s="394"/>
      <c r="K75" s="394"/>
      <c r="L75" s="394"/>
      <c r="M75" s="51"/>
      <c r="N75" s="403"/>
      <c r="O75" s="403"/>
      <c r="P75" s="404"/>
      <c r="Q75" s="404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394"/>
      <c r="AC75" s="394"/>
      <c r="AD75" s="395"/>
      <c r="AF75" s="50"/>
    </row>
    <row r="76" spans="1:32" ht="25.5" customHeight="1">
      <c r="A76" s="400">
        <v>9</v>
      </c>
      <c r="B76" s="401"/>
      <c r="C76" s="104"/>
      <c r="D76" s="170"/>
      <c r="E76" s="167"/>
      <c r="F76" s="402"/>
      <c r="G76" s="394"/>
      <c r="H76" s="394"/>
      <c r="I76" s="394"/>
      <c r="J76" s="394"/>
      <c r="K76" s="394"/>
      <c r="L76" s="394"/>
      <c r="M76" s="51"/>
      <c r="N76" s="403"/>
      <c r="O76" s="403"/>
      <c r="P76" s="404"/>
      <c r="Q76" s="404"/>
      <c r="R76" s="405"/>
      <c r="S76" s="405"/>
      <c r="T76" s="405"/>
      <c r="U76" s="405"/>
      <c r="V76" s="405"/>
      <c r="W76" s="405"/>
      <c r="X76" s="405"/>
      <c r="Y76" s="405"/>
      <c r="Z76" s="405"/>
      <c r="AA76" s="405"/>
      <c r="AB76" s="394"/>
      <c r="AC76" s="394"/>
      <c r="AD76" s="395"/>
      <c r="AF76" s="50"/>
    </row>
    <row r="77" spans="1:32" ht="25.5" customHeight="1">
      <c r="A77" s="400">
        <v>10</v>
      </c>
      <c r="B77" s="401"/>
      <c r="C77" s="104"/>
      <c r="D77" s="170"/>
      <c r="E77" s="167"/>
      <c r="F77" s="402"/>
      <c r="G77" s="394"/>
      <c r="H77" s="394"/>
      <c r="I77" s="394"/>
      <c r="J77" s="394"/>
      <c r="K77" s="394"/>
      <c r="L77" s="394"/>
      <c r="M77" s="51"/>
      <c r="N77" s="403"/>
      <c r="O77" s="403"/>
      <c r="P77" s="404"/>
      <c r="Q77" s="404"/>
      <c r="R77" s="405"/>
      <c r="S77" s="405"/>
      <c r="T77" s="405"/>
      <c r="U77" s="405"/>
      <c r="V77" s="405"/>
      <c r="W77" s="405"/>
      <c r="X77" s="405"/>
      <c r="Y77" s="405"/>
      <c r="Z77" s="405"/>
      <c r="AA77" s="405"/>
      <c r="AB77" s="394"/>
      <c r="AC77" s="394"/>
      <c r="AD77" s="395"/>
      <c r="AF77" s="50"/>
    </row>
    <row r="78" spans="1:32" ht="26.25" customHeight="1" thickBot="1">
      <c r="A78" s="374" t="s">
        <v>266</v>
      </c>
      <c r="B78" s="374"/>
      <c r="C78" s="374"/>
      <c r="D78" s="374"/>
      <c r="E78" s="374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F78" s="50"/>
    </row>
    <row r="79" spans="1:32" ht="23.25" thickBot="1">
      <c r="A79" s="375" t="s">
        <v>139</v>
      </c>
      <c r="B79" s="376"/>
      <c r="C79" s="169" t="s">
        <v>2</v>
      </c>
      <c r="D79" s="169" t="s">
        <v>37</v>
      </c>
      <c r="E79" s="169" t="s">
        <v>131</v>
      </c>
      <c r="F79" s="376" t="s">
        <v>38</v>
      </c>
      <c r="G79" s="376"/>
      <c r="H79" s="376"/>
      <c r="I79" s="376"/>
      <c r="J79" s="376"/>
      <c r="K79" s="396" t="s">
        <v>58</v>
      </c>
      <c r="L79" s="397"/>
      <c r="M79" s="397"/>
      <c r="N79" s="397"/>
      <c r="O79" s="397"/>
      <c r="P79" s="397"/>
      <c r="Q79" s="397"/>
      <c r="R79" s="397"/>
      <c r="S79" s="398"/>
      <c r="T79" s="376" t="s">
        <v>49</v>
      </c>
      <c r="U79" s="376"/>
      <c r="V79" s="396" t="s">
        <v>50</v>
      </c>
      <c r="W79" s="398"/>
      <c r="X79" s="397" t="s">
        <v>51</v>
      </c>
      <c r="Y79" s="397"/>
      <c r="Z79" s="397"/>
      <c r="AA79" s="397"/>
      <c r="AB79" s="397"/>
      <c r="AC79" s="397"/>
      <c r="AD79" s="399"/>
      <c r="AF79" s="50"/>
    </row>
    <row r="80" spans="1:32" ht="33.75" customHeight="1">
      <c r="A80" s="368">
        <v>1</v>
      </c>
      <c r="B80" s="369"/>
      <c r="C80" s="171" t="s">
        <v>112</v>
      </c>
      <c r="D80" s="171"/>
      <c r="E80" s="65" t="s">
        <v>117</v>
      </c>
      <c r="F80" s="383" t="s">
        <v>116</v>
      </c>
      <c r="G80" s="384"/>
      <c r="H80" s="384"/>
      <c r="I80" s="384"/>
      <c r="J80" s="385"/>
      <c r="K80" s="386" t="s">
        <v>120</v>
      </c>
      <c r="L80" s="387"/>
      <c r="M80" s="387"/>
      <c r="N80" s="387"/>
      <c r="O80" s="387"/>
      <c r="P80" s="387"/>
      <c r="Q80" s="387"/>
      <c r="R80" s="387"/>
      <c r="S80" s="388"/>
      <c r="T80" s="389">
        <v>43675</v>
      </c>
      <c r="U80" s="390"/>
      <c r="V80" s="391"/>
      <c r="W80" s="391"/>
      <c r="X80" s="392"/>
      <c r="Y80" s="392"/>
      <c r="Z80" s="392"/>
      <c r="AA80" s="392"/>
      <c r="AB80" s="392"/>
      <c r="AC80" s="392"/>
      <c r="AD80" s="393"/>
      <c r="AF80" s="50"/>
    </row>
    <row r="81" spans="1:32" ht="30" customHeight="1">
      <c r="A81" s="361">
        <f>A80+1</f>
        <v>2</v>
      </c>
      <c r="B81" s="362"/>
      <c r="C81" s="170"/>
      <c r="D81" s="170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ref="A82:A86" si="44">A81+1</f>
        <v>3</v>
      </c>
      <c r="B82" s="362"/>
      <c r="C82" s="170"/>
      <c r="D82" s="170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0" customHeight="1">
      <c r="A83" s="361">
        <f t="shared" si="44"/>
        <v>4</v>
      </c>
      <c r="B83" s="362"/>
      <c r="C83" s="170"/>
      <c r="D83" s="170"/>
      <c r="E83" s="32"/>
      <c r="F83" s="362"/>
      <c r="G83" s="362"/>
      <c r="H83" s="362"/>
      <c r="I83" s="362"/>
      <c r="J83" s="362"/>
      <c r="K83" s="377"/>
      <c r="L83" s="378"/>
      <c r="M83" s="378"/>
      <c r="N83" s="378"/>
      <c r="O83" s="378"/>
      <c r="P83" s="378"/>
      <c r="Q83" s="378"/>
      <c r="R83" s="378"/>
      <c r="S83" s="379"/>
      <c r="T83" s="380"/>
      <c r="U83" s="380"/>
      <c r="V83" s="380"/>
      <c r="W83" s="380"/>
      <c r="X83" s="381"/>
      <c r="Y83" s="381"/>
      <c r="Z83" s="381"/>
      <c r="AA83" s="381"/>
      <c r="AB83" s="381"/>
      <c r="AC83" s="381"/>
      <c r="AD83" s="382"/>
      <c r="AF83" s="50"/>
    </row>
    <row r="84" spans="1:32" ht="30" customHeight="1">
      <c r="A84" s="361">
        <f t="shared" si="44"/>
        <v>5</v>
      </c>
      <c r="B84" s="362"/>
      <c r="C84" s="170"/>
      <c r="D84" s="170"/>
      <c r="E84" s="32"/>
      <c r="F84" s="362"/>
      <c r="G84" s="362"/>
      <c r="H84" s="362"/>
      <c r="I84" s="362"/>
      <c r="J84" s="362"/>
      <c r="K84" s="377"/>
      <c r="L84" s="378"/>
      <c r="M84" s="378"/>
      <c r="N84" s="378"/>
      <c r="O84" s="378"/>
      <c r="P84" s="378"/>
      <c r="Q84" s="378"/>
      <c r="R84" s="378"/>
      <c r="S84" s="379"/>
      <c r="T84" s="380"/>
      <c r="U84" s="380"/>
      <c r="V84" s="380"/>
      <c r="W84" s="380"/>
      <c r="X84" s="381"/>
      <c r="Y84" s="381"/>
      <c r="Z84" s="381"/>
      <c r="AA84" s="381"/>
      <c r="AB84" s="381"/>
      <c r="AC84" s="381"/>
      <c r="AD84" s="382"/>
      <c r="AF84" s="50"/>
    </row>
    <row r="85" spans="1:32" ht="30" customHeight="1">
      <c r="A85" s="361">
        <f t="shared" si="44"/>
        <v>6</v>
      </c>
      <c r="B85" s="362"/>
      <c r="C85" s="170"/>
      <c r="D85" s="170"/>
      <c r="E85" s="32"/>
      <c r="F85" s="362"/>
      <c r="G85" s="362"/>
      <c r="H85" s="362"/>
      <c r="I85" s="362"/>
      <c r="J85" s="362"/>
      <c r="K85" s="377"/>
      <c r="L85" s="378"/>
      <c r="M85" s="378"/>
      <c r="N85" s="378"/>
      <c r="O85" s="378"/>
      <c r="P85" s="378"/>
      <c r="Q85" s="378"/>
      <c r="R85" s="378"/>
      <c r="S85" s="379"/>
      <c r="T85" s="380"/>
      <c r="U85" s="380"/>
      <c r="V85" s="380"/>
      <c r="W85" s="380"/>
      <c r="X85" s="381"/>
      <c r="Y85" s="381"/>
      <c r="Z85" s="381"/>
      <c r="AA85" s="381"/>
      <c r="AB85" s="381"/>
      <c r="AC85" s="381"/>
      <c r="AD85" s="382"/>
      <c r="AF85" s="50"/>
    </row>
    <row r="86" spans="1:32" ht="30" customHeight="1">
      <c r="A86" s="361">
        <f t="shared" si="44"/>
        <v>7</v>
      </c>
      <c r="B86" s="362"/>
      <c r="C86" s="170"/>
      <c r="D86" s="170"/>
      <c r="E86" s="32"/>
      <c r="F86" s="362"/>
      <c r="G86" s="362"/>
      <c r="H86" s="362"/>
      <c r="I86" s="362"/>
      <c r="J86" s="362"/>
      <c r="K86" s="377"/>
      <c r="L86" s="378"/>
      <c r="M86" s="378"/>
      <c r="N86" s="378"/>
      <c r="O86" s="378"/>
      <c r="P86" s="378"/>
      <c r="Q86" s="378"/>
      <c r="R86" s="378"/>
      <c r="S86" s="379"/>
      <c r="T86" s="380"/>
      <c r="U86" s="380"/>
      <c r="V86" s="380"/>
      <c r="W86" s="380"/>
      <c r="X86" s="381"/>
      <c r="Y86" s="381"/>
      <c r="Z86" s="381"/>
      <c r="AA86" s="381"/>
      <c r="AB86" s="381"/>
      <c r="AC86" s="381"/>
      <c r="AD86" s="382"/>
      <c r="AF86" s="50"/>
    </row>
    <row r="87" spans="1:32" ht="36" thickBot="1">
      <c r="A87" s="374" t="s">
        <v>267</v>
      </c>
      <c r="B87" s="374"/>
      <c r="C87" s="374"/>
      <c r="D87" s="374"/>
      <c r="E87" s="374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375" t="s">
        <v>111</v>
      </c>
      <c r="B88" s="376"/>
      <c r="C88" s="366" t="s">
        <v>52</v>
      </c>
      <c r="D88" s="366"/>
      <c r="E88" s="366" t="s">
        <v>53</v>
      </c>
      <c r="F88" s="366"/>
      <c r="G88" s="366"/>
      <c r="H88" s="366"/>
      <c r="I88" s="366"/>
      <c r="J88" s="366"/>
      <c r="K88" s="366" t="s">
        <v>54</v>
      </c>
      <c r="L88" s="366"/>
      <c r="M88" s="366"/>
      <c r="N88" s="366"/>
      <c r="O88" s="366"/>
      <c r="P88" s="366"/>
      <c r="Q88" s="366"/>
      <c r="R88" s="366"/>
      <c r="S88" s="366"/>
      <c r="T88" s="366" t="s">
        <v>55</v>
      </c>
      <c r="U88" s="366"/>
      <c r="V88" s="366" t="s">
        <v>56</v>
      </c>
      <c r="W88" s="366"/>
      <c r="X88" s="366"/>
      <c r="Y88" s="366" t="s">
        <v>51</v>
      </c>
      <c r="Z88" s="366"/>
      <c r="AA88" s="366"/>
      <c r="AB88" s="366"/>
      <c r="AC88" s="366"/>
      <c r="AD88" s="367"/>
      <c r="AF88" s="50"/>
    </row>
    <row r="89" spans="1:32" ht="30.75" customHeight="1">
      <c r="A89" s="368">
        <v>1</v>
      </c>
      <c r="B89" s="369"/>
      <c r="C89" s="370"/>
      <c r="D89" s="370"/>
      <c r="E89" s="370"/>
      <c r="F89" s="370"/>
      <c r="G89" s="370"/>
      <c r="H89" s="370"/>
      <c r="I89" s="370"/>
      <c r="J89" s="370"/>
      <c r="K89" s="370"/>
      <c r="L89" s="370"/>
      <c r="M89" s="370"/>
      <c r="N89" s="370"/>
      <c r="O89" s="370"/>
      <c r="P89" s="370"/>
      <c r="Q89" s="370"/>
      <c r="R89" s="370"/>
      <c r="S89" s="370"/>
      <c r="T89" s="370"/>
      <c r="U89" s="370"/>
      <c r="V89" s="371"/>
      <c r="W89" s="371"/>
      <c r="X89" s="371"/>
      <c r="Y89" s="372"/>
      <c r="Z89" s="372"/>
      <c r="AA89" s="372"/>
      <c r="AB89" s="372"/>
      <c r="AC89" s="372"/>
      <c r="AD89" s="373"/>
      <c r="AF89" s="50"/>
    </row>
    <row r="90" spans="1:32" ht="30.75" customHeight="1">
      <c r="A90" s="361">
        <v>2</v>
      </c>
      <c r="B90" s="362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4"/>
      <c r="U90" s="364"/>
      <c r="V90" s="365"/>
      <c r="W90" s="365"/>
      <c r="X90" s="365"/>
      <c r="Y90" s="354"/>
      <c r="Z90" s="354"/>
      <c r="AA90" s="354"/>
      <c r="AB90" s="354"/>
      <c r="AC90" s="354"/>
      <c r="AD90" s="355"/>
      <c r="AF90" s="50"/>
    </row>
    <row r="91" spans="1:32" ht="30.75" customHeight="1" thickBot="1">
      <c r="A91" s="356">
        <v>3</v>
      </c>
      <c r="B91" s="357"/>
      <c r="C91" s="358"/>
      <c r="D91" s="358"/>
      <c r="E91" s="358"/>
      <c r="F91" s="358"/>
      <c r="G91" s="358"/>
      <c r="H91" s="358"/>
      <c r="I91" s="358"/>
      <c r="J91" s="358"/>
      <c r="K91" s="358"/>
      <c r="L91" s="358"/>
      <c r="M91" s="358"/>
      <c r="N91" s="358"/>
      <c r="O91" s="358"/>
      <c r="P91" s="358"/>
      <c r="Q91" s="358"/>
      <c r="R91" s="358"/>
      <c r="S91" s="358"/>
      <c r="T91" s="358"/>
      <c r="U91" s="358"/>
      <c r="V91" s="358"/>
      <c r="W91" s="358"/>
      <c r="X91" s="358"/>
      <c r="Y91" s="359"/>
      <c r="Z91" s="359"/>
      <c r="AA91" s="359"/>
      <c r="AB91" s="359"/>
      <c r="AC91" s="359"/>
      <c r="AD91" s="360"/>
      <c r="AF91" s="50"/>
    </row>
  </sheetData>
  <mergeCells count="232"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B77:AD77"/>
    <mergeCell ref="A78:E78"/>
    <mergeCell ref="A79:B79"/>
    <mergeCell ref="F79:J79"/>
    <mergeCell ref="K79:S79"/>
    <mergeCell ref="T79:U79"/>
    <mergeCell ref="V79:W79"/>
    <mergeCell ref="X79:AD79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1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5BF2-AA11-4E3C-BA23-9AA40B8A3F93}">
  <dimension ref="A1:AF87"/>
  <sheetViews>
    <sheetView view="pageBreakPreview" topLeftCell="A28" zoomScale="70" zoomScaleNormal="72" zoomScaleSheetLayoutView="70" workbookViewId="0">
      <selection activeCell="F57" sqref="F57:M5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268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227</v>
      </c>
      <c r="F6" s="30" t="s">
        <v>136</v>
      </c>
      <c r="G6" s="12">
        <v>1</v>
      </c>
      <c r="H6" s="13">
        <v>24</v>
      </c>
      <c r="I6" s="7">
        <v>22000</v>
      </c>
      <c r="J6" s="14">
        <v>6831</v>
      </c>
      <c r="K6" s="15">
        <f>L6+1302+6328</f>
        <v>14461</v>
      </c>
      <c r="L6" s="15">
        <f>3484+3347</f>
        <v>6831</v>
      </c>
      <c r="M6" s="15">
        <f t="shared" ref="M6:M21" si="0">L6-N6</f>
        <v>6831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0.43229166666666669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209</v>
      </c>
      <c r="F7" s="12" t="s">
        <v>216</v>
      </c>
      <c r="G7" s="12">
        <v>1</v>
      </c>
      <c r="H7" s="13">
        <v>24</v>
      </c>
      <c r="I7" s="31">
        <v>500</v>
      </c>
      <c r="J7" s="14">
        <v>1211</v>
      </c>
      <c r="K7" s="15">
        <f>L7+1211</f>
        <v>1211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0.43229166666666669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4868</v>
      </c>
      <c r="K8" s="15">
        <f>L8+2455+3705+5517</f>
        <v>16545</v>
      </c>
      <c r="L8" s="15">
        <f>2733+2135</f>
        <v>4868</v>
      </c>
      <c r="M8" s="15">
        <f t="shared" si="0"/>
        <v>4868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0.43229166666666669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256</v>
      </c>
      <c r="E9" s="53" t="s">
        <v>257</v>
      </c>
      <c r="F9" s="30" t="s">
        <v>180</v>
      </c>
      <c r="G9" s="33">
        <v>1</v>
      </c>
      <c r="H9" s="35">
        <v>24</v>
      </c>
      <c r="I9" s="7">
        <v>2000</v>
      </c>
      <c r="J9" s="5">
        <v>2371</v>
      </c>
      <c r="K9" s="15">
        <f>L9+2371</f>
        <v>2371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ref="AD9:AD14" si="9">AC9*AB9*(1-O9)</f>
        <v>0</v>
      </c>
      <c r="AE9" s="36">
        <f t="shared" si="7"/>
        <v>0.43229166666666669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6633</v>
      </c>
      <c r="K10" s="15">
        <f>L10+5217+6628+5843+6693</f>
        <v>31014</v>
      </c>
      <c r="L10" s="15">
        <f>3384+3249</f>
        <v>6633</v>
      </c>
      <c r="M10" s="15">
        <f t="shared" si="0"/>
        <v>6633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9"/>
        <v>1</v>
      </c>
      <c r="AE10" s="36">
        <f t="shared" si="7"/>
        <v>0.43229166666666669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7560</v>
      </c>
      <c r="K11" s="15">
        <f>L11+10616+12082+7560</f>
        <v>30258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9"/>
        <v>0</v>
      </c>
      <c r="AE11" s="36">
        <f t="shared" si="7"/>
        <v>0.43229166666666669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3980</v>
      </c>
      <c r="K12" s="15">
        <f>L12</f>
        <v>3980</v>
      </c>
      <c r="L12" s="15">
        <f>1408+2572</f>
        <v>3980</v>
      </c>
      <c r="M12" s="15">
        <f t="shared" si="0"/>
        <v>3980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/>
      <c r="T12" s="16">
        <v>5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9"/>
        <v>0.79166666666666663</v>
      </c>
      <c r="AE12" s="36">
        <f t="shared" si="7"/>
        <v>0.43229166666666669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205</v>
      </c>
      <c r="F13" s="30" t="s">
        <v>130</v>
      </c>
      <c r="G13" s="12">
        <v>1</v>
      </c>
      <c r="H13" s="13">
        <v>28</v>
      </c>
      <c r="I13" s="31">
        <v>2300</v>
      </c>
      <c r="J13" s="5">
        <v>903</v>
      </c>
      <c r="K13" s="15">
        <f>L13+1439</f>
        <v>2342</v>
      </c>
      <c r="L13" s="15">
        <f>903</f>
        <v>903</v>
      </c>
      <c r="M13" s="15">
        <f t="shared" si="0"/>
        <v>903</v>
      </c>
      <c r="N13" s="15">
        <v>0</v>
      </c>
      <c r="O13" s="58">
        <f t="shared" si="1"/>
        <v>0</v>
      </c>
      <c r="P13" s="39">
        <f t="shared" si="2"/>
        <v>11</v>
      </c>
      <c r="Q13" s="40">
        <f t="shared" si="3"/>
        <v>13</v>
      </c>
      <c r="R13" s="7"/>
      <c r="S13" s="6"/>
      <c r="T13" s="16"/>
      <c r="U13" s="16"/>
      <c r="V13" s="17"/>
      <c r="W13" s="5">
        <v>13</v>
      </c>
      <c r="X13" s="16"/>
      <c r="Y13" s="16"/>
      <c r="Z13" s="16"/>
      <c r="AA13" s="18"/>
      <c r="AB13" s="8">
        <f t="shared" si="4"/>
        <v>1</v>
      </c>
      <c r="AC13" s="9">
        <f t="shared" si="5"/>
        <v>0.45833333333333331</v>
      </c>
      <c r="AD13" s="10">
        <f>AC13*AB13*(1-O13)</f>
        <v>0.45833333333333331</v>
      </c>
      <c r="AE13" s="36">
        <f t="shared" si="7"/>
        <v>0.43229166666666669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182</v>
      </c>
      <c r="D14" s="52" t="s">
        <v>115</v>
      </c>
      <c r="E14" s="53" t="s">
        <v>181</v>
      </c>
      <c r="F14" s="30" t="s">
        <v>173</v>
      </c>
      <c r="G14" s="33">
        <v>1</v>
      </c>
      <c r="H14" s="35">
        <v>60</v>
      </c>
      <c r="I14" s="7">
        <v>150</v>
      </c>
      <c r="J14" s="5">
        <v>308</v>
      </c>
      <c r="K14" s="15">
        <f>L14+308</f>
        <v>308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0.43229166666666669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142</v>
      </c>
      <c r="F15" s="12" t="s">
        <v>144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0.43229166666666669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248</v>
      </c>
      <c r="E16" s="53" t="s">
        <v>246</v>
      </c>
      <c r="F16" s="30" t="s">
        <v>258</v>
      </c>
      <c r="G16" s="12">
        <v>1</v>
      </c>
      <c r="H16" s="13">
        <v>24</v>
      </c>
      <c r="I16" s="7">
        <v>20000</v>
      </c>
      <c r="J16" s="14">
        <v>8733</v>
      </c>
      <c r="K16" s="15">
        <f>L16+5524</f>
        <v>14257</v>
      </c>
      <c r="L16" s="15">
        <f>4478+4255</f>
        <v>8733</v>
      </c>
      <c r="M16" s="15">
        <f t="shared" si="0"/>
        <v>8733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0.43229166666666669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227</v>
      </c>
      <c r="F17" s="30" t="s">
        <v>136</v>
      </c>
      <c r="G17" s="12">
        <v>1</v>
      </c>
      <c r="H17" s="13">
        <v>24</v>
      </c>
      <c r="I17" s="7">
        <v>22000</v>
      </c>
      <c r="J17" s="14">
        <v>1302</v>
      </c>
      <c r="K17" s="15">
        <f>L17+1302</f>
        <v>1302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0.43229166666666669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5923</v>
      </c>
      <c r="K18" s="15">
        <f>L18+4435+4652+2675+4471</f>
        <v>22156</v>
      </c>
      <c r="L18" s="15">
        <f>3017+2906</f>
        <v>5923</v>
      </c>
      <c r="M18" s="15">
        <f t="shared" si="0"/>
        <v>5923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0.43229166666666669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3970</v>
      </c>
      <c r="K19" s="15">
        <f>L19</f>
        <v>3970</v>
      </c>
      <c r="L19" s="15">
        <f>1125+2845</f>
        <v>3970</v>
      </c>
      <c r="M19" s="15">
        <f t="shared" si="0"/>
        <v>3970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/>
      <c r="T19" s="16">
        <v>5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0.43229166666666669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115</v>
      </c>
      <c r="E20" s="53" t="s">
        <v>179</v>
      </c>
      <c r="F20" s="30" t="s">
        <v>174</v>
      </c>
      <c r="G20" s="12">
        <v>1</v>
      </c>
      <c r="H20" s="13">
        <v>28</v>
      </c>
      <c r="I20" s="31">
        <v>20000</v>
      </c>
      <c r="J20" s="5">
        <v>5548</v>
      </c>
      <c r="K20" s="15">
        <f>L20+2211+5318+5413+5548</f>
        <v>18490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0.43229166666666669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0.43229166666666669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0">SUM(I6:I21)</f>
        <v>626950</v>
      </c>
      <c r="J22" s="19">
        <f t="shared" si="10"/>
        <v>69225</v>
      </c>
      <c r="K22" s="20">
        <f t="shared" si="10"/>
        <v>462433</v>
      </c>
      <c r="L22" s="21">
        <f t="shared" si="10"/>
        <v>41841</v>
      </c>
      <c r="M22" s="20">
        <f t="shared" si="10"/>
        <v>41841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166</v>
      </c>
      <c r="Q22" s="43">
        <f t="shared" si="11"/>
        <v>194</v>
      </c>
      <c r="R22" s="23">
        <f t="shared" si="11"/>
        <v>24</v>
      </c>
      <c r="S22" s="24">
        <f t="shared" si="11"/>
        <v>3</v>
      </c>
      <c r="T22" s="24">
        <f t="shared" si="11"/>
        <v>10</v>
      </c>
      <c r="U22" s="24">
        <f t="shared" si="11"/>
        <v>0</v>
      </c>
      <c r="V22" s="25">
        <f t="shared" si="11"/>
        <v>48</v>
      </c>
      <c r="W22" s="26">
        <f t="shared" si="11"/>
        <v>109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0</v>
      </c>
      <c r="AB22" s="28">
        <f>AVERAGE(AB6:AB21)</f>
        <v>0.5</v>
      </c>
      <c r="AC22" s="4">
        <f>AVERAGE(AC6:AC21)</f>
        <v>0.43229166666666669</v>
      </c>
      <c r="AD22" s="4">
        <f>AVERAGE(AD6:AD21)</f>
        <v>0.43229166666666669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270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272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60" t="s">
        <v>46</v>
      </c>
      <c r="D51" s="160" t="s">
        <v>47</v>
      </c>
      <c r="E51" s="160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160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121</v>
      </c>
      <c r="B52" s="431"/>
      <c r="C52" s="161" t="s">
        <v>177</v>
      </c>
      <c r="D52" s="161" t="s">
        <v>115</v>
      </c>
      <c r="E52" s="163" t="s">
        <v>218</v>
      </c>
      <c r="F52" s="418" t="s">
        <v>239</v>
      </c>
      <c r="G52" s="419"/>
      <c r="H52" s="419"/>
      <c r="I52" s="419"/>
      <c r="J52" s="419"/>
      <c r="K52" s="419"/>
      <c r="L52" s="419"/>
      <c r="M52" s="420"/>
      <c r="N52" s="162"/>
      <c r="O52" s="168"/>
      <c r="P52" s="432"/>
      <c r="Q52" s="433"/>
      <c r="R52" s="417"/>
      <c r="S52" s="417"/>
      <c r="T52" s="417"/>
      <c r="U52" s="417"/>
      <c r="V52" s="405"/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16" t="s">
        <v>118</v>
      </c>
      <c r="B53" s="417"/>
      <c r="C53" s="163" t="s">
        <v>150</v>
      </c>
      <c r="D53" s="163" t="s">
        <v>115</v>
      </c>
      <c r="E53" s="163" t="s">
        <v>262</v>
      </c>
      <c r="F53" s="418" t="s">
        <v>133</v>
      </c>
      <c r="G53" s="419"/>
      <c r="H53" s="419"/>
      <c r="I53" s="419"/>
      <c r="J53" s="419"/>
      <c r="K53" s="419"/>
      <c r="L53" s="419"/>
      <c r="M53" s="420"/>
      <c r="N53" s="162"/>
      <c r="O53" s="168"/>
      <c r="P53" s="432"/>
      <c r="Q53" s="433"/>
      <c r="R53" s="432"/>
      <c r="S53" s="434"/>
      <c r="T53" s="434"/>
      <c r="U53" s="433"/>
      <c r="V53" s="405"/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112</v>
      </c>
      <c r="B54" s="431"/>
      <c r="C54" s="161" t="s">
        <v>140</v>
      </c>
      <c r="D54" s="161" t="s">
        <v>155</v>
      </c>
      <c r="E54" s="163" t="s">
        <v>263</v>
      </c>
      <c r="F54" s="418" t="s">
        <v>271</v>
      </c>
      <c r="G54" s="419"/>
      <c r="H54" s="419"/>
      <c r="I54" s="419"/>
      <c r="J54" s="419"/>
      <c r="K54" s="419"/>
      <c r="L54" s="419"/>
      <c r="M54" s="420"/>
      <c r="N54" s="162"/>
      <c r="O54" s="168"/>
      <c r="P54" s="432"/>
      <c r="Q54" s="433"/>
      <c r="R54" s="432"/>
      <c r="S54" s="434"/>
      <c r="T54" s="434"/>
      <c r="U54" s="433"/>
      <c r="V54" s="405"/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/>
      <c r="B55" s="431"/>
      <c r="C55" s="161"/>
      <c r="D55" s="161"/>
      <c r="E55" s="163"/>
      <c r="F55" s="418"/>
      <c r="G55" s="419"/>
      <c r="H55" s="419"/>
      <c r="I55" s="419"/>
      <c r="J55" s="419"/>
      <c r="K55" s="419"/>
      <c r="L55" s="419"/>
      <c r="M55" s="420"/>
      <c r="N55" s="162"/>
      <c r="O55" s="168"/>
      <c r="P55" s="432"/>
      <c r="Q55" s="433"/>
      <c r="R55" s="417"/>
      <c r="S55" s="417"/>
      <c r="T55" s="417"/>
      <c r="U55" s="417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/>
      <c r="B56" s="417"/>
      <c r="C56" s="163"/>
      <c r="D56" s="163"/>
      <c r="E56" s="163"/>
      <c r="F56" s="418"/>
      <c r="G56" s="419"/>
      <c r="H56" s="419"/>
      <c r="I56" s="419"/>
      <c r="J56" s="419"/>
      <c r="K56" s="419"/>
      <c r="L56" s="419"/>
      <c r="M56" s="420"/>
      <c r="N56" s="162"/>
      <c r="O56" s="168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163"/>
      <c r="D57" s="163"/>
      <c r="E57" s="163"/>
      <c r="F57" s="418"/>
      <c r="G57" s="419"/>
      <c r="H57" s="419"/>
      <c r="I57" s="419"/>
      <c r="J57" s="419"/>
      <c r="K57" s="419"/>
      <c r="L57" s="419"/>
      <c r="M57" s="420"/>
      <c r="N57" s="162"/>
      <c r="O57" s="168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161"/>
      <c r="D58" s="161"/>
      <c r="E58" s="163"/>
      <c r="F58" s="418"/>
      <c r="G58" s="419"/>
      <c r="H58" s="419"/>
      <c r="I58" s="419"/>
      <c r="J58" s="419"/>
      <c r="K58" s="419"/>
      <c r="L58" s="419"/>
      <c r="M58" s="420"/>
      <c r="N58" s="162"/>
      <c r="O58" s="168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161"/>
      <c r="D59" s="161"/>
      <c r="E59" s="163"/>
      <c r="F59" s="418"/>
      <c r="G59" s="419"/>
      <c r="H59" s="419"/>
      <c r="I59" s="419"/>
      <c r="J59" s="419"/>
      <c r="K59" s="419"/>
      <c r="L59" s="419"/>
      <c r="M59" s="420"/>
      <c r="N59" s="162"/>
      <c r="O59" s="168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163"/>
      <c r="D60" s="163"/>
      <c r="E60" s="163"/>
      <c r="F60" s="418"/>
      <c r="G60" s="419"/>
      <c r="H60" s="419"/>
      <c r="I60" s="419"/>
      <c r="J60" s="419"/>
      <c r="K60" s="419"/>
      <c r="L60" s="419"/>
      <c r="M60" s="420"/>
      <c r="N60" s="162"/>
      <c r="O60" s="168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164"/>
      <c r="D61" s="165"/>
      <c r="E61" s="165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273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166" t="s">
        <v>2</v>
      </c>
      <c r="D63" s="166" t="s">
        <v>37</v>
      </c>
      <c r="E63" s="166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166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170"/>
      <c r="E64" s="167" t="s">
        <v>128</v>
      </c>
      <c r="F64" s="406" t="s">
        <v>274</v>
      </c>
      <c r="G64" s="407"/>
      <c r="H64" s="407"/>
      <c r="I64" s="407"/>
      <c r="J64" s="408"/>
      <c r="K64" s="394" t="s">
        <v>122</v>
      </c>
      <c r="L64" s="394"/>
      <c r="M64" s="51" t="s">
        <v>151</v>
      </c>
      <c r="N64" s="403" t="s">
        <v>143</v>
      </c>
      <c r="O64" s="403"/>
      <c r="P64" s="404">
        <v>200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118</v>
      </c>
      <c r="D65" s="170"/>
      <c r="E65" s="167" t="s">
        <v>128</v>
      </c>
      <c r="F65" s="406" t="s">
        <v>275</v>
      </c>
      <c r="G65" s="407"/>
      <c r="H65" s="407"/>
      <c r="I65" s="407"/>
      <c r="J65" s="408"/>
      <c r="K65" s="394" t="s">
        <v>276</v>
      </c>
      <c r="L65" s="394"/>
      <c r="M65" s="51" t="s">
        <v>151</v>
      </c>
      <c r="N65" s="403" t="s">
        <v>143</v>
      </c>
      <c r="O65" s="403"/>
      <c r="P65" s="404">
        <v>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170"/>
      <c r="E66" s="167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170"/>
      <c r="E67" s="167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170"/>
      <c r="E68" s="167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170"/>
      <c r="E69" s="167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170"/>
      <c r="E70" s="167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170"/>
      <c r="E71" s="167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170"/>
      <c r="E72" s="167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170"/>
      <c r="E73" s="167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277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169" t="s">
        <v>2</v>
      </c>
      <c r="D75" s="169" t="s">
        <v>37</v>
      </c>
      <c r="E75" s="169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171" t="s">
        <v>112</v>
      </c>
      <c r="D76" s="171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43675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170"/>
      <c r="D77" s="170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2">A77+1</f>
        <v>3</v>
      </c>
      <c r="B78" s="362"/>
      <c r="C78" s="170"/>
      <c r="D78" s="170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2"/>
        <v>4</v>
      </c>
      <c r="B79" s="362"/>
      <c r="C79" s="170"/>
      <c r="D79" s="170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2"/>
        <v>5</v>
      </c>
      <c r="B80" s="362"/>
      <c r="C80" s="170"/>
      <c r="D80" s="170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2"/>
        <v>6</v>
      </c>
      <c r="B81" s="362"/>
      <c r="C81" s="170"/>
      <c r="D81" s="170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2"/>
        <v>7</v>
      </c>
      <c r="B82" s="362"/>
      <c r="C82" s="170"/>
      <c r="D82" s="170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278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866D-6904-4935-AEF3-7BBF924C5379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279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227</v>
      </c>
      <c r="F6" s="30" t="s">
        <v>136</v>
      </c>
      <c r="G6" s="12">
        <v>1</v>
      </c>
      <c r="H6" s="13">
        <v>24</v>
      </c>
      <c r="I6" s="7">
        <v>22000</v>
      </c>
      <c r="J6" s="14">
        <v>6926</v>
      </c>
      <c r="K6" s="15">
        <f>L6+1302+6328+6831</f>
        <v>21387</v>
      </c>
      <c r="L6" s="15">
        <f>3580+3346</f>
        <v>6926</v>
      </c>
      <c r="M6" s="15">
        <f t="shared" ref="M6:M21" si="0">L6-N6</f>
        <v>6926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0.38020833333333331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209</v>
      </c>
      <c r="F7" s="12" t="s">
        <v>216</v>
      </c>
      <c r="G7" s="12">
        <v>1</v>
      </c>
      <c r="H7" s="13">
        <v>24</v>
      </c>
      <c r="I7" s="31">
        <v>500</v>
      </c>
      <c r="J7" s="14">
        <v>1211</v>
      </c>
      <c r="K7" s="15">
        <f>L7+1211</f>
        <v>1211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0.38020833333333331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5495</v>
      </c>
      <c r="K8" s="15">
        <f>L8+2455+3705+5517+4868</f>
        <v>22040</v>
      </c>
      <c r="L8" s="15">
        <f>2830+2665</f>
        <v>5495</v>
      </c>
      <c r="M8" s="15">
        <f t="shared" si="0"/>
        <v>5495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0.38020833333333331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256</v>
      </c>
      <c r="E9" s="53" t="s">
        <v>257</v>
      </c>
      <c r="F9" s="30" t="s">
        <v>180</v>
      </c>
      <c r="G9" s="33">
        <v>1</v>
      </c>
      <c r="H9" s="35">
        <v>24</v>
      </c>
      <c r="I9" s="7">
        <v>2000</v>
      </c>
      <c r="J9" s="5">
        <v>2371</v>
      </c>
      <c r="K9" s="15">
        <f>L9+2371</f>
        <v>2371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0.38020833333333331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6764</v>
      </c>
      <c r="K10" s="15">
        <f>L10+5217+6628+5843+6693+6633</f>
        <v>37778</v>
      </c>
      <c r="L10" s="15">
        <f>3517+3247</f>
        <v>6764</v>
      </c>
      <c r="M10" s="15">
        <f t="shared" si="0"/>
        <v>6764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0.38020833333333331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7560</v>
      </c>
      <c r="K11" s="15">
        <f>L11+10616+12082+7560</f>
        <v>30258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0.38020833333333331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4963</v>
      </c>
      <c r="K12" s="15">
        <f>L12+3980</f>
        <v>8943</v>
      </c>
      <c r="L12" s="15">
        <f>2500+2463</f>
        <v>4963</v>
      </c>
      <c r="M12" s="15">
        <f t="shared" si="0"/>
        <v>4963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0.38020833333333331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205</v>
      </c>
      <c r="F13" s="30" t="s">
        <v>130</v>
      </c>
      <c r="G13" s="12">
        <v>1</v>
      </c>
      <c r="H13" s="13">
        <v>28</v>
      </c>
      <c r="I13" s="31">
        <v>2300</v>
      </c>
      <c r="J13" s="5">
        <v>903</v>
      </c>
      <c r="K13" s="15">
        <f>L13+1439+903</f>
        <v>2342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0.38020833333333331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182</v>
      </c>
      <c r="D14" s="52" t="s">
        <v>115</v>
      </c>
      <c r="E14" s="53" t="s">
        <v>181</v>
      </c>
      <c r="F14" s="30" t="s">
        <v>173</v>
      </c>
      <c r="G14" s="33">
        <v>1</v>
      </c>
      <c r="H14" s="35">
        <v>60</v>
      </c>
      <c r="I14" s="7">
        <v>150</v>
      </c>
      <c r="J14" s="5">
        <v>308</v>
      </c>
      <c r="K14" s="15">
        <f>L14+308</f>
        <v>308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0.38020833333333331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142</v>
      </c>
      <c r="F15" s="12" t="s">
        <v>144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0.38020833333333331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248</v>
      </c>
      <c r="E16" s="53" t="s">
        <v>246</v>
      </c>
      <c r="F16" s="30" t="s">
        <v>258</v>
      </c>
      <c r="G16" s="12">
        <v>1</v>
      </c>
      <c r="H16" s="13">
        <v>24</v>
      </c>
      <c r="I16" s="7">
        <v>20000</v>
      </c>
      <c r="J16" s="14">
        <v>8095</v>
      </c>
      <c r="K16" s="15">
        <f>L16+5524+8733</f>
        <v>22352</v>
      </c>
      <c r="L16" s="15">
        <f>3813+4282</f>
        <v>8095</v>
      </c>
      <c r="M16" s="15">
        <f t="shared" si="0"/>
        <v>8095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0.38020833333333331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227</v>
      </c>
      <c r="F17" s="30" t="s">
        <v>136</v>
      </c>
      <c r="G17" s="12">
        <v>1</v>
      </c>
      <c r="H17" s="13">
        <v>24</v>
      </c>
      <c r="I17" s="7">
        <v>22000</v>
      </c>
      <c r="J17" s="14">
        <v>1302</v>
      </c>
      <c r="K17" s="15">
        <f>L17+1302</f>
        <v>1302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0.38020833333333331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1193</v>
      </c>
      <c r="K18" s="15">
        <f>L18+4435+4652+2675+4471+5923</f>
        <v>23349</v>
      </c>
      <c r="L18" s="15">
        <v>1193</v>
      </c>
      <c r="M18" s="15">
        <f t="shared" si="0"/>
        <v>1193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>
        <v>18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0.38020833333333331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4360</v>
      </c>
      <c r="K19" s="15">
        <f>L19+3970</f>
        <v>8330</v>
      </c>
      <c r="L19" s="15">
        <f>2727+1633</f>
        <v>4360</v>
      </c>
      <c r="M19" s="15">
        <f t="shared" si="0"/>
        <v>4360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0.38020833333333331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115</v>
      </c>
      <c r="E20" s="53" t="s">
        <v>179</v>
      </c>
      <c r="F20" s="30" t="s">
        <v>174</v>
      </c>
      <c r="G20" s="12">
        <v>1</v>
      </c>
      <c r="H20" s="13">
        <v>28</v>
      </c>
      <c r="I20" s="31">
        <v>20000</v>
      </c>
      <c r="J20" s="5">
        <v>5548</v>
      </c>
      <c r="K20" s="15">
        <f>L20+2211+5318+5413+5548</f>
        <v>18490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0.38020833333333331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0.38020833333333331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626950</v>
      </c>
      <c r="J22" s="19">
        <f t="shared" si="9"/>
        <v>66083</v>
      </c>
      <c r="K22" s="20">
        <f t="shared" si="9"/>
        <v>500229</v>
      </c>
      <c r="L22" s="21">
        <f t="shared" si="9"/>
        <v>37796</v>
      </c>
      <c r="M22" s="20">
        <f t="shared" si="9"/>
        <v>37796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146</v>
      </c>
      <c r="Q22" s="43">
        <f t="shared" si="10"/>
        <v>238</v>
      </c>
      <c r="R22" s="23">
        <f t="shared" si="10"/>
        <v>24</v>
      </c>
      <c r="S22" s="24">
        <f t="shared" si="10"/>
        <v>22</v>
      </c>
      <c r="T22" s="24">
        <f t="shared" si="10"/>
        <v>0</v>
      </c>
      <c r="U22" s="24">
        <f t="shared" si="10"/>
        <v>0</v>
      </c>
      <c r="V22" s="25">
        <f t="shared" si="10"/>
        <v>48</v>
      </c>
      <c r="W22" s="26">
        <f t="shared" si="10"/>
        <v>144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0.4375</v>
      </c>
      <c r="AC22" s="4">
        <f>AVERAGE(AC6:AC21)</f>
        <v>0.38020833333333331</v>
      </c>
      <c r="AD22" s="4">
        <f>AVERAGE(AD6:AD21)</f>
        <v>0.38020833333333331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280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282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60" t="s">
        <v>46</v>
      </c>
      <c r="D51" s="160" t="s">
        <v>47</v>
      </c>
      <c r="E51" s="160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160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112</v>
      </c>
      <c r="B52" s="431"/>
      <c r="C52" s="161" t="s">
        <v>140</v>
      </c>
      <c r="D52" s="161" t="s">
        <v>155</v>
      </c>
      <c r="E52" s="163" t="s">
        <v>263</v>
      </c>
      <c r="F52" s="418" t="s">
        <v>281</v>
      </c>
      <c r="G52" s="419"/>
      <c r="H52" s="419"/>
      <c r="I52" s="419"/>
      <c r="J52" s="419"/>
      <c r="K52" s="419"/>
      <c r="L52" s="419"/>
      <c r="M52" s="420"/>
      <c r="N52" s="162" t="s">
        <v>118</v>
      </c>
      <c r="O52" s="168" t="s">
        <v>132</v>
      </c>
      <c r="P52" s="432" t="s">
        <v>126</v>
      </c>
      <c r="Q52" s="433"/>
      <c r="R52" s="417" t="s">
        <v>191</v>
      </c>
      <c r="S52" s="417"/>
      <c r="T52" s="417"/>
      <c r="U52" s="417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16" t="s">
        <v>118</v>
      </c>
      <c r="B53" s="417"/>
      <c r="C53" s="163" t="s">
        <v>134</v>
      </c>
      <c r="D53" s="163" t="s">
        <v>115</v>
      </c>
      <c r="E53" s="163" t="s">
        <v>138</v>
      </c>
      <c r="F53" s="418" t="s">
        <v>197</v>
      </c>
      <c r="G53" s="419"/>
      <c r="H53" s="419"/>
      <c r="I53" s="419"/>
      <c r="J53" s="419"/>
      <c r="K53" s="419"/>
      <c r="L53" s="419"/>
      <c r="M53" s="420"/>
      <c r="N53" s="162" t="s">
        <v>118</v>
      </c>
      <c r="O53" s="168" t="s">
        <v>134</v>
      </c>
      <c r="P53" s="432" t="s">
        <v>115</v>
      </c>
      <c r="Q53" s="433"/>
      <c r="R53" s="432" t="s">
        <v>138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/>
      <c r="B54" s="431"/>
      <c r="C54" s="161"/>
      <c r="D54" s="161"/>
      <c r="E54" s="163"/>
      <c r="F54" s="418"/>
      <c r="G54" s="419"/>
      <c r="H54" s="419"/>
      <c r="I54" s="419"/>
      <c r="J54" s="419"/>
      <c r="K54" s="419"/>
      <c r="L54" s="419"/>
      <c r="M54" s="420"/>
      <c r="N54" s="162"/>
      <c r="O54" s="168"/>
      <c r="P54" s="432"/>
      <c r="Q54" s="433"/>
      <c r="R54" s="432"/>
      <c r="S54" s="434"/>
      <c r="T54" s="434"/>
      <c r="U54" s="433"/>
      <c r="V54" s="405"/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/>
      <c r="B55" s="431"/>
      <c r="C55" s="161"/>
      <c r="D55" s="161"/>
      <c r="E55" s="163"/>
      <c r="F55" s="418"/>
      <c r="G55" s="419"/>
      <c r="H55" s="419"/>
      <c r="I55" s="419"/>
      <c r="J55" s="419"/>
      <c r="K55" s="419"/>
      <c r="L55" s="419"/>
      <c r="M55" s="420"/>
      <c r="N55" s="162"/>
      <c r="O55" s="168"/>
      <c r="P55" s="432"/>
      <c r="Q55" s="433"/>
      <c r="R55" s="417"/>
      <c r="S55" s="417"/>
      <c r="T55" s="417"/>
      <c r="U55" s="417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/>
      <c r="B56" s="417"/>
      <c r="C56" s="163"/>
      <c r="D56" s="163"/>
      <c r="E56" s="163"/>
      <c r="F56" s="418"/>
      <c r="G56" s="419"/>
      <c r="H56" s="419"/>
      <c r="I56" s="419"/>
      <c r="J56" s="419"/>
      <c r="K56" s="419"/>
      <c r="L56" s="419"/>
      <c r="M56" s="420"/>
      <c r="N56" s="162"/>
      <c r="O56" s="168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163"/>
      <c r="D57" s="163"/>
      <c r="E57" s="163"/>
      <c r="F57" s="418"/>
      <c r="G57" s="419"/>
      <c r="H57" s="419"/>
      <c r="I57" s="419"/>
      <c r="J57" s="419"/>
      <c r="K57" s="419"/>
      <c r="L57" s="419"/>
      <c r="M57" s="420"/>
      <c r="N57" s="162"/>
      <c r="O57" s="168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161"/>
      <c r="D58" s="161"/>
      <c r="E58" s="163"/>
      <c r="F58" s="418"/>
      <c r="G58" s="419"/>
      <c r="H58" s="419"/>
      <c r="I58" s="419"/>
      <c r="J58" s="419"/>
      <c r="K58" s="419"/>
      <c r="L58" s="419"/>
      <c r="M58" s="420"/>
      <c r="N58" s="162"/>
      <c r="O58" s="168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161"/>
      <c r="D59" s="161"/>
      <c r="E59" s="163"/>
      <c r="F59" s="418"/>
      <c r="G59" s="419"/>
      <c r="H59" s="419"/>
      <c r="I59" s="419"/>
      <c r="J59" s="419"/>
      <c r="K59" s="419"/>
      <c r="L59" s="419"/>
      <c r="M59" s="420"/>
      <c r="N59" s="162"/>
      <c r="O59" s="168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163"/>
      <c r="D60" s="163"/>
      <c r="E60" s="163"/>
      <c r="F60" s="418"/>
      <c r="G60" s="419"/>
      <c r="H60" s="419"/>
      <c r="I60" s="419"/>
      <c r="J60" s="419"/>
      <c r="K60" s="419"/>
      <c r="L60" s="419"/>
      <c r="M60" s="420"/>
      <c r="N60" s="162"/>
      <c r="O60" s="168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164"/>
      <c r="D61" s="165"/>
      <c r="E61" s="165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283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166" t="s">
        <v>2</v>
      </c>
      <c r="D63" s="166" t="s">
        <v>37</v>
      </c>
      <c r="E63" s="166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166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/>
      <c r="D64" s="170"/>
      <c r="E64" s="167"/>
      <c r="F64" s="406"/>
      <c r="G64" s="407"/>
      <c r="H64" s="407"/>
      <c r="I64" s="407"/>
      <c r="J64" s="408"/>
      <c r="K64" s="394"/>
      <c r="L64" s="394"/>
      <c r="M64" s="51"/>
      <c r="N64" s="403"/>
      <c r="O64" s="403"/>
      <c r="P64" s="404"/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/>
      <c r="D65" s="170"/>
      <c r="E65" s="167"/>
      <c r="F65" s="406"/>
      <c r="G65" s="407"/>
      <c r="H65" s="407"/>
      <c r="I65" s="407"/>
      <c r="J65" s="408"/>
      <c r="K65" s="394"/>
      <c r="L65" s="394"/>
      <c r="M65" s="51"/>
      <c r="N65" s="403"/>
      <c r="O65" s="403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170"/>
      <c r="E66" s="167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170"/>
      <c r="E67" s="167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170"/>
      <c r="E68" s="167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170"/>
      <c r="E69" s="167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170"/>
      <c r="E70" s="167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170"/>
      <c r="E71" s="167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170"/>
      <c r="E72" s="167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170"/>
      <c r="E73" s="167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284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169" t="s">
        <v>2</v>
      </c>
      <c r="D75" s="169" t="s">
        <v>37</v>
      </c>
      <c r="E75" s="169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171" t="s">
        <v>112</v>
      </c>
      <c r="D76" s="171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43675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170"/>
      <c r="D77" s="170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170"/>
      <c r="D78" s="170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170"/>
      <c r="D79" s="170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170"/>
      <c r="D80" s="170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170"/>
      <c r="D81" s="170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170"/>
      <c r="D82" s="170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285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48-7BC5-46CC-9F3B-B33E9CF34B8A}">
  <dimension ref="A1:AF87"/>
  <sheetViews>
    <sheetView view="pageBreakPreview" topLeftCell="A37" zoomScale="70" zoomScaleNormal="72" zoomScaleSheetLayoutView="70" workbookViewId="0">
      <selection activeCell="K83" sqref="K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286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84" t="s">
        <v>17</v>
      </c>
      <c r="L5" s="184" t="s">
        <v>18</v>
      </c>
      <c r="M5" s="184" t="s">
        <v>19</v>
      </c>
      <c r="N5" s="18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227</v>
      </c>
      <c r="F6" s="30" t="s">
        <v>136</v>
      </c>
      <c r="G6" s="12">
        <v>1</v>
      </c>
      <c r="H6" s="13">
        <v>24</v>
      </c>
      <c r="I6" s="7">
        <v>22000</v>
      </c>
      <c r="J6" s="14">
        <v>5940</v>
      </c>
      <c r="K6" s="15">
        <f>L6+1302+6328+6831+6926</f>
        <v>27327</v>
      </c>
      <c r="L6" s="15">
        <f>2847+3093</f>
        <v>5940</v>
      </c>
      <c r="M6" s="15">
        <f t="shared" ref="M6:M21" si="0">L6-N6</f>
        <v>5940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0.43489583333333337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126</v>
      </c>
      <c r="E7" s="53" t="s">
        <v>191</v>
      </c>
      <c r="F7" s="12" t="s">
        <v>187</v>
      </c>
      <c r="G7" s="12">
        <v>1</v>
      </c>
      <c r="H7" s="13">
        <v>24</v>
      </c>
      <c r="I7" s="31">
        <v>500</v>
      </c>
      <c r="J7" s="14">
        <v>580</v>
      </c>
      <c r="K7" s="15">
        <f>L7</f>
        <v>580</v>
      </c>
      <c r="L7" s="15">
        <f>580</f>
        <v>580</v>
      </c>
      <c r="M7" s="15">
        <f t="shared" si="0"/>
        <v>580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/>
      <c r="W7" s="5">
        <v>20</v>
      </c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0.43489583333333337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5193</v>
      </c>
      <c r="K8" s="15">
        <f>L8+2455+3705+5517+4868+5495</f>
        <v>27233</v>
      </c>
      <c r="L8" s="15">
        <f>2775+2418</f>
        <v>5193</v>
      </c>
      <c r="M8" s="15">
        <f t="shared" si="0"/>
        <v>5193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0.43489583333333337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112</v>
      </c>
      <c r="D9" s="52" t="s">
        <v>256</v>
      </c>
      <c r="E9" s="53" t="s">
        <v>257</v>
      </c>
      <c r="F9" s="30" t="s">
        <v>180</v>
      </c>
      <c r="G9" s="33">
        <v>1</v>
      </c>
      <c r="H9" s="35">
        <v>24</v>
      </c>
      <c r="I9" s="7">
        <v>2000</v>
      </c>
      <c r="J9" s="5">
        <v>2371</v>
      </c>
      <c r="K9" s="15">
        <f>L9+2371</f>
        <v>2371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0.43489583333333337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6273</v>
      </c>
      <c r="K10" s="15">
        <f>L10+5217+6628+5843+6693+6633+6764</f>
        <v>44051</v>
      </c>
      <c r="L10" s="15">
        <f>3354+2919</f>
        <v>6273</v>
      </c>
      <c r="M10" s="15">
        <f t="shared" si="0"/>
        <v>6273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0.43489583333333337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7560</v>
      </c>
      <c r="K11" s="15">
        <f>L11+10616+12082+7560</f>
        <v>30258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0.43489583333333337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4857</v>
      </c>
      <c r="K12" s="15">
        <f>L12+3980+4963</f>
        <v>13800</v>
      </c>
      <c r="L12" s="15">
        <f>2539+2318</f>
        <v>4857</v>
      </c>
      <c r="M12" s="15">
        <f t="shared" si="0"/>
        <v>4857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0.43489583333333337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205</v>
      </c>
      <c r="F13" s="30" t="s">
        <v>130</v>
      </c>
      <c r="G13" s="12">
        <v>1</v>
      </c>
      <c r="H13" s="13">
        <v>28</v>
      </c>
      <c r="I13" s="31">
        <v>2300</v>
      </c>
      <c r="J13" s="5">
        <v>903</v>
      </c>
      <c r="K13" s="15">
        <f>L13+1439+903</f>
        <v>2342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0.43489583333333337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182</v>
      </c>
      <c r="D14" s="52" t="s">
        <v>115</v>
      </c>
      <c r="E14" s="53" t="s">
        <v>181</v>
      </c>
      <c r="F14" s="30" t="s">
        <v>173</v>
      </c>
      <c r="G14" s="33">
        <v>1</v>
      </c>
      <c r="H14" s="35">
        <v>60</v>
      </c>
      <c r="I14" s="7">
        <v>150</v>
      </c>
      <c r="J14" s="5">
        <v>308</v>
      </c>
      <c r="K14" s="15">
        <f>L14+308</f>
        <v>308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0.43489583333333337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142</v>
      </c>
      <c r="F15" s="12" t="s">
        <v>144</v>
      </c>
      <c r="G15" s="12">
        <v>1</v>
      </c>
      <c r="H15" s="13">
        <v>24</v>
      </c>
      <c r="I15" s="31">
        <f>11500+7500</f>
        <v>19000</v>
      </c>
      <c r="J15" s="14">
        <v>5080</v>
      </c>
      <c r="K15" s="15">
        <f>L15+2898+5234+1444+2583+5198+5277+2596+3070+5080</f>
        <v>33380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0.43489583333333337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248</v>
      </c>
      <c r="E16" s="53" t="s">
        <v>246</v>
      </c>
      <c r="F16" s="30" t="s">
        <v>258</v>
      </c>
      <c r="G16" s="12">
        <v>1</v>
      </c>
      <c r="H16" s="13">
        <v>24</v>
      </c>
      <c r="I16" s="7">
        <v>20000</v>
      </c>
      <c r="J16" s="14">
        <v>7598</v>
      </c>
      <c r="K16" s="15">
        <f>L16+5524+8733+8095</f>
        <v>29950</v>
      </c>
      <c r="L16" s="15">
        <f>3942+3656</f>
        <v>7598</v>
      </c>
      <c r="M16" s="15">
        <f t="shared" si="0"/>
        <v>7598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0.43489583333333337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227</v>
      </c>
      <c r="F17" s="30" t="s">
        <v>136</v>
      </c>
      <c r="G17" s="12">
        <v>1</v>
      </c>
      <c r="H17" s="13">
        <v>24</v>
      </c>
      <c r="I17" s="7">
        <v>22000</v>
      </c>
      <c r="J17" s="14">
        <v>1302</v>
      </c>
      <c r="K17" s="15">
        <f>L17+1302</f>
        <v>1302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0.43489583333333337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3790</v>
      </c>
      <c r="K18" s="15">
        <f>L18+4435+4652+2675+4471+5923+1193</f>
        <v>27139</v>
      </c>
      <c r="L18" s="15">
        <f>1977+1813</f>
        <v>3790</v>
      </c>
      <c r="M18" s="15">
        <f t="shared" si="0"/>
        <v>3790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0.43489583333333337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4886</v>
      </c>
      <c r="K19" s="15">
        <f>L19+3970+4360</f>
        <v>13216</v>
      </c>
      <c r="L19" s="15">
        <f>2816+2070</f>
        <v>4886</v>
      </c>
      <c r="M19" s="15">
        <f t="shared" si="0"/>
        <v>4886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0.43489583333333337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115</v>
      </c>
      <c r="E20" s="53" t="s">
        <v>179</v>
      </c>
      <c r="F20" s="30" t="s">
        <v>174</v>
      </c>
      <c r="G20" s="12">
        <v>1</v>
      </c>
      <c r="H20" s="13">
        <v>28</v>
      </c>
      <c r="I20" s="31">
        <v>20000</v>
      </c>
      <c r="J20" s="5">
        <v>5548</v>
      </c>
      <c r="K20" s="15">
        <f>L20+2211+5318+5413+5548</f>
        <v>18490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0.43489583333333337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0.43489583333333337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626950</v>
      </c>
      <c r="J22" s="19">
        <f t="shared" si="9"/>
        <v>66193</v>
      </c>
      <c r="K22" s="20">
        <f t="shared" si="9"/>
        <v>538135</v>
      </c>
      <c r="L22" s="21">
        <f t="shared" si="9"/>
        <v>39117</v>
      </c>
      <c r="M22" s="20">
        <f t="shared" si="9"/>
        <v>39117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167</v>
      </c>
      <c r="Q22" s="43">
        <f t="shared" si="10"/>
        <v>217</v>
      </c>
      <c r="R22" s="23">
        <f t="shared" si="10"/>
        <v>0</v>
      </c>
      <c r="S22" s="24">
        <f t="shared" si="10"/>
        <v>5</v>
      </c>
      <c r="T22" s="24">
        <f t="shared" si="10"/>
        <v>0</v>
      </c>
      <c r="U22" s="24">
        <f t="shared" si="10"/>
        <v>0</v>
      </c>
      <c r="V22" s="25">
        <f t="shared" si="10"/>
        <v>48</v>
      </c>
      <c r="W22" s="26">
        <f t="shared" si="10"/>
        <v>164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0.5</v>
      </c>
      <c r="AC22" s="4">
        <f>AVERAGE(AC6:AC21)</f>
        <v>0.43489583333333337</v>
      </c>
      <c r="AD22" s="4">
        <f>AVERAGE(AD6:AD21)</f>
        <v>0.43489583333333337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288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289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83" t="s">
        <v>46</v>
      </c>
      <c r="D51" s="183" t="s">
        <v>47</v>
      </c>
      <c r="E51" s="183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183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118</v>
      </c>
      <c r="B52" s="431"/>
      <c r="C52" s="182" t="s">
        <v>132</v>
      </c>
      <c r="D52" s="182" t="s">
        <v>126</v>
      </c>
      <c r="E52" s="179" t="s">
        <v>191</v>
      </c>
      <c r="F52" s="418" t="s">
        <v>133</v>
      </c>
      <c r="G52" s="419"/>
      <c r="H52" s="419"/>
      <c r="I52" s="419"/>
      <c r="J52" s="419"/>
      <c r="K52" s="419"/>
      <c r="L52" s="419"/>
      <c r="M52" s="420"/>
      <c r="N52" s="178" t="s">
        <v>118</v>
      </c>
      <c r="O52" s="176" t="s">
        <v>132</v>
      </c>
      <c r="P52" s="432" t="s">
        <v>126</v>
      </c>
      <c r="Q52" s="433"/>
      <c r="R52" s="417" t="s">
        <v>186</v>
      </c>
      <c r="S52" s="417"/>
      <c r="T52" s="417"/>
      <c r="U52" s="417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16" t="s">
        <v>118</v>
      </c>
      <c r="B53" s="417"/>
      <c r="C53" s="179" t="s">
        <v>134</v>
      </c>
      <c r="D53" s="179" t="s">
        <v>115</v>
      </c>
      <c r="E53" s="179" t="s">
        <v>138</v>
      </c>
      <c r="F53" s="418" t="s">
        <v>287</v>
      </c>
      <c r="G53" s="419"/>
      <c r="H53" s="419"/>
      <c r="I53" s="419"/>
      <c r="J53" s="419"/>
      <c r="K53" s="419"/>
      <c r="L53" s="419"/>
      <c r="M53" s="420"/>
      <c r="N53" s="178" t="s">
        <v>118</v>
      </c>
      <c r="O53" s="176" t="s">
        <v>134</v>
      </c>
      <c r="P53" s="432" t="s">
        <v>115</v>
      </c>
      <c r="Q53" s="433"/>
      <c r="R53" s="432" t="s">
        <v>138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/>
      <c r="B54" s="431"/>
      <c r="C54" s="182"/>
      <c r="D54" s="182"/>
      <c r="E54" s="179"/>
      <c r="F54" s="418"/>
      <c r="G54" s="419"/>
      <c r="H54" s="419"/>
      <c r="I54" s="419"/>
      <c r="J54" s="419"/>
      <c r="K54" s="419"/>
      <c r="L54" s="419"/>
      <c r="M54" s="420"/>
      <c r="N54" s="178" t="s">
        <v>118</v>
      </c>
      <c r="O54" s="176" t="s">
        <v>170</v>
      </c>
      <c r="P54" s="432" t="s">
        <v>135</v>
      </c>
      <c r="Q54" s="433"/>
      <c r="R54" s="432" t="s">
        <v>290</v>
      </c>
      <c r="S54" s="434"/>
      <c r="T54" s="434"/>
      <c r="U54" s="433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/>
      <c r="B55" s="431"/>
      <c r="C55" s="182"/>
      <c r="D55" s="182"/>
      <c r="E55" s="179"/>
      <c r="F55" s="418"/>
      <c r="G55" s="419"/>
      <c r="H55" s="419"/>
      <c r="I55" s="419"/>
      <c r="J55" s="419"/>
      <c r="K55" s="419"/>
      <c r="L55" s="419"/>
      <c r="M55" s="420"/>
      <c r="N55" s="178" t="s">
        <v>118</v>
      </c>
      <c r="O55" s="176" t="s">
        <v>247</v>
      </c>
      <c r="P55" s="432" t="s">
        <v>256</v>
      </c>
      <c r="Q55" s="433"/>
      <c r="R55" s="417" t="s">
        <v>291</v>
      </c>
      <c r="S55" s="417"/>
      <c r="T55" s="417"/>
      <c r="U55" s="417"/>
      <c r="V55" s="405" t="s">
        <v>133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/>
      <c r="B56" s="417"/>
      <c r="C56" s="179"/>
      <c r="D56" s="179"/>
      <c r="E56" s="179"/>
      <c r="F56" s="418"/>
      <c r="G56" s="419"/>
      <c r="H56" s="419"/>
      <c r="I56" s="419"/>
      <c r="J56" s="419"/>
      <c r="K56" s="419"/>
      <c r="L56" s="419"/>
      <c r="M56" s="420"/>
      <c r="N56" s="178"/>
      <c r="O56" s="176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179"/>
      <c r="D57" s="179"/>
      <c r="E57" s="179"/>
      <c r="F57" s="418"/>
      <c r="G57" s="419"/>
      <c r="H57" s="419"/>
      <c r="I57" s="419"/>
      <c r="J57" s="419"/>
      <c r="K57" s="419"/>
      <c r="L57" s="419"/>
      <c r="M57" s="420"/>
      <c r="N57" s="178"/>
      <c r="O57" s="176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182"/>
      <c r="D58" s="182"/>
      <c r="E58" s="179"/>
      <c r="F58" s="418"/>
      <c r="G58" s="419"/>
      <c r="H58" s="419"/>
      <c r="I58" s="419"/>
      <c r="J58" s="419"/>
      <c r="K58" s="419"/>
      <c r="L58" s="419"/>
      <c r="M58" s="420"/>
      <c r="N58" s="178"/>
      <c r="O58" s="176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182"/>
      <c r="D59" s="182"/>
      <c r="E59" s="179"/>
      <c r="F59" s="418"/>
      <c r="G59" s="419"/>
      <c r="H59" s="419"/>
      <c r="I59" s="419"/>
      <c r="J59" s="419"/>
      <c r="K59" s="419"/>
      <c r="L59" s="419"/>
      <c r="M59" s="420"/>
      <c r="N59" s="178"/>
      <c r="O59" s="176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179"/>
      <c r="D60" s="179"/>
      <c r="E60" s="179"/>
      <c r="F60" s="418"/>
      <c r="G60" s="419"/>
      <c r="H60" s="419"/>
      <c r="I60" s="419"/>
      <c r="J60" s="419"/>
      <c r="K60" s="419"/>
      <c r="L60" s="419"/>
      <c r="M60" s="420"/>
      <c r="N60" s="178"/>
      <c r="O60" s="176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180"/>
      <c r="D61" s="181"/>
      <c r="E61" s="181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292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177" t="s">
        <v>2</v>
      </c>
      <c r="D63" s="177" t="s">
        <v>37</v>
      </c>
      <c r="E63" s="177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177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172"/>
      <c r="E64" s="175" t="s">
        <v>135</v>
      </c>
      <c r="F64" s="406" t="s">
        <v>293</v>
      </c>
      <c r="G64" s="407"/>
      <c r="H64" s="407"/>
      <c r="I64" s="407"/>
      <c r="J64" s="408"/>
      <c r="K64" s="394" t="s">
        <v>136</v>
      </c>
      <c r="L64" s="394"/>
      <c r="M64" s="51" t="s">
        <v>151</v>
      </c>
      <c r="N64" s="403" t="s">
        <v>132</v>
      </c>
      <c r="O64" s="403"/>
      <c r="P64" s="404">
        <v>200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119</v>
      </c>
      <c r="D65" s="172"/>
      <c r="E65" s="175" t="s">
        <v>128</v>
      </c>
      <c r="F65" s="406" t="s">
        <v>294</v>
      </c>
      <c r="G65" s="407"/>
      <c r="H65" s="407"/>
      <c r="I65" s="407"/>
      <c r="J65" s="408"/>
      <c r="K65" s="394" t="s">
        <v>122</v>
      </c>
      <c r="L65" s="394"/>
      <c r="M65" s="51" t="s">
        <v>151</v>
      </c>
      <c r="N65" s="403" t="s">
        <v>141</v>
      </c>
      <c r="O65" s="403"/>
      <c r="P65" s="404">
        <v>200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119</v>
      </c>
      <c r="D66" s="172"/>
      <c r="E66" s="175" t="s">
        <v>256</v>
      </c>
      <c r="F66" s="406" t="s">
        <v>295</v>
      </c>
      <c r="G66" s="407"/>
      <c r="H66" s="407"/>
      <c r="I66" s="407"/>
      <c r="J66" s="408"/>
      <c r="K66" s="394" t="s">
        <v>136</v>
      </c>
      <c r="L66" s="394"/>
      <c r="M66" s="51" t="s">
        <v>151</v>
      </c>
      <c r="N66" s="403" t="s">
        <v>172</v>
      </c>
      <c r="O66" s="403"/>
      <c r="P66" s="404">
        <v>200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172"/>
      <c r="E67" s="175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172"/>
      <c r="E68" s="175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172"/>
      <c r="E69" s="175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172"/>
      <c r="E70" s="175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172"/>
      <c r="E71" s="175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172"/>
      <c r="E72" s="175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172"/>
      <c r="E73" s="175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296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174" t="s">
        <v>2</v>
      </c>
      <c r="D75" s="174" t="s">
        <v>37</v>
      </c>
      <c r="E75" s="174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173" t="s">
        <v>112</v>
      </c>
      <c r="D76" s="173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43675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172"/>
      <c r="D77" s="172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172"/>
      <c r="D78" s="172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172"/>
      <c r="D79" s="172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172"/>
      <c r="D80" s="172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172"/>
      <c r="D81" s="172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172"/>
      <c r="D82" s="172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297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DB66-5D73-4E74-9998-517193DE295B}">
  <dimension ref="A1:AF87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298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84" t="s">
        <v>17</v>
      </c>
      <c r="L5" s="184" t="s">
        <v>18</v>
      </c>
      <c r="M5" s="184" t="s">
        <v>19</v>
      </c>
      <c r="N5" s="18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227</v>
      </c>
      <c r="F6" s="30" t="s">
        <v>136</v>
      </c>
      <c r="G6" s="12">
        <v>1</v>
      </c>
      <c r="H6" s="13">
        <v>24</v>
      </c>
      <c r="I6" s="7">
        <v>22000</v>
      </c>
      <c r="J6" s="14">
        <v>5940</v>
      </c>
      <c r="K6" s="15">
        <f>L6+1302+6328+6831+6926+5940</f>
        <v>27327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0.515625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126</v>
      </c>
      <c r="E7" s="53" t="s">
        <v>186</v>
      </c>
      <c r="F7" s="12" t="s">
        <v>187</v>
      </c>
      <c r="G7" s="12">
        <v>1</v>
      </c>
      <c r="H7" s="13">
        <v>24</v>
      </c>
      <c r="I7" s="31">
        <v>1000</v>
      </c>
      <c r="J7" s="14">
        <v>1489</v>
      </c>
      <c r="K7" s="15">
        <f>L7</f>
        <v>1489</v>
      </c>
      <c r="L7" s="15">
        <v>1489</v>
      </c>
      <c r="M7" s="15">
        <f t="shared" si="0"/>
        <v>1489</v>
      </c>
      <c r="N7" s="15">
        <v>0</v>
      </c>
      <c r="O7" s="58">
        <f t="shared" si="1"/>
        <v>0</v>
      </c>
      <c r="P7" s="39">
        <f t="shared" si="2"/>
        <v>9</v>
      </c>
      <c r="Q7" s="40">
        <f t="shared" si="3"/>
        <v>15</v>
      </c>
      <c r="R7" s="7"/>
      <c r="S7" s="6"/>
      <c r="T7" s="16"/>
      <c r="U7" s="16"/>
      <c r="V7" s="17"/>
      <c r="W7" s="5">
        <v>15</v>
      </c>
      <c r="X7" s="16"/>
      <c r="Y7" s="16"/>
      <c r="Z7" s="16"/>
      <c r="AA7" s="18"/>
      <c r="AB7" s="8">
        <f t="shared" si="4"/>
        <v>1</v>
      </c>
      <c r="AC7" s="9">
        <f t="shared" si="5"/>
        <v>0.375</v>
      </c>
      <c r="AD7" s="10">
        <f t="shared" si="6"/>
        <v>0.375</v>
      </c>
      <c r="AE7" s="36">
        <f t="shared" si="7"/>
        <v>0.515625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5448</v>
      </c>
      <c r="K8" s="15">
        <f>L8+2455+3705+5517+4868+5495+5193</f>
        <v>32681</v>
      </c>
      <c r="L8" s="15">
        <f>2717+2731</f>
        <v>5448</v>
      </c>
      <c r="M8" s="15">
        <f t="shared" si="0"/>
        <v>5448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0.515625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4035</v>
      </c>
      <c r="K9" s="15">
        <f>L9</f>
        <v>4035</v>
      </c>
      <c r="L9" s="15">
        <f>1138+2897</f>
        <v>4035</v>
      </c>
      <c r="M9" s="15">
        <f t="shared" si="0"/>
        <v>4035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0.515625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6588</v>
      </c>
      <c r="K10" s="15">
        <f>L10+5217+6628+5843+6693+6633+6764+6273</f>
        <v>50639</v>
      </c>
      <c r="L10" s="15">
        <f>3284+3304</f>
        <v>6588</v>
      </c>
      <c r="M10" s="15">
        <f t="shared" si="0"/>
        <v>6588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0.515625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7560</v>
      </c>
      <c r="K11" s="15">
        <f>L11+10616+12082+7560</f>
        <v>30258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0.515625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4991</v>
      </c>
      <c r="K12" s="15">
        <f>L12+3980+4963+4857</f>
        <v>18791</v>
      </c>
      <c r="L12" s="15">
        <f>2493+2498</f>
        <v>4991</v>
      </c>
      <c r="M12" s="15">
        <f t="shared" si="0"/>
        <v>4991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0.515625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205</v>
      </c>
      <c r="F13" s="30" t="s">
        <v>130</v>
      </c>
      <c r="G13" s="12">
        <v>1</v>
      </c>
      <c r="H13" s="13">
        <v>28</v>
      </c>
      <c r="I13" s="31">
        <v>2300</v>
      </c>
      <c r="J13" s="5">
        <v>903</v>
      </c>
      <c r="K13" s="15">
        <f>L13+1439+903</f>
        <v>2342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0.515625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182</v>
      </c>
      <c r="D14" s="52" t="s">
        <v>115</v>
      </c>
      <c r="E14" s="53" t="s">
        <v>181</v>
      </c>
      <c r="F14" s="30" t="s">
        <v>173</v>
      </c>
      <c r="G14" s="33">
        <v>1</v>
      </c>
      <c r="H14" s="35">
        <v>60</v>
      </c>
      <c r="I14" s="7">
        <v>150</v>
      </c>
      <c r="J14" s="5">
        <v>308</v>
      </c>
      <c r="K14" s="15">
        <f>L14+308</f>
        <v>308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0.515625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300</v>
      </c>
      <c r="D15" s="52"/>
      <c r="E15" s="53" t="s">
        <v>301</v>
      </c>
      <c r="F15" s="12">
        <v>8301</v>
      </c>
      <c r="G15" s="12" t="s">
        <v>302</v>
      </c>
      <c r="H15" s="13">
        <v>24</v>
      </c>
      <c r="I15" s="31">
        <v>1000</v>
      </c>
      <c r="J15" s="14">
        <v>3740</v>
      </c>
      <c r="K15" s="15">
        <f>L15</f>
        <v>3740</v>
      </c>
      <c r="L15" s="15">
        <f>1143+2597</f>
        <v>3740</v>
      </c>
      <c r="M15" s="15">
        <f t="shared" si="0"/>
        <v>3740</v>
      </c>
      <c r="N15" s="15">
        <v>0</v>
      </c>
      <c r="O15" s="58">
        <f t="shared" si="1"/>
        <v>0</v>
      </c>
      <c r="P15" s="39">
        <f t="shared" si="2"/>
        <v>17</v>
      </c>
      <c r="Q15" s="40">
        <f t="shared" si="3"/>
        <v>7</v>
      </c>
      <c r="R15" s="7"/>
      <c r="S15" s="6">
        <v>7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0.70833333333333337</v>
      </c>
      <c r="AD15" s="10">
        <f t="shared" si="6"/>
        <v>0.70833333333333337</v>
      </c>
      <c r="AE15" s="36">
        <f t="shared" si="7"/>
        <v>0.515625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256</v>
      </c>
      <c r="E16" s="53" t="s">
        <v>291</v>
      </c>
      <c r="F16" s="30" t="s">
        <v>176</v>
      </c>
      <c r="G16" s="12">
        <v>1</v>
      </c>
      <c r="H16" s="13">
        <v>24</v>
      </c>
      <c r="I16" s="7">
        <v>40000</v>
      </c>
      <c r="J16" s="14">
        <v>5553</v>
      </c>
      <c r="K16" s="15">
        <f>L16</f>
        <v>5553</v>
      </c>
      <c r="L16" s="15">
        <f>2607+2946</f>
        <v>5553</v>
      </c>
      <c r="M16" s="15">
        <f t="shared" si="0"/>
        <v>5553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0.515625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3852</v>
      </c>
      <c r="K17" s="15">
        <f>L17</f>
        <v>3852</v>
      </c>
      <c r="L17" s="15">
        <f>682+3170</f>
        <v>3852</v>
      </c>
      <c r="M17" s="15">
        <f t="shared" si="0"/>
        <v>3852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>
        <v>8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0.515625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3514</v>
      </c>
      <c r="K18" s="15">
        <f>L18+4435+4652+2675+4471+5923+1193+3790</f>
        <v>30653</v>
      </c>
      <c r="L18" s="15">
        <f>2042+1472</f>
        <v>3514</v>
      </c>
      <c r="M18" s="15">
        <f t="shared" si="0"/>
        <v>3514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7"/>
        <v>0.515625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5534</v>
      </c>
      <c r="K19" s="15">
        <f>L19+3970+4360+4886</f>
        <v>18750</v>
      </c>
      <c r="L19" s="15">
        <f>2760+2774</f>
        <v>5534</v>
      </c>
      <c r="M19" s="15">
        <f t="shared" si="0"/>
        <v>5534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0.515625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115</v>
      </c>
      <c r="E20" s="53" t="s">
        <v>179</v>
      </c>
      <c r="F20" s="30" t="s">
        <v>174</v>
      </c>
      <c r="G20" s="12">
        <v>1</v>
      </c>
      <c r="H20" s="13">
        <v>28</v>
      </c>
      <c r="I20" s="31">
        <v>20000</v>
      </c>
      <c r="J20" s="5">
        <v>5548</v>
      </c>
      <c r="K20" s="15">
        <f>L20+2211+5318+5413+5548</f>
        <v>18490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0.515625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0.515625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660450</v>
      </c>
      <c r="J22" s="19">
        <f t="shared" si="9"/>
        <v>69007</v>
      </c>
      <c r="K22" s="20">
        <f t="shared" si="9"/>
        <v>515296</v>
      </c>
      <c r="L22" s="21">
        <f t="shared" si="9"/>
        <v>44744</v>
      </c>
      <c r="M22" s="20">
        <f t="shared" si="9"/>
        <v>44744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198</v>
      </c>
      <c r="Q22" s="43">
        <f t="shared" si="10"/>
        <v>186</v>
      </c>
      <c r="R22" s="23">
        <f t="shared" si="10"/>
        <v>0</v>
      </c>
      <c r="S22" s="24">
        <f t="shared" si="10"/>
        <v>27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135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0.625</v>
      </c>
      <c r="AC22" s="4">
        <f>AVERAGE(AC6:AC21)</f>
        <v>0.515625</v>
      </c>
      <c r="AD22" s="4">
        <f>AVERAGE(AD6:AD21)</f>
        <v>0.515625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304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319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83" t="s">
        <v>46</v>
      </c>
      <c r="D51" s="183" t="s">
        <v>47</v>
      </c>
      <c r="E51" s="183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183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118</v>
      </c>
      <c r="B52" s="431"/>
      <c r="C52" s="182" t="s">
        <v>132</v>
      </c>
      <c r="D52" s="182" t="s">
        <v>126</v>
      </c>
      <c r="E52" s="179" t="s">
        <v>186</v>
      </c>
      <c r="F52" s="418" t="s">
        <v>133</v>
      </c>
      <c r="G52" s="419"/>
      <c r="H52" s="419"/>
      <c r="I52" s="419"/>
      <c r="J52" s="419"/>
      <c r="K52" s="419"/>
      <c r="L52" s="419"/>
      <c r="M52" s="420"/>
      <c r="N52" s="178" t="s">
        <v>118</v>
      </c>
      <c r="O52" s="176" t="s">
        <v>243</v>
      </c>
      <c r="P52" s="432" t="s">
        <v>126</v>
      </c>
      <c r="Q52" s="433"/>
      <c r="R52" s="417" t="s">
        <v>320</v>
      </c>
      <c r="S52" s="417"/>
      <c r="T52" s="417"/>
      <c r="U52" s="417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16" t="s">
        <v>118</v>
      </c>
      <c r="B53" s="417"/>
      <c r="C53" s="179" t="s">
        <v>134</v>
      </c>
      <c r="D53" s="179" t="s">
        <v>115</v>
      </c>
      <c r="E53" s="179" t="s">
        <v>138</v>
      </c>
      <c r="F53" s="418" t="s">
        <v>305</v>
      </c>
      <c r="G53" s="419"/>
      <c r="H53" s="419"/>
      <c r="I53" s="419"/>
      <c r="J53" s="419"/>
      <c r="K53" s="419"/>
      <c r="L53" s="419"/>
      <c r="M53" s="420"/>
      <c r="N53" s="178" t="s">
        <v>118</v>
      </c>
      <c r="O53" s="176" t="s">
        <v>134</v>
      </c>
      <c r="P53" s="432" t="s">
        <v>115</v>
      </c>
      <c r="Q53" s="433"/>
      <c r="R53" s="432" t="s">
        <v>138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118</v>
      </c>
      <c r="B54" s="431"/>
      <c r="C54" s="182" t="s">
        <v>306</v>
      </c>
      <c r="D54" s="182" t="s">
        <v>307</v>
      </c>
      <c r="E54" s="179" t="s">
        <v>308</v>
      </c>
      <c r="F54" s="418" t="s">
        <v>309</v>
      </c>
      <c r="G54" s="419"/>
      <c r="H54" s="419"/>
      <c r="I54" s="419"/>
      <c r="J54" s="419"/>
      <c r="K54" s="419"/>
      <c r="L54" s="419"/>
      <c r="M54" s="420"/>
      <c r="N54" s="178" t="s">
        <v>322</v>
      </c>
      <c r="O54" s="176" t="s">
        <v>317</v>
      </c>
      <c r="P54" s="432"/>
      <c r="Q54" s="433"/>
      <c r="R54" s="432" t="s">
        <v>321</v>
      </c>
      <c r="S54" s="434"/>
      <c r="T54" s="434"/>
      <c r="U54" s="433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118</v>
      </c>
      <c r="B55" s="431"/>
      <c r="C55" s="182" t="s">
        <v>311</v>
      </c>
      <c r="D55" s="182" t="s">
        <v>312</v>
      </c>
      <c r="E55" s="179" t="s">
        <v>310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178" t="s">
        <v>118</v>
      </c>
      <c r="O55" s="176" t="s">
        <v>324</v>
      </c>
      <c r="P55" s="432" t="s">
        <v>307</v>
      </c>
      <c r="Q55" s="433"/>
      <c r="R55" s="417" t="s">
        <v>323</v>
      </c>
      <c r="S55" s="417"/>
      <c r="T55" s="417"/>
      <c r="U55" s="417"/>
      <c r="V55" s="405" t="s">
        <v>133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 t="s">
        <v>118</v>
      </c>
      <c r="B56" s="417"/>
      <c r="C56" s="179" t="s">
        <v>313</v>
      </c>
      <c r="D56" s="179" t="s">
        <v>126</v>
      </c>
      <c r="E56" s="179" t="s">
        <v>314</v>
      </c>
      <c r="F56" s="418" t="s">
        <v>315</v>
      </c>
      <c r="G56" s="419"/>
      <c r="H56" s="419"/>
      <c r="I56" s="419"/>
      <c r="J56" s="419"/>
      <c r="K56" s="419"/>
      <c r="L56" s="419"/>
      <c r="M56" s="420"/>
      <c r="N56" s="178"/>
      <c r="O56" s="176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 t="s">
        <v>316</v>
      </c>
      <c r="B57" s="417"/>
      <c r="C57" s="179" t="s">
        <v>317</v>
      </c>
      <c r="D57" s="179"/>
      <c r="E57" s="179" t="s">
        <v>318</v>
      </c>
      <c r="F57" s="418" t="s">
        <v>133</v>
      </c>
      <c r="G57" s="419"/>
      <c r="H57" s="419"/>
      <c r="I57" s="419"/>
      <c r="J57" s="419"/>
      <c r="K57" s="419"/>
      <c r="L57" s="419"/>
      <c r="M57" s="420"/>
      <c r="N57" s="178"/>
      <c r="O57" s="176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182"/>
      <c r="D58" s="182"/>
      <c r="E58" s="179"/>
      <c r="F58" s="418"/>
      <c r="G58" s="419"/>
      <c r="H58" s="419"/>
      <c r="I58" s="419"/>
      <c r="J58" s="419"/>
      <c r="K58" s="419"/>
      <c r="L58" s="419"/>
      <c r="M58" s="420"/>
      <c r="N58" s="178"/>
      <c r="O58" s="176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182"/>
      <c r="D59" s="182"/>
      <c r="E59" s="179"/>
      <c r="F59" s="418"/>
      <c r="G59" s="419"/>
      <c r="H59" s="419"/>
      <c r="I59" s="419"/>
      <c r="J59" s="419"/>
      <c r="K59" s="419"/>
      <c r="L59" s="419"/>
      <c r="M59" s="420"/>
      <c r="N59" s="178"/>
      <c r="O59" s="176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179"/>
      <c r="D60" s="179"/>
      <c r="E60" s="179"/>
      <c r="F60" s="418"/>
      <c r="G60" s="419"/>
      <c r="H60" s="419"/>
      <c r="I60" s="419"/>
      <c r="J60" s="419"/>
      <c r="K60" s="419"/>
      <c r="L60" s="419"/>
      <c r="M60" s="420"/>
      <c r="N60" s="178"/>
      <c r="O60" s="176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180"/>
      <c r="D61" s="181"/>
      <c r="E61" s="181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325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177" t="s">
        <v>2</v>
      </c>
      <c r="D63" s="177" t="s">
        <v>37</v>
      </c>
      <c r="E63" s="177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177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172"/>
      <c r="E64" s="175" t="s">
        <v>115</v>
      </c>
      <c r="F64" s="406" t="s">
        <v>326</v>
      </c>
      <c r="G64" s="407"/>
      <c r="H64" s="407"/>
      <c r="I64" s="407"/>
      <c r="J64" s="408"/>
      <c r="K64" s="394" t="s">
        <v>122</v>
      </c>
      <c r="L64" s="394"/>
      <c r="M64" s="51" t="s">
        <v>151</v>
      </c>
      <c r="N64" s="403" t="s">
        <v>141</v>
      </c>
      <c r="O64" s="403"/>
      <c r="P64" s="404">
        <v>200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/>
      <c r="D65" s="172"/>
      <c r="E65" s="175"/>
      <c r="F65" s="406"/>
      <c r="G65" s="407"/>
      <c r="H65" s="407"/>
      <c r="I65" s="407"/>
      <c r="J65" s="408"/>
      <c r="K65" s="394"/>
      <c r="L65" s="394"/>
      <c r="M65" s="51"/>
      <c r="N65" s="403"/>
      <c r="O65" s="403"/>
      <c r="P65" s="404"/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172"/>
      <c r="E66" s="175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172"/>
      <c r="E67" s="175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172"/>
      <c r="E68" s="175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172"/>
      <c r="E69" s="175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172"/>
      <c r="E70" s="175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172"/>
      <c r="E71" s="175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172"/>
      <c r="E72" s="175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172"/>
      <c r="E73" s="175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327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174" t="s">
        <v>2</v>
      </c>
      <c r="D75" s="174" t="s">
        <v>37</v>
      </c>
      <c r="E75" s="174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173" t="s">
        <v>112</v>
      </c>
      <c r="D76" s="173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43675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172"/>
      <c r="D77" s="172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172"/>
      <c r="D78" s="172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172"/>
      <c r="D79" s="172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172"/>
      <c r="D80" s="172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172"/>
      <c r="D81" s="172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172"/>
      <c r="D82" s="172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328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A020-9D25-4AF3-A975-469DF12C62AE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329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320</v>
      </c>
      <c r="F6" s="30" t="s">
        <v>173</v>
      </c>
      <c r="G6" s="12">
        <v>1</v>
      </c>
      <c r="H6" s="13">
        <v>24</v>
      </c>
      <c r="I6" s="7">
        <v>16000</v>
      </c>
      <c r="J6" s="14">
        <v>8604</v>
      </c>
      <c r="K6" s="15">
        <f>L6</f>
        <v>8604</v>
      </c>
      <c r="L6" s="15">
        <f>2658*2+1644*2</f>
        <v>8604</v>
      </c>
      <c r="M6" s="15">
        <f t="shared" ref="M6:M21" si="0">L6-N6</f>
        <v>8604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21</v>
      </c>
      <c r="Q6" s="40">
        <f t="shared" ref="Q6:Q21" si="3">SUM(R6:AA6)</f>
        <v>3</v>
      </c>
      <c r="R6" s="7"/>
      <c r="S6" s="6"/>
      <c r="T6" s="16">
        <v>3</v>
      </c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0.875</v>
      </c>
      <c r="AD6" s="10">
        <f t="shared" ref="AD6:AD21" si="6">AC6*AB6*(1-O6)</f>
        <v>0.875</v>
      </c>
      <c r="AE6" s="36">
        <f t="shared" ref="AE6:AE21" si="7">$AD$22</f>
        <v>0.54166666666666674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126</v>
      </c>
      <c r="E7" s="53" t="s">
        <v>186</v>
      </c>
      <c r="F7" s="12" t="s">
        <v>187</v>
      </c>
      <c r="G7" s="12">
        <v>1</v>
      </c>
      <c r="H7" s="13">
        <v>24</v>
      </c>
      <c r="I7" s="31">
        <v>1000</v>
      </c>
      <c r="J7" s="14">
        <v>1489</v>
      </c>
      <c r="K7" s="15">
        <f>L7+1489</f>
        <v>1489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0.54166666666666674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 t="s">
        <v>115</v>
      </c>
      <c r="E8" s="53" t="s">
        <v>218</v>
      </c>
      <c r="F8" s="30" t="s">
        <v>219</v>
      </c>
      <c r="G8" s="33">
        <v>1</v>
      </c>
      <c r="H8" s="35">
        <v>24</v>
      </c>
      <c r="I8" s="7">
        <v>31000</v>
      </c>
      <c r="J8" s="5">
        <v>3043</v>
      </c>
      <c r="K8" s="15">
        <f>L8+2455+3705+5517+4868+5495+5193+5448</f>
        <v>35724</v>
      </c>
      <c r="L8" s="15">
        <f>2763+280</f>
        <v>3043</v>
      </c>
      <c r="M8" s="15">
        <f t="shared" si="0"/>
        <v>3043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>
        <v>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0.625</v>
      </c>
      <c r="AD8" s="10">
        <f t="shared" si="6"/>
        <v>0.625</v>
      </c>
      <c r="AE8" s="36">
        <f t="shared" si="7"/>
        <v>0.54166666666666674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615</v>
      </c>
      <c r="K9" s="15">
        <f>L9+4035</f>
        <v>4650</v>
      </c>
      <c r="L9" s="15">
        <v>615</v>
      </c>
      <c r="M9" s="15">
        <f t="shared" si="0"/>
        <v>615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6">
        <f t="shared" si="7"/>
        <v>0.54166666666666674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58000</v>
      </c>
      <c r="J10" s="14">
        <v>6637</v>
      </c>
      <c r="K10" s="15">
        <f>L10+5217+6628+5843+6693+6633+6764+6273+6588</f>
        <v>57276</v>
      </c>
      <c r="L10" s="15">
        <f>3306+3331</f>
        <v>6637</v>
      </c>
      <c r="M10" s="15">
        <f t="shared" si="0"/>
        <v>6637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0.54166666666666674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119</v>
      </c>
      <c r="D11" s="52" t="s">
        <v>196</v>
      </c>
      <c r="E11" s="53" t="s">
        <v>194</v>
      </c>
      <c r="F11" s="30" t="s">
        <v>136</v>
      </c>
      <c r="G11" s="33">
        <v>2</v>
      </c>
      <c r="H11" s="35">
        <v>24</v>
      </c>
      <c r="I11" s="7">
        <v>15000</v>
      </c>
      <c r="J11" s="14">
        <v>7560</v>
      </c>
      <c r="K11" s="15">
        <f>L11+10616+12082+7560</f>
        <v>30258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0.54166666666666674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5052</v>
      </c>
      <c r="K12" s="15">
        <f>L12+3980+4963+4857+4991</f>
        <v>23843</v>
      </c>
      <c r="L12" s="15">
        <f>2520+2532</f>
        <v>5052</v>
      </c>
      <c r="M12" s="15">
        <f t="shared" si="0"/>
        <v>5052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0.54166666666666674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205</v>
      </c>
      <c r="F13" s="30" t="s">
        <v>130</v>
      </c>
      <c r="G13" s="12">
        <v>1</v>
      </c>
      <c r="H13" s="13">
        <v>28</v>
      </c>
      <c r="I13" s="31">
        <v>2300</v>
      </c>
      <c r="J13" s="5">
        <v>903</v>
      </c>
      <c r="K13" s="15">
        <f>L13+1439+903</f>
        <v>2342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0.54166666666666674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182</v>
      </c>
      <c r="D14" s="52" t="s">
        <v>115</v>
      </c>
      <c r="E14" s="53" t="s">
        <v>181</v>
      </c>
      <c r="F14" s="30" t="s">
        <v>173</v>
      </c>
      <c r="G14" s="33">
        <v>1</v>
      </c>
      <c r="H14" s="35">
        <v>60</v>
      </c>
      <c r="I14" s="7">
        <v>150</v>
      </c>
      <c r="J14" s="5">
        <v>308</v>
      </c>
      <c r="K14" s="15">
        <f>L14+308</f>
        <v>308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0.54166666666666674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/>
      <c r="E15" s="53" t="s">
        <v>199</v>
      </c>
      <c r="F15" s="12" t="s">
        <v>144</v>
      </c>
      <c r="G15" s="12">
        <v>1</v>
      </c>
      <c r="H15" s="13">
        <v>24</v>
      </c>
      <c r="I15" s="31">
        <v>200</v>
      </c>
      <c r="J15" s="14">
        <v>283</v>
      </c>
      <c r="K15" s="15">
        <f>L15</f>
        <v>283</v>
      </c>
      <c r="L15" s="15">
        <f>283</f>
        <v>283</v>
      </c>
      <c r="M15" s="15">
        <f t="shared" si="0"/>
        <v>283</v>
      </c>
      <c r="N15" s="15">
        <v>0</v>
      </c>
      <c r="O15" s="58">
        <f t="shared" si="1"/>
        <v>0</v>
      </c>
      <c r="P15" s="39">
        <f t="shared" si="2"/>
        <v>3</v>
      </c>
      <c r="Q15" s="40">
        <f t="shared" si="3"/>
        <v>21</v>
      </c>
      <c r="R15" s="7"/>
      <c r="S15" s="6"/>
      <c r="T15" s="16"/>
      <c r="U15" s="16"/>
      <c r="V15" s="17"/>
      <c r="W15" s="5">
        <v>21</v>
      </c>
      <c r="X15" s="16"/>
      <c r="Y15" s="16"/>
      <c r="Z15" s="16"/>
      <c r="AA15" s="18"/>
      <c r="AB15" s="8">
        <f t="shared" si="4"/>
        <v>1</v>
      </c>
      <c r="AC15" s="9">
        <f t="shared" si="5"/>
        <v>0.125</v>
      </c>
      <c r="AD15" s="10">
        <f t="shared" si="6"/>
        <v>0.125</v>
      </c>
      <c r="AE15" s="36">
        <f t="shared" si="7"/>
        <v>0.54166666666666674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256</v>
      </c>
      <c r="E16" s="53" t="s">
        <v>291</v>
      </c>
      <c r="F16" s="30" t="s">
        <v>176</v>
      </c>
      <c r="G16" s="12">
        <v>1</v>
      </c>
      <c r="H16" s="13">
        <v>24</v>
      </c>
      <c r="I16" s="7">
        <v>40000</v>
      </c>
      <c r="J16" s="14">
        <v>5995</v>
      </c>
      <c r="K16" s="15">
        <f>L16+5553</f>
        <v>11548</v>
      </c>
      <c r="L16" s="15">
        <f>2974+3021</f>
        <v>5995</v>
      </c>
      <c r="M16" s="15">
        <f t="shared" si="0"/>
        <v>5995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0.54166666666666674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6416</v>
      </c>
      <c r="K17" s="15">
        <f>L17+3852</f>
        <v>10268</v>
      </c>
      <c r="L17" s="15">
        <f>3199+3217</f>
        <v>6416</v>
      </c>
      <c r="M17" s="15">
        <f t="shared" si="0"/>
        <v>6416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0.54166666666666674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4919</v>
      </c>
      <c r="K18" s="15">
        <f>L18+4435+4652+2675+4471+5923+1193+3790+3514</f>
        <v>35572</v>
      </c>
      <c r="L18" s="15">
        <f>2897+2022</f>
        <v>4919</v>
      </c>
      <c r="M18" s="15">
        <f t="shared" si="0"/>
        <v>4919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0.54166666666666674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5605</v>
      </c>
      <c r="K19" s="15">
        <f>L19+3970+4360+4886+5534</f>
        <v>24355</v>
      </c>
      <c r="L19" s="15">
        <f>2815+2790</f>
        <v>5605</v>
      </c>
      <c r="M19" s="15">
        <f t="shared" si="0"/>
        <v>5605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0.54166666666666674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135</v>
      </c>
      <c r="E20" s="53" t="s">
        <v>175</v>
      </c>
      <c r="F20" s="30" t="s">
        <v>176</v>
      </c>
      <c r="G20" s="12">
        <v>1</v>
      </c>
      <c r="H20" s="13">
        <v>28</v>
      </c>
      <c r="I20" s="31">
        <v>20000</v>
      </c>
      <c r="J20" s="5">
        <v>5123</v>
      </c>
      <c r="K20" s="15">
        <f>L20</f>
        <v>5123</v>
      </c>
      <c r="L20" s="15">
        <f>2399+2724</f>
        <v>5123</v>
      </c>
      <c r="M20" s="15">
        <f t="shared" si="0"/>
        <v>5123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>AC20*AB20*(1-O20)</f>
        <v>0.95833333333333337</v>
      </c>
      <c r="AE20" s="36">
        <f t="shared" si="7"/>
        <v>0.54166666666666674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0.54166666666666674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653650</v>
      </c>
      <c r="J22" s="19">
        <f t="shared" si="9"/>
        <v>66556</v>
      </c>
      <c r="K22" s="20">
        <f t="shared" si="9"/>
        <v>518031</v>
      </c>
      <c r="L22" s="21">
        <f t="shared" si="9"/>
        <v>52292</v>
      </c>
      <c r="M22" s="20">
        <f t="shared" si="9"/>
        <v>52292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208</v>
      </c>
      <c r="Q22" s="43">
        <f t="shared" si="10"/>
        <v>176</v>
      </c>
      <c r="R22" s="23">
        <f t="shared" si="10"/>
        <v>0</v>
      </c>
      <c r="S22" s="24">
        <f t="shared" si="10"/>
        <v>31</v>
      </c>
      <c r="T22" s="24">
        <f t="shared" si="10"/>
        <v>4</v>
      </c>
      <c r="U22" s="24">
        <f t="shared" si="10"/>
        <v>0</v>
      </c>
      <c r="V22" s="25">
        <f t="shared" si="10"/>
        <v>24</v>
      </c>
      <c r="W22" s="26">
        <f t="shared" si="10"/>
        <v>117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0.6875</v>
      </c>
      <c r="AC22" s="4">
        <f>AVERAGE(AC6:AC21)</f>
        <v>0.54166666666666674</v>
      </c>
      <c r="AD22" s="4">
        <f>AVERAGE(AD6:AD21)</f>
        <v>0.54166666666666674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330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333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96" t="s">
        <v>46</v>
      </c>
      <c r="D51" s="196" t="s">
        <v>47</v>
      </c>
      <c r="E51" s="196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196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118</v>
      </c>
      <c r="B52" s="431"/>
      <c r="C52" s="195" t="s">
        <v>243</v>
      </c>
      <c r="D52" s="195" t="s">
        <v>126</v>
      </c>
      <c r="E52" s="192" t="s">
        <v>320</v>
      </c>
      <c r="F52" s="418" t="s">
        <v>133</v>
      </c>
      <c r="G52" s="419"/>
      <c r="H52" s="419"/>
      <c r="I52" s="419"/>
      <c r="J52" s="419"/>
      <c r="K52" s="419"/>
      <c r="L52" s="419"/>
      <c r="M52" s="420"/>
      <c r="N52" s="191" t="s">
        <v>118</v>
      </c>
      <c r="O52" s="189" t="s">
        <v>134</v>
      </c>
      <c r="P52" s="432" t="s">
        <v>115</v>
      </c>
      <c r="Q52" s="433"/>
      <c r="R52" s="432" t="s">
        <v>138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16" t="s">
        <v>118</v>
      </c>
      <c r="B53" s="417"/>
      <c r="C53" s="192" t="s">
        <v>134</v>
      </c>
      <c r="D53" s="192" t="s">
        <v>115</v>
      </c>
      <c r="E53" s="192" t="s">
        <v>138</v>
      </c>
      <c r="F53" s="418" t="s">
        <v>331</v>
      </c>
      <c r="G53" s="419"/>
      <c r="H53" s="419"/>
      <c r="I53" s="419"/>
      <c r="J53" s="419"/>
      <c r="K53" s="419"/>
      <c r="L53" s="419"/>
      <c r="M53" s="420"/>
      <c r="N53" s="191" t="s">
        <v>118</v>
      </c>
      <c r="O53" s="189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118</v>
      </c>
      <c r="B54" s="431"/>
      <c r="C54" s="195" t="s">
        <v>143</v>
      </c>
      <c r="D54" s="195" t="s">
        <v>135</v>
      </c>
      <c r="E54" s="192" t="s">
        <v>290</v>
      </c>
      <c r="F54" s="418" t="s">
        <v>332</v>
      </c>
      <c r="G54" s="419"/>
      <c r="H54" s="419"/>
      <c r="I54" s="419"/>
      <c r="J54" s="419"/>
      <c r="K54" s="419"/>
      <c r="L54" s="419"/>
      <c r="M54" s="420"/>
      <c r="N54" s="191" t="s">
        <v>118</v>
      </c>
      <c r="O54" s="189" t="s">
        <v>177</v>
      </c>
      <c r="P54" s="432" t="s">
        <v>115</v>
      </c>
      <c r="Q54" s="433"/>
      <c r="R54" s="417" t="s">
        <v>179</v>
      </c>
      <c r="S54" s="417"/>
      <c r="T54" s="417"/>
      <c r="U54" s="417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121</v>
      </c>
      <c r="B55" s="431"/>
      <c r="C55" s="195" t="s">
        <v>166</v>
      </c>
      <c r="D55" s="195"/>
      <c r="E55" s="192" t="s">
        <v>199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191"/>
      <c r="O55" s="189"/>
      <c r="P55" s="432"/>
      <c r="Q55" s="433"/>
      <c r="R55" s="417"/>
      <c r="S55" s="417"/>
      <c r="T55" s="417"/>
      <c r="U55" s="417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 t="s">
        <v>118</v>
      </c>
      <c r="B56" s="417"/>
      <c r="C56" s="192" t="s">
        <v>149</v>
      </c>
      <c r="D56" s="192" t="s">
        <v>135</v>
      </c>
      <c r="E56" s="192" t="s">
        <v>175</v>
      </c>
      <c r="F56" s="418" t="s">
        <v>133</v>
      </c>
      <c r="G56" s="419"/>
      <c r="H56" s="419"/>
      <c r="I56" s="419"/>
      <c r="J56" s="419"/>
      <c r="K56" s="419"/>
      <c r="L56" s="419"/>
      <c r="M56" s="420"/>
      <c r="N56" s="191"/>
      <c r="O56" s="189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192"/>
      <c r="D57" s="192"/>
      <c r="E57" s="192"/>
      <c r="F57" s="418"/>
      <c r="G57" s="419"/>
      <c r="H57" s="419"/>
      <c r="I57" s="419"/>
      <c r="J57" s="419"/>
      <c r="K57" s="419"/>
      <c r="L57" s="419"/>
      <c r="M57" s="420"/>
      <c r="N57" s="191"/>
      <c r="O57" s="189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195"/>
      <c r="D58" s="195"/>
      <c r="E58" s="192"/>
      <c r="F58" s="418"/>
      <c r="G58" s="419"/>
      <c r="H58" s="419"/>
      <c r="I58" s="419"/>
      <c r="J58" s="419"/>
      <c r="K58" s="419"/>
      <c r="L58" s="419"/>
      <c r="M58" s="420"/>
      <c r="N58" s="191"/>
      <c r="O58" s="189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195"/>
      <c r="D59" s="195"/>
      <c r="E59" s="192"/>
      <c r="F59" s="418"/>
      <c r="G59" s="419"/>
      <c r="H59" s="419"/>
      <c r="I59" s="419"/>
      <c r="J59" s="419"/>
      <c r="K59" s="419"/>
      <c r="L59" s="419"/>
      <c r="M59" s="420"/>
      <c r="N59" s="191"/>
      <c r="O59" s="189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192"/>
      <c r="D60" s="192"/>
      <c r="E60" s="192"/>
      <c r="F60" s="418"/>
      <c r="G60" s="419"/>
      <c r="H60" s="419"/>
      <c r="I60" s="419"/>
      <c r="J60" s="419"/>
      <c r="K60" s="419"/>
      <c r="L60" s="419"/>
      <c r="M60" s="420"/>
      <c r="N60" s="191"/>
      <c r="O60" s="189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193"/>
      <c r="D61" s="194"/>
      <c r="E61" s="194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334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190" t="s">
        <v>2</v>
      </c>
      <c r="D63" s="190" t="s">
        <v>37</v>
      </c>
      <c r="E63" s="190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190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118</v>
      </c>
      <c r="D64" s="185"/>
      <c r="E64" s="188" t="s">
        <v>135</v>
      </c>
      <c r="F64" s="406" t="s">
        <v>335</v>
      </c>
      <c r="G64" s="407"/>
      <c r="H64" s="407"/>
      <c r="I64" s="407"/>
      <c r="J64" s="408"/>
      <c r="K64" s="394" t="s">
        <v>130</v>
      </c>
      <c r="L64" s="394"/>
      <c r="M64" s="51" t="s">
        <v>151</v>
      </c>
      <c r="N64" s="403" t="s">
        <v>141</v>
      </c>
      <c r="O64" s="403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340</v>
      </c>
      <c r="D65" s="185"/>
      <c r="E65" s="188"/>
      <c r="F65" s="406" t="s">
        <v>336</v>
      </c>
      <c r="G65" s="407"/>
      <c r="H65" s="407"/>
      <c r="I65" s="407"/>
      <c r="J65" s="408"/>
      <c r="K65" s="394" t="s">
        <v>338</v>
      </c>
      <c r="L65" s="394"/>
      <c r="M65" s="51" t="s">
        <v>339</v>
      </c>
      <c r="N65" s="403" t="s">
        <v>141</v>
      </c>
      <c r="O65" s="403"/>
      <c r="P65" s="404">
        <v>100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340</v>
      </c>
      <c r="D66" s="185"/>
      <c r="E66" s="188"/>
      <c r="F66" s="406" t="s">
        <v>337</v>
      </c>
      <c r="G66" s="407"/>
      <c r="H66" s="407"/>
      <c r="I66" s="407"/>
      <c r="J66" s="408"/>
      <c r="K66" s="394"/>
      <c r="L66" s="394"/>
      <c r="M66" s="51" t="s">
        <v>339</v>
      </c>
      <c r="N66" s="403" t="s">
        <v>141</v>
      </c>
      <c r="O66" s="403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185"/>
      <c r="E67" s="188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185"/>
      <c r="E68" s="188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185"/>
      <c r="E69" s="188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185"/>
      <c r="E70" s="188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185"/>
      <c r="E71" s="188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185"/>
      <c r="E72" s="188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185"/>
      <c r="E73" s="188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341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187" t="s">
        <v>2</v>
      </c>
      <c r="D75" s="187" t="s">
        <v>37</v>
      </c>
      <c r="E75" s="187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186" t="s">
        <v>112</v>
      </c>
      <c r="D76" s="186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43675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185"/>
      <c r="D77" s="185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185"/>
      <c r="D78" s="185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185"/>
      <c r="D79" s="185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185"/>
      <c r="D80" s="185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185"/>
      <c r="D81" s="185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185"/>
      <c r="D82" s="185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342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B62E-8B52-4900-ACFD-EACB588F5F30}">
  <dimension ref="A1:AF87"/>
  <sheetViews>
    <sheetView view="pageBreakPreview" zoomScale="70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343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320</v>
      </c>
      <c r="F6" s="30" t="s">
        <v>173</v>
      </c>
      <c r="G6" s="12">
        <v>2</v>
      </c>
      <c r="H6" s="13">
        <v>24</v>
      </c>
      <c r="I6" s="7">
        <v>16000</v>
      </c>
      <c r="J6" s="14">
        <v>10840</v>
      </c>
      <c r="K6" s="15">
        <f>L6+8604</f>
        <v>19444</v>
      </c>
      <c r="L6" s="15">
        <f>2707*2+2713*2</f>
        <v>10840</v>
      </c>
      <c r="M6" s="15">
        <f t="shared" ref="M6:M21" si="0">L6-N6</f>
        <v>10840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0.58333333333333337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126</v>
      </c>
      <c r="E7" s="53" t="s">
        <v>344</v>
      </c>
      <c r="F7" s="12">
        <v>8301</v>
      </c>
      <c r="G7" s="12">
        <v>1</v>
      </c>
      <c r="H7" s="13">
        <v>24</v>
      </c>
      <c r="I7" s="31">
        <v>2000</v>
      </c>
      <c r="J7" s="14">
        <v>2203</v>
      </c>
      <c r="K7" s="15">
        <f>L7</f>
        <v>2203</v>
      </c>
      <c r="L7" s="15">
        <f>547+1656</f>
        <v>2203</v>
      </c>
      <c r="M7" s="15">
        <f t="shared" si="0"/>
        <v>2203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/>
      <c r="T7" s="16"/>
      <c r="U7" s="16"/>
      <c r="V7" s="17"/>
      <c r="W7" s="5">
        <v>10</v>
      </c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0.58333333333333337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3" t="s">
        <v>179</v>
      </c>
      <c r="F8" s="30" t="s">
        <v>127</v>
      </c>
      <c r="G8" s="33">
        <v>1</v>
      </c>
      <c r="H8" s="35">
        <v>24</v>
      </c>
      <c r="I8" s="7">
        <v>15000</v>
      </c>
      <c r="J8" s="5">
        <v>4750</v>
      </c>
      <c r="K8" s="15">
        <f>L8</f>
        <v>4750</v>
      </c>
      <c r="L8" s="15">
        <f>2032+2718</f>
        <v>4750</v>
      </c>
      <c r="M8" s="15">
        <f t="shared" si="0"/>
        <v>4750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2</v>
      </c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0.58333333333333337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3163</v>
      </c>
      <c r="K9" s="15">
        <f>L9+4035+615</f>
        <v>7813</v>
      </c>
      <c r="L9" s="15">
        <f>1604+1559</f>
        <v>3163</v>
      </c>
      <c r="M9" s="15">
        <f t="shared" si="0"/>
        <v>3163</v>
      </c>
      <c r="N9" s="15">
        <v>0</v>
      </c>
      <c r="O9" s="58">
        <f t="shared" si="1"/>
        <v>0</v>
      </c>
      <c r="P9" s="39">
        <f t="shared" si="2"/>
        <v>16</v>
      </c>
      <c r="Q9" s="40">
        <f t="shared" si="3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0.66666666666666663</v>
      </c>
      <c r="AD9" s="10">
        <f t="shared" si="6"/>
        <v>0.66666666666666663</v>
      </c>
      <c r="AE9" s="36">
        <f t="shared" si="7"/>
        <v>0.58333333333333337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75000</v>
      </c>
      <c r="J10" s="14">
        <v>6651</v>
      </c>
      <c r="K10" s="15">
        <f>L10+5217+6628+5843+6693+6633+6764+6273+6588+6637</f>
        <v>63927</v>
      </c>
      <c r="L10" s="15">
        <f>3319+3332</f>
        <v>6651</v>
      </c>
      <c r="M10" s="15">
        <f t="shared" si="0"/>
        <v>6651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0.58333333333333337</v>
      </c>
      <c r="AF10" s="84">
        <f t="shared" si="8"/>
        <v>5</v>
      </c>
    </row>
    <row r="11" spans="1:32" ht="27" customHeight="1">
      <c r="A11" s="96">
        <v>6</v>
      </c>
      <c r="B11" s="11"/>
      <c r="C11" s="11"/>
      <c r="D11" s="52"/>
      <c r="E11" s="53"/>
      <c r="F11" s="30"/>
      <c r="G11" s="33"/>
      <c r="H11" s="35"/>
      <c r="I11" s="7"/>
      <c r="J11" s="14"/>
      <c r="K11" s="15"/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 t="str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0.58333333333333337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5074</v>
      </c>
      <c r="K12" s="15">
        <f>L12+3980+4963+4857+4991+5052</f>
        <v>28917</v>
      </c>
      <c r="L12" s="15">
        <f>2534+2540</f>
        <v>5074</v>
      </c>
      <c r="M12" s="15">
        <f t="shared" si="0"/>
        <v>5074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0.58333333333333337</v>
      </c>
      <c r="AF12" s="84">
        <f t="shared" si="8"/>
        <v>7</v>
      </c>
    </row>
    <row r="13" spans="1:32" ht="27" customHeight="1">
      <c r="A13" s="96">
        <v>8</v>
      </c>
      <c r="B13" s="11"/>
      <c r="C13" s="34"/>
      <c r="D13" s="52"/>
      <c r="E13" s="53"/>
      <c r="F13" s="30"/>
      <c r="G13" s="12"/>
      <c r="H13" s="13"/>
      <c r="I13" s="31"/>
      <c r="J13" s="5"/>
      <c r="K13" s="15"/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 t="str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0.58333333333333337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0.58333333333333337</v>
      </c>
      <c r="AF14" s="84">
        <f t="shared" si="8"/>
        <v>9</v>
      </c>
    </row>
    <row r="15" spans="1:32" ht="27" customHeight="1">
      <c r="A15" s="95">
        <v>10</v>
      </c>
      <c r="B15" s="11"/>
      <c r="C15" s="34"/>
      <c r="D15" s="52"/>
      <c r="E15" s="53"/>
      <c r="F15" s="12"/>
      <c r="G15" s="12"/>
      <c r="H15" s="13"/>
      <c r="I15" s="31"/>
      <c r="J15" s="14"/>
      <c r="K15" s="15"/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 t="str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0.58333333333333337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256</v>
      </c>
      <c r="E16" s="53" t="s">
        <v>291</v>
      </c>
      <c r="F16" s="30" t="s">
        <v>176</v>
      </c>
      <c r="G16" s="12">
        <v>1</v>
      </c>
      <c r="H16" s="13">
        <v>24</v>
      </c>
      <c r="I16" s="7">
        <v>40000</v>
      </c>
      <c r="J16" s="14">
        <v>6007</v>
      </c>
      <c r="K16" s="15">
        <f>L16+5553+5995</f>
        <v>17555</v>
      </c>
      <c r="L16" s="15">
        <f>2994+3013</f>
        <v>6007</v>
      </c>
      <c r="M16" s="15">
        <f t="shared" si="0"/>
        <v>6007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0.58333333333333337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5889</v>
      </c>
      <c r="K17" s="15">
        <f>L17+3852+6416</f>
        <v>16157</v>
      </c>
      <c r="L17" s="15">
        <f>2756+3133</f>
        <v>5889</v>
      </c>
      <c r="M17" s="15">
        <f t="shared" si="0"/>
        <v>5889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0.58333333333333337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4256</v>
      </c>
      <c r="K18" s="15">
        <f>L18+4435+4652+2675+4471+5923+1193+3790+3514+4919</f>
        <v>39828</v>
      </c>
      <c r="L18" s="15">
        <f>2915+1341</f>
        <v>4256</v>
      </c>
      <c r="M18" s="15">
        <f t="shared" si="0"/>
        <v>4256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0.58333333333333337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1226</v>
      </c>
      <c r="K19" s="15">
        <f>L19+3970+4360+4886+5534+5605</f>
        <v>25581</v>
      </c>
      <c r="L19" s="15">
        <v>1226</v>
      </c>
      <c r="M19" s="15">
        <f t="shared" si="0"/>
        <v>1226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>
        <v>16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0.58333333333333337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135</v>
      </c>
      <c r="E20" s="53" t="s">
        <v>175</v>
      </c>
      <c r="F20" s="30" t="s">
        <v>176</v>
      </c>
      <c r="G20" s="12">
        <v>1</v>
      </c>
      <c r="H20" s="13">
        <v>28</v>
      </c>
      <c r="I20" s="31">
        <v>20000</v>
      </c>
      <c r="J20" s="5">
        <v>5379</v>
      </c>
      <c r="K20" s="15">
        <f>L20+5123</f>
        <v>10502</v>
      </c>
      <c r="L20" s="15">
        <f>2730+2649</f>
        <v>5379</v>
      </c>
      <c r="M20" s="15">
        <f t="shared" si="0"/>
        <v>5379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0.58333333333333337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0.58333333333333337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638000</v>
      </c>
      <c r="J22" s="19">
        <f t="shared" si="9"/>
        <v>59442</v>
      </c>
      <c r="K22" s="20">
        <f t="shared" si="9"/>
        <v>503065</v>
      </c>
      <c r="L22" s="21">
        <f t="shared" si="9"/>
        <v>55438</v>
      </c>
      <c r="M22" s="20">
        <f t="shared" si="9"/>
        <v>55438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224</v>
      </c>
      <c r="Q22" s="43">
        <f t="shared" si="10"/>
        <v>160</v>
      </c>
      <c r="R22" s="23">
        <f t="shared" si="10"/>
        <v>0</v>
      </c>
      <c r="S22" s="24">
        <f t="shared" si="10"/>
        <v>29</v>
      </c>
      <c r="T22" s="24">
        <f t="shared" si="10"/>
        <v>1</v>
      </c>
      <c r="U22" s="24">
        <f t="shared" si="10"/>
        <v>0</v>
      </c>
      <c r="V22" s="25">
        <f t="shared" si="10"/>
        <v>24</v>
      </c>
      <c r="W22" s="26">
        <f t="shared" si="10"/>
        <v>58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0.91666666666666663</v>
      </c>
      <c r="AC22" s="4">
        <f>AVERAGE(AC6:AC21)</f>
        <v>0.58333333333333337</v>
      </c>
      <c r="AD22" s="4">
        <f>AVERAGE(AD6:AD21)</f>
        <v>0.58333333333333337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345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350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99" t="s">
        <v>46</v>
      </c>
      <c r="D51" s="199" t="s">
        <v>47</v>
      </c>
      <c r="E51" s="199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199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00" t="s">
        <v>132</v>
      </c>
      <c r="D52" s="200" t="s">
        <v>126</v>
      </c>
      <c r="E52" s="202" t="s">
        <v>344</v>
      </c>
      <c r="F52" s="418" t="s">
        <v>348</v>
      </c>
      <c r="G52" s="419"/>
      <c r="H52" s="419"/>
      <c r="I52" s="419"/>
      <c r="J52" s="419"/>
      <c r="K52" s="419"/>
      <c r="L52" s="419"/>
      <c r="M52" s="420"/>
      <c r="N52" s="201" t="s">
        <v>119</v>
      </c>
      <c r="O52" s="207" t="s">
        <v>132</v>
      </c>
      <c r="P52" s="432"/>
      <c r="Q52" s="433"/>
      <c r="R52" s="432" t="s">
        <v>351</v>
      </c>
      <c r="S52" s="434"/>
      <c r="T52" s="434"/>
      <c r="U52" s="433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16" t="s">
        <v>118</v>
      </c>
      <c r="B53" s="417"/>
      <c r="C53" s="202" t="s">
        <v>134</v>
      </c>
      <c r="D53" s="202" t="s">
        <v>115</v>
      </c>
      <c r="E53" s="202" t="s">
        <v>138</v>
      </c>
      <c r="F53" s="418" t="s">
        <v>129</v>
      </c>
      <c r="G53" s="419"/>
      <c r="H53" s="419"/>
      <c r="I53" s="419"/>
      <c r="J53" s="419"/>
      <c r="K53" s="419"/>
      <c r="L53" s="419"/>
      <c r="M53" s="420"/>
      <c r="N53" s="201" t="s">
        <v>118</v>
      </c>
      <c r="O53" s="207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118</v>
      </c>
      <c r="B54" s="431"/>
      <c r="C54" s="200" t="s">
        <v>143</v>
      </c>
      <c r="D54" s="200" t="s">
        <v>135</v>
      </c>
      <c r="E54" s="202" t="s">
        <v>290</v>
      </c>
      <c r="F54" s="418" t="s">
        <v>346</v>
      </c>
      <c r="G54" s="419"/>
      <c r="H54" s="419"/>
      <c r="I54" s="419"/>
      <c r="J54" s="419"/>
      <c r="K54" s="419"/>
      <c r="L54" s="419"/>
      <c r="M54" s="420"/>
      <c r="N54" s="201"/>
      <c r="O54" s="207"/>
      <c r="P54" s="432"/>
      <c r="Q54" s="433"/>
      <c r="R54" s="417"/>
      <c r="S54" s="417"/>
      <c r="T54" s="417"/>
      <c r="U54" s="417"/>
      <c r="V54" s="405"/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16" t="s">
        <v>118</v>
      </c>
      <c r="B55" s="417"/>
      <c r="C55" s="202" t="s">
        <v>177</v>
      </c>
      <c r="D55" s="202" t="s">
        <v>115</v>
      </c>
      <c r="E55" s="202" t="s">
        <v>179</v>
      </c>
      <c r="F55" s="418" t="s">
        <v>347</v>
      </c>
      <c r="G55" s="419"/>
      <c r="H55" s="419"/>
      <c r="I55" s="419"/>
      <c r="J55" s="419"/>
      <c r="K55" s="419"/>
      <c r="L55" s="419"/>
      <c r="M55" s="420"/>
      <c r="N55" s="201"/>
      <c r="O55" s="207"/>
      <c r="P55" s="432"/>
      <c r="Q55" s="433"/>
      <c r="R55" s="417"/>
      <c r="S55" s="417"/>
      <c r="T55" s="417"/>
      <c r="U55" s="417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 t="s">
        <v>112</v>
      </c>
      <c r="B56" s="417"/>
      <c r="C56" s="202" t="s">
        <v>140</v>
      </c>
      <c r="D56" s="202" t="s">
        <v>155</v>
      </c>
      <c r="E56" s="202" t="s">
        <v>263</v>
      </c>
      <c r="F56" s="418" t="s">
        <v>349</v>
      </c>
      <c r="G56" s="419"/>
      <c r="H56" s="419"/>
      <c r="I56" s="419"/>
      <c r="J56" s="419"/>
      <c r="K56" s="419"/>
      <c r="L56" s="419"/>
      <c r="M56" s="420"/>
      <c r="N56" s="201"/>
      <c r="O56" s="207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02"/>
      <c r="D57" s="202"/>
      <c r="E57" s="202"/>
      <c r="F57" s="418"/>
      <c r="G57" s="419"/>
      <c r="H57" s="419"/>
      <c r="I57" s="419"/>
      <c r="J57" s="419"/>
      <c r="K57" s="419"/>
      <c r="L57" s="419"/>
      <c r="M57" s="420"/>
      <c r="N57" s="201"/>
      <c r="O57" s="207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00"/>
      <c r="D58" s="200"/>
      <c r="E58" s="202"/>
      <c r="F58" s="418"/>
      <c r="G58" s="419"/>
      <c r="H58" s="419"/>
      <c r="I58" s="419"/>
      <c r="J58" s="419"/>
      <c r="K58" s="419"/>
      <c r="L58" s="419"/>
      <c r="M58" s="420"/>
      <c r="N58" s="201"/>
      <c r="O58" s="207"/>
      <c r="P58" s="432"/>
      <c r="Q58" s="433"/>
      <c r="R58" s="417"/>
      <c r="S58" s="417"/>
      <c r="T58" s="417"/>
      <c r="U58" s="417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00"/>
      <c r="D59" s="200"/>
      <c r="E59" s="202"/>
      <c r="F59" s="418"/>
      <c r="G59" s="419"/>
      <c r="H59" s="419"/>
      <c r="I59" s="419"/>
      <c r="J59" s="419"/>
      <c r="K59" s="419"/>
      <c r="L59" s="419"/>
      <c r="M59" s="420"/>
      <c r="N59" s="201"/>
      <c r="O59" s="207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02"/>
      <c r="D60" s="202"/>
      <c r="E60" s="202"/>
      <c r="F60" s="418"/>
      <c r="G60" s="419"/>
      <c r="H60" s="419"/>
      <c r="I60" s="419"/>
      <c r="J60" s="419"/>
      <c r="K60" s="419"/>
      <c r="L60" s="419"/>
      <c r="M60" s="420"/>
      <c r="N60" s="201"/>
      <c r="O60" s="207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03"/>
      <c r="D61" s="204"/>
      <c r="E61" s="204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352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05" t="s">
        <v>2</v>
      </c>
      <c r="D63" s="205" t="s">
        <v>37</v>
      </c>
      <c r="E63" s="205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05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118</v>
      </c>
      <c r="D64" s="209"/>
      <c r="E64" s="206" t="s">
        <v>126</v>
      </c>
      <c r="F64" s="406" t="s">
        <v>198</v>
      </c>
      <c r="G64" s="407"/>
      <c r="H64" s="407"/>
      <c r="I64" s="407"/>
      <c r="J64" s="408"/>
      <c r="K64" s="394" t="s">
        <v>216</v>
      </c>
      <c r="L64" s="394"/>
      <c r="M64" s="51" t="s">
        <v>151</v>
      </c>
      <c r="N64" s="403" t="s">
        <v>166</v>
      </c>
      <c r="O64" s="403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340</v>
      </c>
      <c r="D65" s="209"/>
      <c r="E65" s="206"/>
      <c r="F65" s="406" t="s">
        <v>353</v>
      </c>
      <c r="G65" s="407"/>
      <c r="H65" s="407"/>
      <c r="I65" s="407"/>
      <c r="J65" s="408"/>
      <c r="K65" s="394" t="s">
        <v>354</v>
      </c>
      <c r="L65" s="394"/>
      <c r="M65" s="51" t="s">
        <v>339</v>
      </c>
      <c r="N65" s="403" t="s">
        <v>141</v>
      </c>
      <c r="O65" s="403"/>
      <c r="P65" s="475" t="s">
        <v>355</v>
      </c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209"/>
      <c r="E66" s="206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209"/>
      <c r="E67" s="206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209"/>
      <c r="E68" s="206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09"/>
      <c r="E69" s="206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09"/>
      <c r="E70" s="206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09"/>
      <c r="E71" s="206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09"/>
      <c r="E72" s="206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09"/>
      <c r="E73" s="206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356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08" t="s">
        <v>2</v>
      </c>
      <c r="D75" s="208" t="s">
        <v>37</v>
      </c>
      <c r="E75" s="208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10" t="s">
        <v>112</v>
      </c>
      <c r="D76" s="210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09"/>
      <c r="D77" s="209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09"/>
      <c r="D78" s="209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09"/>
      <c r="D79" s="209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09"/>
      <c r="D80" s="209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09"/>
      <c r="D81" s="209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09"/>
      <c r="D82" s="209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357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88C5-BA4E-48B9-906C-1784CCE86FB6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358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23" t="s">
        <v>17</v>
      </c>
      <c r="L5" s="223" t="s">
        <v>18</v>
      </c>
      <c r="M5" s="223" t="s">
        <v>19</v>
      </c>
      <c r="N5" s="22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126</v>
      </c>
      <c r="E6" s="53" t="s">
        <v>320</v>
      </c>
      <c r="F6" s="30" t="s">
        <v>173</v>
      </c>
      <c r="G6" s="12">
        <v>2</v>
      </c>
      <c r="H6" s="13">
        <v>24</v>
      </c>
      <c r="I6" s="7">
        <v>16000</v>
      </c>
      <c r="J6" s="14">
        <v>8852</v>
      </c>
      <c r="K6" s="15">
        <f>L6+8604+10840</f>
        <v>28296</v>
      </c>
      <c r="L6" s="15">
        <f>1708*2+2718*2</f>
        <v>8852</v>
      </c>
      <c r="M6" s="15">
        <f t="shared" ref="M6:M21" si="0">L6-N6</f>
        <v>8852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22</v>
      </c>
      <c r="Q6" s="40">
        <f t="shared" ref="Q6:Q21" si="3">SUM(R6:AA6)</f>
        <v>2</v>
      </c>
      <c r="R6" s="7"/>
      <c r="S6" s="6"/>
      <c r="T6" s="16"/>
      <c r="U6" s="16"/>
      <c r="V6" s="17"/>
      <c r="W6" s="5">
        <v>2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0.91666666666666663</v>
      </c>
      <c r="AD6" s="10">
        <f t="shared" ref="AD6:AD21" si="6">AC6*AB6*(1-O6)</f>
        <v>0.91666666666666663</v>
      </c>
      <c r="AE6" s="36">
        <f t="shared" ref="AE6:AE21" si="7">$AD$22</f>
        <v>0.59895833333333326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27610</v>
      </c>
      <c r="K7" s="15">
        <f>L7</f>
        <v>27610</v>
      </c>
      <c r="L7" s="15">
        <f>1910*5+3612*5</f>
        <v>27610</v>
      </c>
      <c r="M7" s="15">
        <f t="shared" si="0"/>
        <v>27610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0.59895833333333326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3" t="s">
        <v>179</v>
      </c>
      <c r="F8" s="30" t="s">
        <v>127</v>
      </c>
      <c r="G8" s="33">
        <v>1</v>
      </c>
      <c r="H8" s="35">
        <v>24</v>
      </c>
      <c r="I8" s="7">
        <v>15000</v>
      </c>
      <c r="J8" s="5">
        <v>5316</v>
      </c>
      <c r="K8" s="15">
        <f>L8+4750</f>
        <v>10066</v>
      </c>
      <c r="L8" s="15">
        <f>2714+2602</f>
        <v>5316</v>
      </c>
      <c r="M8" s="15">
        <f t="shared" si="0"/>
        <v>5316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0.59895833333333326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2977</v>
      </c>
      <c r="K9" s="15">
        <f>L9+4035+615+3163</f>
        <v>10790</v>
      </c>
      <c r="L9" s="15">
        <f>2230+747</f>
        <v>2977</v>
      </c>
      <c r="M9" s="15">
        <f t="shared" si="0"/>
        <v>2977</v>
      </c>
      <c r="N9" s="15">
        <v>0</v>
      </c>
      <c r="O9" s="58">
        <f t="shared" si="1"/>
        <v>0</v>
      </c>
      <c r="P9" s="39">
        <f t="shared" si="2"/>
        <v>15</v>
      </c>
      <c r="Q9" s="40">
        <f t="shared" si="3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0.625</v>
      </c>
      <c r="AD9" s="10">
        <f t="shared" si="6"/>
        <v>0.625</v>
      </c>
      <c r="AE9" s="36">
        <f t="shared" si="7"/>
        <v>0.59895833333333326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75000</v>
      </c>
      <c r="J10" s="14">
        <v>6854</v>
      </c>
      <c r="K10" s="15">
        <f>L10+5217+6628+5843+6693+6633+6764+6273+6588+6637+6651</f>
        <v>70781</v>
      </c>
      <c r="L10" s="15">
        <f>3523+3331</f>
        <v>6854</v>
      </c>
      <c r="M10" s="15">
        <f t="shared" si="0"/>
        <v>6854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0.59895833333333326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359</v>
      </c>
      <c r="E11" s="53" t="s">
        <v>360</v>
      </c>
      <c r="F11" s="30" t="s">
        <v>136</v>
      </c>
      <c r="G11" s="33">
        <v>2</v>
      </c>
      <c r="H11" s="35">
        <v>24</v>
      </c>
      <c r="I11" s="7">
        <v>1200</v>
      </c>
      <c r="J11" s="14">
        <v>0</v>
      </c>
      <c r="K11" s="15">
        <f>L11</f>
        <v>0</v>
      </c>
      <c r="L11" s="15">
        <v>0</v>
      </c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>
        <v>24</v>
      </c>
      <c r="U11" s="16"/>
      <c r="V11" s="17"/>
      <c r="W11" s="5"/>
      <c r="X11" s="16"/>
      <c r="Y11" s="16"/>
      <c r="Z11" s="16"/>
      <c r="AA11" s="18"/>
      <c r="AB11" s="8" t="str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0.59895833333333326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5369</v>
      </c>
      <c r="K12" s="15">
        <f>L12+3980+4963+4857+4991+5052+5074</f>
        <v>34286</v>
      </c>
      <c r="L12" s="15">
        <f>2834+2535</f>
        <v>5369</v>
      </c>
      <c r="M12" s="15">
        <f t="shared" si="0"/>
        <v>5369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0.59895833333333326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0</v>
      </c>
      <c r="K13" s="15">
        <f>L13</f>
        <v>0</v>
      </c>
      <c r="L13" s="15">
        <v>0</v>
      </c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>
        <v>24</v>
      </c>
      <c r="U13" s="16"/>
      <c r="V13" s="17"/>
      <c r="W13" s="5"/>
      <c r="X13" s="16"/>
      <c r="Y13" s="16"/>
      <c r="Z13" s="16"/>
      <c r="AA13" s="18"/>
      <c r="AB13" s="8" t="str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0.59895833333333326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0.59895833333333326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362</v>
      </c>
      <c r="F15" s="12" t="s">
        <v>144</v>
      </c>
      <c r="G15" s="12">
        <v>1</v>
      </c>
      <c r="H15" s="13">
        <v>24</v>
      </c>
      <c r="I15" s="31">
        <v>1000</v>
      </c>
      <c r="J15" s="14">
        <v>1019</v>
      </c>
      <c r="K15" s="15">
        <f>L15</f>
        <v>1019</v>
      </c>
      <c r="L15" s="15">
        <f>228+791</f>
        <v>1019</v>
      </c>
      <c r="M15" s="15">
        <f t="shared" si="0"/>
        <v>1019</v>
      </c>
      <c r="N15" s="15">
        <v>0</v>
      </c>
      <c r="O15" s="58">
        <f t="shared" si="1"/>
        <v>0</v>
      </c>
      <c r="P15" s="39">
        <f t="shared" si="2"/>
        <v>6</v>
      </c>
      <c r="Q15" s="40">
        <f t="shared" si="3"/>
        <v>18</v>
      </c>
      <c r="R15" s="7"/>
      <c r="S15" s="6"/>
      <c r="T15" s="16"/>
      <c r="U15" s="16"/>
      <c r="V15" s="17">
        <v>8</v>
      </c>
      <c r="W15" s="5">
        <v>10</v>
      </c>
      <c r="X15" s="16"/>
      <c r="Y15" s="16"/>
      <c r="Z15" s="16"/>
      <c r="AA15" s="18"/>
      <c r="AB15" s="8">
        <f t="shared" si="4"/>
        <v>1</v>
      </c>
      <c r="AC15" s="9">
        <f t="shared" si="5"/>
        <v>0.25</v>
      </c>
      <c r="AD15" s="10">
        <f t="shared" si="6"/>
        <v>0.25</v>
      </c>
      <c r="AE15" s="36">
        <f t="shared" si="7"/>
        <v>0.59895833333333326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256</v>
      </c>
      <c r="E16" s="53" t="s">
        <v>291</v>
      </c>
      <c r="F16" s="30" t="s">
        <v>176</v>
      </c>
      <c r="G16" s="12">
        <v>1</v>
      </c>
      <c r="H16" s="13">
        <v>24</v>
      </c>
      <c r="I16" s="7">
        <v>40000</v>
      </c>
      <c r="J16" s="14">
        <v>6250</v>
      </c>
      <c r="K16" s="15">
        <f>L16+5553+5995+6007</f>
        <v>23805</v>
      </c>
      <c r="L16" s="15">
        <f>3022+3228</f>
        <v>6250</v>
      </c>
      <c r="M16" s="15">
        <f t="shared" si="0"/>
        <v>6250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0.59895833333333326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</f>
        <v>21572</v>
      </c>
      <c r="L17" s="15">
        <f>2219+3196</f>
        <v>5415</v>
      </c>
      <c r="M17" s="15">
        <f t="shared" si="0"/>
        <v>5415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0.59895833333333326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138</v>
      </c>
      <c r="F18" s="30" t="s">
        <v>127</v>
      </c>
      <c r="G18" s="33">
        <v>1</v>
      </c>
      <c r="H18" s="35">
        <v>24</v>
      </c>
      <c r="I18" s="7">
        <v>44000</v>
      </c>
      <c r="J18" s="14">
        <v>5182</v>
      </c>
      <c r="K18" s="15">
        <f>L18+4435+4652+2675+4471+5923+1193+3790+3514+4919+4256</f>
        <v>45010</v>
      </c>
      <c r="L18" s="15">
        <f>2276+2906</f>
        <v>5182</v>
      </c>
      <c r="M18" s="15">
        <f t="shared" si="0"/>
        <v>5182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0.59895833333333326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1226</v>
      </c>
      <c r="K19" s="15">
        <f>L19+3970+4360+4886+5534+5605+1226</f>
        <v>25581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0.59895833333333326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118</v>
      </c>
      <c r="D20" s="52" t="s">
        <v>135</v>
      </c>
      <c r="E20" s="53" t="s">
        <v>175</v>
      </c>
      <c r="F20" s="30" t="s">
        <v>176</v>
      </c>
      <c r="G20" s="12">
        <v>1</v>
      </c>
      <c r="H20" s="13">
        <v>28</v>
      </c>
      <c r="I20" s="31">
        <v>20000</v>
      </c>
      <c r="J20" s="5">
        <v>4594</v>
      </c>
      <c r="K20" s="15">
        <f>L20+5123+5379</f>
        <v>15096</v>
      </c>
      <c r="L20" s="15">
        <f>2194+2400</f>
        <v>4594</v>
      </c>
      <c r="M20" s="15">
        <f t="shared" si="0"/>
        <v>4594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>AC20*AB20*(1-O20)</f>
        <v>0.91666666666666663</v>
      </c>
      <c r="AE20" s="36">
        <f t="shared" si="7"/>
        <v>0.59895833333333326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0.59895833333333326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739400</v>
      </c>
      <c r="J22" s="19">
        <f t="shared" si="9"/>
        <v>84668</v>
      </c>
      <c r="K22" s="20">
        <f t="shared" si="9"/>
        <v>580300</v>
      </c>
      <c r="L22" s="21">
        <f t="shared" si="9"/>
        <v>79438</v>
      </c>
      <c r="M22" s="20">
        <f t="shared" si="9"/>
        <v>79438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230</v>
      </c>
      <c r="Q22" s="43">
        <f t="shared" si="10"/>
        <v>154</v>
      </c>
      <c r="R22" s="23">
        <f t="shared" si="10"/>
        <v>0</v>
      </c>
      <c r="S22" s="24">
        <f t="shared" si="10"/>
        <v>14</v>
      </c>
      <c r="T22" s="24">
        <f t="shared" si="10"/>
        <v>48</v>
      </c>
      <c r="U22" s="24">
        <f t="shared" si="10"/>
        <v>0</v>
      </c>
      <c r="V22" s="25">
        <f t="shared" si="10"/>
        <v>32</v>
      </c>
      <c r="W22" s="26">
        <f t="shared" si="10"/>
        <v>36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0.84615384615384615</v>
      </c>
      <c r="AC22" s="4">
        <f>AVERAGE(AC6:AC21)</f>
        <v>0.59895833333333326</v>
      </c>
      <c r="AD22" s="4">
        <f>AVERAGE(AD6:AD21)</f>
        <v>0.59895833333333326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364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369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22" t="s">
        <v>46</v>
      </c>
      <c r="D51" s="222" t="s">
        <v>47</v>
      </c>
      <c r="E51" s="222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22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21" t="s">
        <v>132</v>
      </c>
      <c r="D52" s="221"/>
      <c r="E52" s="218" t="s">
        <v>351</v>
      </c>
      <c r="F52" s="418" t="s">
        <v>365</v>
      </c>
      <c r="G52" s="419"/>
      <c r="H52" s="419"/>
      <c r="I52" s="419"/>
      <c r="J52" s="419"/>
      <c r="K52" s="419"/>
      <c r="L52" s="419"/>
      <c r="M52" s="420"/>
      <c r="N52" s="217" t="s">
        <v>119</v>
      </c>
      <c r="O52" s="215" t="s">
        <v>243</v>
      </c>
      <c r="P52" s="432" t="s">
        <v>135</v>
      </c>
      <c r="Q52" s="433"/>
      <c r="R52" s="432" t="s">
        <v>146</v>
      </c>
      <c r="S52" s="434"/>
      <c r="T52" s="434"/>
      <c r="U52" s="433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118</v>
      </c>
      <c r="B53" s="431"/>
      <c r="C53" s="221" t="s">
        <v>143</v>
      </c>
      <c r="D53" s="221" t="s">
        <v>135</v>
      </c>
      <c r="E53" s="218" t="s">
        <v>290</v>
      </c>
      <c r="F53" s="418" t="s">
        <v>366</v>
      </c>
      <c r="G53" s="419"/>
      <c r="H53" s="419"/>
      <c r="I53" s="419"/>
      <c r="J53" s="419"/>
      <c r="K53" s="419"/>
      <c r="L53" s="419"/>
      <c r="M53" s="420"/>
      <c r="N53" s="217" t="s">
        <v>118</v>
      </c>
      <c r="O53" s="215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121</v>
      </c>
      <c r="B54" s="431"/>
      <c r="C54" s="221" t="s">
        <v>166</v>
      </c>
      <c r="D54" s="221"/>
      <c r="E54" s="218" t="s">
        <v>362</v>
      </c>
      <c r="F54" s="418" t="s">
        <v>367</v>
      </c>
      <c r="G54" s="419"/>
      <c r="H54" s="419"/>
      <c r="I54" s="419"/>
      <c r="J54" s="419"/>
      <c r="K54" s="419"/>
      <c r="L54" s="419"/>
      <c r="M54" s="420"/>
      <c r="N54" s="217" t="s">
        <v>119</v>
      </c>
      <c r="O54" s="215" t="s">
        <v>177</v>
      </c>
      <c r="P54" s="432" t="s">
        <v>128</v>
      </c>
      <c r="Q54" s="433"/>
      <c r="R54" s="417" t="s">
        <v>370</v>
      </c>
      <c r="S54" s="417"/>
      <c r="T54" s="417"/>
      <c r="U54" s="417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16" t="s">
        <v>118</v>
      </c>
      <c r="B55" s="417"/>
      <c r="C55" s="218" t="s">
        <v>149</v>
      </c>
      <c r="D55" s="218" t="s">
        <v>135</v>
      </c>
      <c r="E55" s="218" t="s">
        <v>175</v>
      </c>
      <c r="F55" s="418" t="s">
        <v>368</v>
      </c>
      <c r="G55" s="419"/>
      <c r="H55" s="419"/>
      <c r="I55" s="419"/>
      <c r="J55" s="419"/>
      <c r="K55" s="419"/>
      <c r="L55" s="419"/>
      <c r="M55" s="420"/>
      <c r="N55" s="217" t="s">
        <v>112</v>
      </c>
      <c r="O55" s="215" t="s">
        <v>171</v>
      </c>
      <c r="P55" s="432" t="s">
        <v>359</v>
      </c>
      <c r="Q55" s="433"/>
      <c r="R55" s="417" t="s">
        <v>360</v>
      </c>
      <c r="S55" s="417"/>
      <c r="T55" s="417"/>
      <c r="U55" s="417"/>
      <c r="V55" s="405" t="s">
        <v>133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/>
      <c r="B56" s="417"/>
      <c r="C56" s="218"/>
      <c r="D56" s="218"/>
      <c r="E56" s="218"/>
      <c r="F56" s="418"/>
      <c r="G56" s="419"/>
      <c r="H56" s="419"/>
      <c r="I56" s="419"/>
      <c r="J56" s="419"/>
      <c r="K56" s="419"/>
      <c r="L56" s="419"/>
      <c r="M56" s="420"/>
      <c r="N56" s="217" t="s">
        <v>112</v>
      </c>
      <c r="O56" s="215" t="s">
        <v>141</v>
      </c>
      <c r="P56" s="432" t="s">
        <v>256</v>
      </c>
      <c r="Q56" s="433"/>
      <c r="R56" s="432" t="s">
        <v>361</v>
      </c>
      <c r="S56" s="434"/>
      <c r="T56" s="434"/>
      <c r="U56" s="433"/>
      <c r="V56" s="405" t="s">
        <v>133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18"/>
      <c r="D57" s="218"/>
      <c r="E57" s="218"/>
      <c r="F57" s="418"/>
      <c r="G57" s="419"/>
      <c r="H57" s="419"/>
      <c r="I57" s="419"/>
      <c r="J57" s="419"/>
      <c r="K57" s="419"/>
      <c r="L57" s="419"/>
      <c r="M57" s="420"/>
      <c r="N57" s="217" t="s">
        <v>118</v>
      </c>
      <c r="O57" s="215" t="s">
        <v>134</v>
      </c>
      <c r="P57" s="432" t="s">
        <v>115</v>
      </c>
      <c r="Q57" s="433"/>
      <c r="R57" s="432" t="s">
        <v>184</v>
      </c>
      <c r="S57" s="434"/>
      <c r="T57" s="434"/>
      <c r="U57" s="433"/>
      <c r="V57" s="405" t="s">
        <v>133</v>
      </c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21"/>
      <c r="D58" s="221"/>
      <c r="E58" s="218"/>
      <c r="F58" s="418"/>
      <c r="G58" s="419"/>
      <c r="H58" s="419"/>
      <c r="I58" s="419"/>
      <c r="J58" s="419"/>
      <c r="K58" s="419"/>
      <c r="L58" s="419"/>
      <c r="M58" s="420"/>
      <c r="N58" s="217" t="s">
        <v>119</v>
      </c>
      <c r="O58" s="215" t="s">
        <v>149</v>
      </c>
      <c r="P58" s="432" t="s">
        <v>115</v>
      </c>
      <c r="Q58" s="433"/>
      <c r="R58" s="432" t="s">
        <v>371</v>
      </c>
      <c r="S58" s="434"/>
      <c r="T58" s="434"/>
      <c r="U58" s="433"/>
      <c r="V58" s="405" t="s">
        <v>133</v>
      </c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21"/>
      <c r="D59" s="221"/>
      <c r="E59" s="218"/>
      <c r="F59" s="418"/>
      <c r="G59" s="419"/>
      <c r="H59" s="419"/>
      <c r="I59" s="419"/>
      <c r="J59" s="419"/>
      <c r="K59" s="419"/>
      <c r="L59" s="419"/>
      <c r="M59" s="420"/>
      <c r="N59" s="217"/>
      <c r="O59" s="215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18"/>
      <c r="D60" s="218"/>
      <c r="E60" s="218"/>
      <c r="F60" s="418"/>
      <c r="G60" s="419"/>
      <c r="H60" s="419"/>
      <c r="I60" s="419"/>
      <c r="J60" s="419"/>
      <c r="K60" s="419"/>
      <c r="L60" s="419"/>
      <c r="M60" s="420"/>
      <c r="N60" s="217"/>
      <c r="O60" s="215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19"/>
      <c r="D61" s="220"/>
      <c r="E61" s="220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372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16" t="s">
        <v>2</v>
      </c>
      <c r="D63" s="216" t="s">
        <v>37</v>
      </c>
      <c r="E63" s="216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16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118</v>
      </c>
      <c r="D64" s="211"/>
      <c r="E64" s="214" t="s">
        <v>256</v>
      </c>
      <c r="F64" s="406" t="s">
        <v>373</v>
      </c>
      <c r="G64" s="407"/>
      <c r="H64" s="407"/>
      <c r="I64" s="407"/>
      <c r="J64" s="408"/>
      <c r="K64" s="394" t="s">
        <v>374</v>
      </c>
      <c r="L64" s="394"/>
      <c r="M64" s="51" t="s">
        <v>339</v>
      </c>
      <c r="N64" s="403" t="s">
        <v>149</v>
      </c>
      <c r="O64" s="403"/>
      <c r="P64" s="404"/>
      <c r="Q64" s="404"/>
      <c r="R64" s="405" t="s">
        <v>375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340</v>
      </c>
      <c r="D65" s="211"/>
      <c r="E65" s="214"/>
      <c r="F65" s="406" t="s">
        <v>337</v>
      </c>
      <c r="G65" s="407"/>
      <c r="H65" s="407"/>
      <c r="I65" s="407"/>
      <c r="J65" s="408"/>
      <c r="K65" s="394" t="s">
        <v>338</v>
      </c>
      <c r="L65" s="394"/>
      <c r="M65" s="51" t="s">
        <v>151</v>
      </c>
      <c r="N65" s="403" t="s">
        <v>141</v>
      </c>
      <c r="O65" s="403"/>
      <c r="P65" s="475">
        <v>50</v>
      </c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230</v>
      </c>
      <c r="D66" s="211"/>
      <c r="E66" s="214"/>
      <c r="F66" s="406" t="s">
        <v>229</v>
      </c>
      <c r="G66" s="407"/>
      <c r="H66" s="407"/>
      <c r="I66" s="407"/>
      <c r="J66" s="408"/>
      <c r="K66" s="394" t="s">
        <v>376</v>
      </c>
      <c r="L66" s="394"/>
      <c r="M66" s="51" t="s">
        <v>158</v>
      </c>
      <c r="N66" s="403" t="s">
        <v>140</v>
      </c>
      <c r="O66" s="403"/>
      <c r="P66" s="404">
        <v>1200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211"/>
      <c r="E67" s="214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211"/>
      <c r="E68" s="214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11"/>
      <c r="E69" s="214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11"/>
      <c r="E70" s="214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11"/>
      <c r="E71" s="214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11"/>
      <c r="E72" s="214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11"/>
      <c r="E73" s="214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377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13" t="s">
        <v>2</v>
      </c>
      <c r="D75" s="213" t="s">
        <v>37</v>
      </c>
      <c r="E75" s="213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12" t="s">
        <v>112</v>
      </c>
      <c r="D76" s="212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11"/>
      <c r="D77" s="211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11"/>
      <c r="D78" s="211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11"/>
      <c r="D79" s="211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11"/>
      <c r="D80" s="211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11"/>
      <c r="D81" s="211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11"/>
      <c r="D82" s="211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378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096E-A431-4DA2-B631-42204CCA4246}">
  <dimension ref="A1:AF87"/>
  <sheetViews>
    <sheetView view="pageBreakPreview" topLeftCell="A13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379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24" t="s">
        <v>17</v>
      </c>
      <c r="L5" s="224" t="s">
        <v>18</v>
      </c>
      <c r="M5" s="224" t="s">
        <v>19</v>
      </c>
      <c r="N5" s="2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4797</v>
      </c>
      <c r="K6" s="15">
        <f>L6</f>
        <v>4797</v>
      </c>
      <c r="L6" s="15">
        <f>2394+2403</f>
        <v>4797</v>
      </c>
      <c r="M6" s="15">
        <f t="shared" ref="M6:M21" si="0">L6-N6</f>
        <v>4797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23</v>
      </c>
      <c r="Q6" s="40">
        <f t="shared" ref="Q6:Q21" si="3">SUM(R6:AA6)</f>
        <v>1</v>
      </c>
      <c r="R6" s="7"/>
      <c r="S6" s="6"/>
      <c r="T6" s="16">
        <v>1</v>
      </c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0.95833333333333337</v>
      </c>
      <c r="AD6" s="10">
        <f t="shared" ref="AD6:AD21" si="6">AC6*AB6*(1-O6)</f>
        <v>0.95833333333333337</v>
      </c>
      <c r="AE6" s="36">
        <f t="shared" ref="AE6:AE21" si="7">$AD$22</f>
        <v>0.46614583333333331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30250</v>
      </c>
      <c r="K7" s="15">
        <f>L7+27610</f>
        <v>57860</v>
      </c>
      <c r="L7" s="15">
        <f>3151*5+2899*5</f>
        <v>30250</v>
      </c>
      <c r="M7" s="15">
        <f t="shared" si="0"/>
        <v>30250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0.46614583333333331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128</v>
      </c>
      <c r="E8" s="53" t="s">
        <v>370</v>
      </c>
      <c r="F8" s="30" t="s">
        <v>122</v>
      </c>
      <c r="G8" s="33">
        <v>2</v>
      </c>
      <c r="H8" s="35">
        <v>24</v>
      </c>
      <c r="I8" s="7">
        <v>20000</v>
      </c>
      <c r="J8" s="5">
        <v>5316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0.46614583333333331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844</v>
      </c>
      <c r="K9" s="15">
        <f>L9+4035+615+3163+2977</f>
        <v>11634</v>
      </c>
      <c r="L9" s="15">
        <v>844</v>
      </c>
      <c r="M9" s="15">
        <f t="shared" si="0"/>
        <v>844</v>
      </c>
      <c r="N9" s="15">
        <v>0</v>
      </c>
      <c r="O9" s="58">
        <f t="shared" si="1"/>
        <v>0</v>
      </c>
      <c r="P9" s="39">
        <f t="shared" si="2"/>
        <v>5</v>
      </c>
      <c r="Q9" s="40">
        <f t="shared" si="3"/>
        <v>19</v>
      </c>
      <c r="R9" s="7"/>
      <c r="S9" s="6">
        <v>19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6">
        <f t="shared" si="7"/>
        <v>0.46614583333333331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75000</v>
      </c>
      <c r="J10" s="14">
        <v>6281</v>
      </c>
      <c r="K10" s="15">
        <f>L10+5217+6628+5843+6693+6633+6764+6273+6588+6637+6651+6854</f>
        <v>77062</v>
      </c>
      <c r="L10" s="15">
        <f>2986+3295</f>
        <v>6281</v>
      </c>
      <c r="M10" s="15">
        <f t="shared" si="0"/>
        <v>6281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0.46614583333333331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359</v>
      </c>
      <c r="E11" s="53" t="s">
        <v>360</v>
      </c>
      <c r="F11" s="30" t="s">
        <v>136</v>
      </c>
      <c r="G11" s="33">
        <v>2</v>
      </c>
      <c r="H11" s="35">
        <v>24</v>
      </c>
      <c r="I11" s="7">
        <v>1200</v>
      </c>
      <c r="J11" s="14">
        <v>2399</v>
      </c>
      <c r="K11" s="15">
        <f>L11</f>
        <v>2399</v>
      </c>
      <c r="L11" s="15">
        <f>2250+149</f>
        <v>2399</v>
      </c>
      <c r="M11" s="15">
        <f t="shared" si="0"/>
        <v>2399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/>
      <c r="T11" s="16"/>
      <c r="U11" s="16"/>
      <c r="V11" s="17"/>
      <c r="W11" s="5">
        <v>12</v>
      </c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0.46614583333333331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4402</v>
      </c>
      <c r="K12" s="15">
        <f>L12+3980+4963+4857+4991+5052+5074+5369</f>
        <v>38688</v>
      </c>
      <c r="L12" s="15">
        <f>1895+2507</f>
        <v>4402</v>
      </c>
      <c r="M12" s="15">
        <f t="shared" si="0"/>
        <v>4402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0.46614583333333331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</f>
        <v>5108</v>
      </c>
      <c r="L13" s="15">
        <f>1443*2+1111*2</f>
        <v>5108</v>
      </c>
      <c r="M13" s="15">
        <f t="shared" si="0"/>
        <v>5108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9</v>
      </c>
      <c r="AB13" s="8">
        <f t="shared" si="4"/>
        <v>1</v>
      </c>
      <c r="AC13" s="9">
        <f t="shared" si="5"/>
        <v>0.625</v>
      </c>
      <c r="AD13" s="10">
        <f>AC13*AB13*(1-O13)</f>
        <v>0.625</v>
      </c>
      <c r="AE13" s="36">
        <f t="shared" si="7"/>
        <v>0.46614583333333331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0.46614583333333331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362</v>
      </c>
      <c r="F15" s="12" t="s">
        <v>144</v>
      </c>
      <c r="G15" s="12">
        <v>1</v>
      </c>
      <c r="H15" s="13">
        <v>24</v>
      </c>
      <c r="I15" s="31">
        <v>1000</v>
      </c>
      <c r="J15" s="14">
        <v>1019</v>
      </c>
      <c r="K15" s="15">
        <f>L15+1019</f>
        <v>1019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0.46614583333333331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256</v>
      </c>
      <c r="E16" s="53" t="s">
        <v>291</v>
      </c>
      <c r="F16" s="30" t="s">
        <v>176</v>
      </c>
      <c r="G16" s="12">
        <v>1</v>
      </c>
      <c r="H16" s="13">
        <v>24</v>
      </c>
      <c r="I16" s="7">
        <v>40000</v>
      </c>
      <c r="J16" s="14">
        <v>5676</v>
      </c>
      <c r="K16" s="15">
        <f>L16+5553+5995+6007+6250</f>
        <v>29481</v>
      </c>
      <c r="L16" s="15">
        <f>2702+2974</f>
        <v>5676</v>
      </c>
      <c r="M16" s="15">
        <f t="shared" si="0"/>
        <v>5676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0.46614583333333331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0.46614583333333331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184</v>
      </c>
      <c r="F18" s="30" t="s">
        <v>152</v>
      </c>
      <c r="G18" s="33">
        <v>1</v>
      </c>
      <c r="H18" s="35">
        <v>24</v>
      </c>
      <c r="I18" s="7">
        <v>6500</v>
      </c>
      <c r="J18" s="14">
        <v>1972</v>
      </c>
      <c r="K18" s="15">
        <f>L18</f>
        <v>1972</v>
      </c>
      <c r="L18" s="15">
        <f>1972</f>
        <v>1972</v>
      </c>
      <c r="M18" s="15">
        <f t="shared" si="0"/>
        <v>1972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>
        <v>13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0.46614583333333331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130</v>
      </c>
      <c r="G19" s="33">
        <v>1</v>
      </c>
      <c r="H19" s="35">
        <v>24</v>
      </c>
      <c r="I19" s="7">
        <v>21000</v>
      </c>
      <c r="J19" s="14">
        <v>1226</v>
      </c>
      <c r="K19" s="15">
        <f>L19+3970+4360+4886+5534+5605+1226</f>
        <v>25581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0.46614583333333331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380</v>
      </c>
      <c r="F20" s="30" t="s">
        <v>122</v>
      </c>
      <c r="G20" s="12">
        <v>2</v>
      </c>
      <c r="H20" s="13">
        <v>28</v>
      </c>
      <c r="I20" s="31">
        <v>20000</v>
      </c>
      <c r="J20" s="5">
        <v>7862</v>
      </c>
      <c r="K20" s="15">
        <f>L20</f>
        <v>7862</v>
      </c>
      <c r="L20" s="15">
        <f>1221*2+2710*2</f>
        <v>7862</v>
      </c>
      <c r="M20" s="15">
        <f t="shared" si="0"/>
        <v>7862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>AC20*AB20*(1-O20)</f>
        <v>0.83333333333333337</v>
      </c>
      <c r="AE20" s="36">
        <f t="shared" si="7"/>
        <v>0.46614583333333331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0.46614583333333331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710900</v>
      </c>
      <c r="J22" s="19">
        <f t="shared" si="9"/>
        <v>86571</v>
      </c>
      <c r="K22" s="20">
        <f t="shared" si="9"/>
        <v>551423</v>
      </c>
      <c r="L22" s="21">
        <f t="shared" si="9"/>
        <v>69591</v>
      </c>
      <c r="M22" s="20">
        <f t="shared" si="9"/>
        <v>69591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179</v>
      </c>
      <c r="Q22" s="43">
        <f t="shared" si="10"/>
        <v>205</v>
      </c>
      <c r="R22" s="23">
        <f t="shared" si="10"/>
        <v>0</v>
      </c>
      <c r="S22" s="24">
        <f t="shared" si="10"/>
        <v>63</v>
      </c>
      <c r="T22" s="24">
        <f t="shared" si="10"/>
        <v>1</v>
      </c>
      <c r="U22" s="24">
        <f t="shared" si="10"/>
        <v>0</v>
      </c>
      <c r="V22" s="25">
        <f t="shared" si="10"/>
        <v>24</v>
      </c>
      <c r="W22" s="26">
        <f t="shared" si="10"/>
        <v>84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33</v>
      </c>
      <c r="AB22" s="28">
        <f>AVERAGE(AB6:AB21)</f>
        <v>0.66666666666666663</v>
      </c>
      <c r="AC22" s="4">
        <f>AVERAGE(AC6:AC21)</f>
        <v>0.46614583333333331</v>
      </c>
      <c r="AD22" s="4">
        <f>AVERAGE(AD6:AD21)</f>
        <v>0.46614583333333331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381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386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25" t="s">
        <v>46</v>
      </c>
      <c r="D51" s="225" t="s">
        <v>47</v>
      </c>
      <c r="E51" s="225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25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26" t="s">
        <v>243</v>
      </c>
      <c r="D52" s="226" t="s">
        <v>135</v>
      </c>
      <c r="E52" s="228" t="s">
        <v>146</v>
      </c>
      <c r="F52" s="418" t="s">
        <v>382</v>
      </c>
      <c r="G52" s="419"/>
      <c r="H52" s="419"/>
      <c r="I52" s="419"/>
      <c r="J52" s="419"/>
      <c r="K52" s="419"/>
      <c r="L52" s="419"/>
      <c r="M52" s="420"/>
      <c r="N52" s="227" t="s">
        <v>119</v>
      </c>
      <c r="O52" s="233" t="s">
        <v>243</v>
      </c>
      <c r="P52" s="432" t="s">
        <v>135</v>
      </c>
      <c r="Q52" s="433"/>
      <c r="R52" s="432" t="s">
        <v>146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118</v>
      </c>
      <c r="B53" s="431"/>
      <c r="C53" s="226" t="s">
        <v>143</v>
      </c>
      <c r="D53" s="226" t="s">
        <v>135</v>
      </c>
      <c r="E53" s="228" t="s">
        <v>290</v>
      </c>
      <c r="F53" s="418" t="s">
        <v>366</v>
      </c>
      <c r="G53" s="419"/>
      <c r="H53" s="419"/>
      <c r="I53" s="419"/>
      <c r="J53" s="419"/>
      <c r="K53" s="419"/>
      <c r="L53" s="419"/>
      <c r="M53" s="420"/>
      <c r="N53" s="227" t="s">
        <v>118</v>
      </c>
      <c r="O53" s="233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119</v>
      </c>
      <c r="B54" s="431"/>
      <c r="C54" s="226" t="s">
        <v>177</v>
      </c>
      <c r="D54" s="226" t="s">
        <v>128</v>
      </c>
      <c r="E54" s="228" t="s">
        <v>370</v>
      </c>
      <c r="F54" s="418" t="s">
        <v>383</v>
      </c>
      <c r="G54" s="419"/>
      <c r="H54" s="419"/>
      <c r="I54" s="419"/>
      <c r="J54" s="419"/>
      <c r="K54" s="419"/>
      <c r="L54" s="419"/>
      <c r="M54" s="420"/>
      <c r="N54" s="227" t="s">
        <v>119</v>
      </c>
      <c r="O54" s="233" t="s">
        <v>177</v>
      </c>
      <c r="P54" s="432" t="s">
        <v>128</v>
      </c>
      <c r="Q54" s="433"/>
      <c r="R54" s="417" t="s">
        <v>370</v>
      </c>
      <c r="S54" s="417"/>
      <c r="T54" s="417"/>
      <c r="U54" s="417"/>
      <c r="V54" s="405" t="s">
        <v>129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16" t="s">
        <v>112</v>
      </c>
      <c r="B55" s="417"/>
      <c r="C55" s="228" t="s">
        <v>171</v>
      </c>
      <c r="D55" s="228" t="s">
        <v>359</v>
      </c>
      <c r="E55" s="228" t="s">
        <v>360</v>
      </c>
      <c r="F55" s="418" t="s">
        <v>384</v>
      </c>
      <c r="G55" s="419"/>
      <c r="H55" s="419"/>
      <c r="I55" s="419"/>
      <c r="J55" s="419"/>
      <c r="K55" s="419"/>
      <c r="L55" s="419"/>
      <c r="M55" s="420"/>
      <c r="N55" s="227" t="s">
        <v>118</v>
      </c>
      <c r="O55" s="233" t="s">
        <v>134</v>
      </c>
      <c r="P55" s="432" t="s">
        <v>115</v>
      </c>
      <c r="Q55" s="433"/>
      <c r="R55" s="432" t="s">
        <v>184</v>
      </c>
      <c r="S55" s="434"/>
      <c r="T55" s="434"/>
      <c r="U55" s="433"/>
      <c r="V55" s="405" t="s">
        <v>129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 t="s">
        <v>112</v>
      </c>
      <c r="B56" s="417"/>
      <c r="C56" s="228" t="s">
        <v>141</v>
      </c>
      <c r="D56" s="228" t="s">
        <v>256</v>
      </c>
      <c r="E56" s="228" t="s">
        <v>361</v>
      </c>
      <c r="F56" s="418" t="s">
        <v>133</v>
      </c>
      <c r="G56" s="419"/>
      <c r="H56" s="419"/>
      <c r="I56" s="419"/>
      <c r="J56" s="419"/>
      <c r="K56" s="419"/>
      <c r="L56" s="419"/>
      <c r="M56" s="420"/>
      <c r="N56" s="227"/>
      <c r="O56" s="233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 t="s">
        <v>118</v>
      </c>
      <c r="B57" s="417"/>
      <c r="C57" s="228" t="s">
        <v>134</v>
      </c>
      <c r="D57" s="228" t="s">
        <v>115</v>
      </c>
      <c r="E57" s="228" t="s">
        <v>184</v>
      </c>
      <c r="F57" s="418" t="s">
        <v>385</v>
      </c>
      <c r="G57" s="419"/>
      <c r="H57" s="419"/>
      <c r="I57" s="419"/>
      <c r="J57" s="419"/>
      <c r="K57" s="419"/>
      <c r="L57" s="419"/>
      <c r="M57" s="420"/>
      <c r="N57" s="227"/>
      <c r="O57" s="233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 t="s">
        <v>119</v>
      </c>
      <c r="B58" s="431"/>
      <c r="C58" s="226" t="s">
        <v>149</v>
      </c>
      <c r="D58" s="226" t="s">
        <v>115</v>
      </c>
      <c r="E58" s="228" t="s">
        <v>371</v>
      </c>
      <c r="F58" s="418" t="s">
        <v>133</v>
      </c>
      <c r="G58" s="419"/>
      <c r="H58" s="419"/>
      <c r="I58" s="419"/>
      <c r="J58" s="419"/>
      <c r="K58" s="419"/>
      <c r="L58" s="419"/>
      <c r="M58" s="420"/>
      <c r="N58" s="227"/>
      <c r="O58" s="233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26"/>
      <c r="D59" s="226"/>
      <c r="E59" s="228"/>
      <c r="F59" s="418"/>
      <c r="G59" s="419"/>
      <c r="H59" s="419"/>
      <c r="I59" s="419"/>
      <c r="J59" s="419"/>
      <c r="K59" s="419"/>
      <c r="L59" s="419"/>
      <c r="M59" s="420"/>
      <c r="N59" s="227"/>
      <c r="O59" s="233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28"/>
      <c r="D60" s="228"/>
      <c r="E60" s="228"/>
      <c r="F60" s="418"/>
      <c r="G60" s="419"/>
      <c r="H60" s="419"/>
      <c r="I60" s="419"/>
      <c r="J60" s="419"/>
      <c r="K60" s="419"/>
      <c r="L60" s="419"/>
      <c r="M60" s="420"/>
      <c r="N60" s="227"/>
      <c r="O60" s="233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29"/>
      <c r="D61" s="230"/>
      <c r="E61" s="230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387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31" t="s">
        <v>2</v>
      </c>
      <c r="D63" s="231" t="s">
        <v>37</v>
      </c>
      <c r="E63" s="231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31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118</v>
      </c>
      <c r="D64" s="235"/>
      <c r="E64" s="232" t="s">
        <v>256</v>
      </c>
      <c r="F64" s="406" t="s">
        <v>373</v>
      </c>
      <c r="G64" s="407"/>
      <c r="H64" s="407"/>
      <c r="I64" s="407"/>
      <c r="J64" s="408"/>
      <c r="K64" s="394" t="s">
        <v>374</v>
      </c>
      <c r="L64" s="394"/>
      <c r="M64" s="51" t="s">
        <v>339</v>
      </c>
      <c r="N64" s="403" t="s">
        <v>140</v>
      </c>
      <c r="O64" s="403"/>
      <c r="P64" s="404">
        <v>200</v>
      </c>
      <c r="Q64" s="404"/>
      <c r="R64" s="405" t="s">
        <v>389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118</v>
      </c>
      <c r="D65" s="235"/>
      <c r="E65" s="232" t="s">
        <v>167</v>
      </c>
      <c r="F65" s="406" t="s">
        <v>388</v>
      </c>
      <c r="G65" s="407"/>
      <c r="H65" s="407"/>
      <c r="I65" s="407"/>
      <c r="J65" s="408"/>
      <c r="K65" s="394" t="s">
        <v>130</v>
      </c>
      <c r="L65" s="394"/>
      <c r="M65" s="51" t="s">
        <v>151</v>
      </c>
      <c r="N65" s="403" t="s">
        <v>141</v>
      </c>
      <c r="O65" s="403"/>
      <c r="P65" s="475">
        <v>200</v>
      </c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118</v>
      </c>
      <c r="D66" s="235"/>
      <c r="E66" s="232" t="s">
        <v>391</v>
      </c>
      <c r="F66" s="406" t="s">
        <v>390</v>
      </c>
      <c r="G66" s="407"/>
      <c r="H66" s="407"/>
      <c r="I66" s="407"/>
      <c r="J66" s="408"/>
      <c r="K66" s="394" t="s">
        <v>136</v>
      </c>
      <c r="L66" s="394"/>
      <c r="M66" s="51" t="s">
        <v>151</v>
      </c>
      <c r="N66" s="403" t="s">
        <v>172</v>
      </c>
      <c r="O66" s="403"/>
      <c r="P66" s="475">
        <v>50</v>
      </c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235"/>
      <c r="E67" s="232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235"/>
      <c r="E68" s="232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35"/>
      <c r="E69" s="232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35"/>
      <c r="E70" s="232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35"/>
      <c r="E71" s="232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35"/>
      <c r="E72" s="232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35"/>
      <c r="E73" s="232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392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34" t="s">
        <v>2</v>
      </c>
      <c r="D75" s="234" t="s">
        <v>37</v>
      </c>
      <c r="E75" s="234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36" t="s">
        <v>112</v>
      </c>
      <c r="D76" s="236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35"/>
      <c r="D77" s="235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35"/>
      <c r="D78" s="235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35"/>
      <c r="D79" s="235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35"/>
      <c r="D80" s="235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35"/>
      <c r="D81" s="235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35"/>
      <c r="D82" s="235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393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0B44-FF3F-4814-A7E8-720CD8DD47F0}">
  <dimension ref="A1:AF87"/>
  <sheetViews>
    <sheetView view="pageBreakPreview" topLeftCell="A34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394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49" t="s">
        <v>17</v>
      </c>
      <c r="L5" s="249" t="s">
        <v>18</v>
      </c>
      <c r="M5" s="249" t="s">
        <v>19</v>
      </c>
      <c r="N5" s="24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2971</v>
      </c>
      <c r="K6" s="15">
        <f>L6+4797</f>
        <v>7768</v>
      </c>
      <c r="L6" s="15">
        <f>2971</f>
        <v>2971</v>
      </c>
      <c r="M6" s="15">
        <f t="shared" ref="M6:M21" si="0">L6-N6</f>
        <v>2971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14</v>
      </c>
      <c r="Q6" s="40">
        <f t="shared" ref="Q6:Q21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0.58333333333333337</v>
      </c>
      <c r="AD6" s="10">
        <f t="shared" ref="AD6:AD21" si="6">AC6*AB6*(1-O6)</f>
        <v>0.58333333333333337</v>
      </c>
      <c r="AE6" s="36">
        <f t="shared" ref="AE6:AE21" si="7">$AD$22</f>
        <v>0.43229166666666669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31645</v>
      </c>
      <c r="K7" s="15">
        <f>L7+27610+30250</f>
        <v>89505</v>
      </c>
      <c r="L7" s="15">
        <f>3146*5+3183*5</f>
        <v>31645</v>
      </c>
      <c r="M7" s="15">
        <f t="shared" si="0"/>
        <v>31645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0.43229166666666669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128</v>
      </c>
      <c r="E8" s="53" t="s">
        <v>370</v>
      </c>
      <c r="F8" s="30" t="s">
        <v>122</v>
      </c>
      <c r="G8" s="33">
        <v>2</v>
      </c>
      <c r="H8" s="35">
        <v>24</v>
      </c>
      <c r="I8" s="7">
        <v>20000</v>
      </c>
      <c r="J8" s="5">
        <v>5406</v>
      </c>
      <c r="K8" s="15">
        <f>L8</f>
        <v>5406</v>
      </c>
      <c r="L8" s="15">
        <f>2703*2</f>
        <v>5406</v>
      </c>
      <c r="M8" s="15">
        <f t="shared" si="0"/>
        <v>5406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0.43229166666666669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2271</v>
      </c>
      <c r="K9" s="15">
        <f>L9+4035+615+3163+2977+844</f>
        <v>13905</v>
      </c>
      <c r="L9" s="15">
        <f>1510+761</f>
        <v>2271</v>
      </c>
      <c r="M9" s="15">
        <f t="shared" si="0"/>
        <v>2271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>
        <v>13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6">
        <f t="shared" si="7"/>
        <v>0.43229166666666669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75000</v>
      </c>
      <c r="J10" s="14">
        <v>6605</v>
      </c>
      <c r="K10" s="15">
        <f>L10+5217+6628+5843+6693+6633+6764+6273+6588+6637+6651+6854+6281</f>
        <v>83667</v>
      </c>
      <c r="L10" s="15">
        <f>3315+3290</f>
        <v>6605</v>
      </c>
      <c r="M10" s="15">
        <f t="shared" si="0"/>
        <v>6605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0.43229166666666669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359</v>
      </c>
      <c r="E11" s="53" t="s">
        <v>360</v>
      </c>
      <c r="F11" s="30" t="s">
        <v>136</v>
      </c>
      <c r="G11" s="33">
        <v>2</v>
      </c>
      <c r="H11" s="35">
        <v>24</v>
      </c>
      <c r="I11" s="7">
        <v>1200</v>
      </c>
      <c r="J11" s="14">
        <v>2399</v>
      </c>
      <c r="K11" s="15">
        <f>L11+2399</f>
        <v>2399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0.43229166666666669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4760</v>
      </c>
      <c r="K12" s="15">
        <f>L12+3980+4963+4857+4991+5052+5074+5369+4402</f>
        <v>43448</v>
      </c>
      <c r="L12" s="15">
        <f>2230+2530</f>
        <v>4760</v>
      </c>
      <c r="M12" s="15">
        <f t="shared" si="0"/>
        <v>4760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0.43229166666666669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0.43229166666666669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0.43229166666666669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362</v>
      </c>
      <c r="F15" s="12" t="s">
        <v>144</v>
      </c>
      <c r="G15" s="12">
        <v>1</v>
      </c>
      <c r="H15" s="13">
        <v>24</v>
      </c>
      <c r="I15" s="31">
        <v>1000</v>
      </c>
      <c r="J15" s="14">
        <v>1019</v>
      </c>
      <c r="K15" s="15">
        <f>L15+1019</f>
        <v>1019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0.43229166666666669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256</v>
      </c>
      <c r="E16" s="53" t="s">
        <v>291</v>
      </c>
      <c r="F16" s="30" t="s">
        <v>176</v>
      </c>
      <c r="G16" s="12">
        <v>1</v>
      </c>
      <c r="H16" s="13">
        <v>24</v>
      </c>
      <c r="I16" s="7">
        <v>40000</v>
      </c>
      <c r="J16" s="14">
        <v>5686</v>
      </c>
      <c r="K16" s="15">
        <f>L16+5553+5995+6007+6250+5676</f>
        <v>35167</v>
      </c>
      <c r="L16" s="15">
        <f>2698+2988</f>
        <v>5686</v>
      </c>
      <c r="M16" s="15">
        <f t="shared" si="0"/>
        <v>5686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0.43229166666666669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0.43229166666666669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184</v>
      </c>
      <c r="F18" s="30" t="s">
        <v>152</v>
      </c>
      <c r="G18" s="33">
        <v>1</v>
      </c>
      <c r="H18" s="35">
        <v>24</v>
      </c>
      <c r="I18" s="7">
        <v>6500</v>
      </c>
      <c r="J18" s="14">
        <v>1972</v>
      </c>
      <c r="K18" s="15">
        <f>L18+1972</f>
        <v>1972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0.43229166666666669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115</v>
      </c>
      <c r="E19" s="53" t="s">
        <v>184</v>
      </c>
      <c r="F19" s="30" t="s">
        <v>152</v>
      </c>
      <c r="G19" s="33">
        <v>1</v>
      </c>
      <c r="H19" s="35">
        <v>24</v>
      </c>
      <c r="I19" s="7">
        <v>6500</v>
      </c>
      <c r="J19" s="14">
        <v>2145</v>
      </c>
      <c r="K19" s="15">
        <f>L19+1972</f>
        <v>4117</v>
      </c>
      <c r="L19" s="15">
        <f>1067+1078</f>
        <v>2145</v>
      </c>
      <c r="M19" s="15">
        <f t="shared" ref="M19" si="9">L19-N19</f>
        <v>2145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10</v>
      </c>
      <c r="Q19" s="40">
        <f t="shared" ref="Q19" si="12">SUM(R19:AA19)</f>
        <v>14</v>
      </c>
      <c r="R19" s="7"/>
      <c r="S19" s="6">
        <v>14</v>
      </c>
      <c r="T19" s="16"/>
      <c r="U19" s="16"/>
      <c r="V19" s="17"/>
      <c r="W19" s="5"/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0.41666666666666669</v>
      </c>
      <c r="AD19" s="10">
        <f t="shared" ref="AD19" si="15">AC19*AB19*(1-O19)</f>
        <v>0.41666666666666669</v>
      </c>
      <c r="AE19" s="36">
        <f t="shared" si="7"/>
        <v>0.43229166666666669</v>
      </c>
      <c r="AF19" s="84">
        <f t="shared" ref="AF19" si="16">A19</f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380</v>
      </c>
      <c r="F20" s="30" t="s">
        <v>122</v>
      </c>
      <c r="G20" s="12">
        <v>2</v>
      </c>
      <c r="H20" s="13">
        <v>28</v>
      </c>
      <c r="I20" s="31">
        <v>20000</v>
      </c>
      <c r="J20" s="5">
        <v>9614</v>
      </c>
      <c r="K20" s="15">
        <f>L20+7862</f>
        <v>17476</v>
      </c>
      <c r="L20" s="15">
        <f>2138*2+2669*2</f>
        <v>9614</v>
      </c>
      <c r="M20" s="15">
        <f t="shared" si="0"/>
        <v>9614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>AC20*AB20*(1-O20)</f>
        <v>0.875</v>
      </c>
      <c r="AE20" s="36">
        <f t="shared" si="7"/>
        <v>0.43229166666666669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0.43229166666666669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7">SUM(I6:I21)</f>
        <v>696400</v>
      </c>
      <c r="J22" s="19">
        <f t="shared" si="17"/>
        <v>91020</v>
      </c>
      <c r="K22" s="20">
        <f t="shared" si="17"/>
        <v>598917</v>
      </c>
      <c r="L22" s="21">
        <f t="shared" si="17"/>
        <v>71103</v>
      </c>
      <c r="M22" s="20">
        <f t="shared" si="17"/>
        <v>71103</v>
      </c>
      <c r="N22" s="21">
        <f t="shared" si="17"/>
        <v>0</v>
      </c>
      <c r="O22" s="41">
        <f t="shared" si="1"/>
        <v>0</v>
      </c>
      <c r="P22" s="42">
        <f t="shared" ref="P22:AA22" si="18">SUM(P6:P21)</f>
        <v>166</v>
      </c>
      <c r="Q22" s="43">
        <f t="shared" si="18"/>
        <v>218</v>
      </c>
      <c r="R22" s="23">
        <f t="shared" si="18"/>
        <v>0</v>
      </c>
      <c r="S22" s="24">
        <f t="shared" si="18"/>
        <v>50</v>
      </c>
      <c r="T22" s="24">
        <f t="shared" si="18"/>
        <v>0</v>
      </c>
      <c r="U22" s="24">
        <f t="shared" si="18"/>
        <v>0</v>
      </c>
      <c r="V22" s="25">
        <f t="shared" si="18"/>
        <v>24</v>
      </c>
      <c r="W22" s="26">
        <f t="shared" si="18"/>
        <v>96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48</v>
      </c>
      <c r="AB22" s="28">
        <f>AVERAGE(AB6:AB21)</f>
        <v>0.6</v>
      </c>
      <c r="AC22" s="4">
        <f>AVERAGE(AC6:AC21)</f>
        <v>0.43229166666666669</v>
      </c>
      <c r="AD22" s="4">
        <f>AVERAGE(AD6:AD21)</f>
        <v>0.43229166666666669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395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399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48" t="s">
        <v>46</v>
      </c>
      <c r="D51" s="248" t="s">
        <v>47</v>
      </c>
      <c r="E51" s="248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48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47" t="s">
        <v>243</v>
      </c>
      <c r="D52" s="247" t="s">
        <v>135</v>
      </c>
      <c r="E52" s="244" t="s">
        <v>146</v>
      </c>
      <c r="F52" s="418" t="s">
        <v>397</v>
      </c>
      <c r="G52" s="419"/>
      <c r="H52" s="419"/>
      <c r="I52" s="419"/>
      <c r="J52" s="419"/>
      <c r="K52" s="419"/>
      <c r="L52" s="419"/>
      <c r="M52" s="420"/>
      <c r="N52" s="243" t="s">
        <v>112</v>
      </c>
      <c r="O52" s="241" t="s">
        <v>134</v>
      </c>
      <c r="P52" s="432" t="s">
        <v>115</v>
      </c>
      <c r="Q52" s="433"/>
      <c r="R52" s="432" t="s">
        <v>213</v>
      </c>
      <c r="S52" s="434"/>
      <c r="T52" s="434"/>
      <c r="U52" s="433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118</v>
      </c>
      <c r="B53" s="431"/>
      <c r="C53" s="247" t="s">
        <v>143</v>
      </c>
      <c r="D53" s="247" t="s">
        <v>135</v>
      </c>
      <c r="E53" s="244" t="s">
        <v>290</v>
      </c>
      <c r="F53" s="418" t="s">
        <v>396</v>
      </c>
      <c r="G53" s="419"/>
      <c r="H53" s="419"/>
      <c r="I53" s="419"/>
      <c r="J53" s="419"/>
      <c r="K53" s="419"/>
      <c r="L53" s="419"/>
      <c r="M53" s="420"/>
      <c r="N53" s="243" t="s">
        <v>112</v>
      </c>
      <c r="O53" s="241" t="s">
        <v>247</v>
      </c>
      <c r="P53" s="432" t="s">
        <v>115</v>
      </c>
      <c r="Q53" s="433"/>
      <c r="R53" s="432" t="s">
        <v>400</v>
      </c>
      <c r="S53" s="434"/>
      <c r="T53" s="434"/>
      <c r="U53" s="433"/>
      <c r="V53" s="405" t="s">
        <v>133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119</v>
      </c>
      <c r="B54" s="431"/>
      <c r="C54" s="247" t="s">
        <v>177</v>
      </c>
      <c r="D54" s="247" t="s">
        <v>128</v>
      </c>
      <c r="E54" s="244" t="s">
        <v>370</v>
      </c>
      <c r="F54" s="418" t="s">
        <v>397</v>
      </c>
      <c r="G54" s="419"/>
      <c r="H54" s="419"/>
      <c r="I54" s="419"/>
      <c r="J54" s="419"/>
      <c r="K54" s="419"/>
      <c r="L54" s="419"/>
      <c r="M54" s="420"/>
      <c r="N54" s="243" t="s">
        <v>121</v>
      </c>
      <c r="O54" s="241" t="s">
        <v>166</v>
      </c>
      <c r="P54" s="432"/>
      <c r="Q54" s="433"/>
      <c r="R54" s="417" t="s">
        <v>401</v>
      </c>
      <c r="S54" s="417"/>
      <c r="T54" s="417"/>
      <c r="U54" s="417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16" t="s">
        <v>118</v>
      </c>
      <c r="B55" s="417"/>
      <c r="C55" s="244" t="s">
        <v>134</v>
      </c>
      <c r="D55" s="244" t="s">
        <v>115</v>
      </c>
      <c r="E55" s="244" t="s">
        <v>184</v>
      </c>
      <c r="F55" s="418" t="s">
        <v>398</v>
      </c>
      <c r="G55" s="419"/>
      <c r="H55" s="419"/>
      <c r="I55" s="419"/>
      <c r="J55" s="419"/>
      <c r="K55" s="419"/>
      <c r="L55" s="419"/>
      <c r="M55" s="420"/>
      <c r="N55" s="243" t="s">
        <v>118</v>
      </c>
      <c r="O55" s="241" t="s">
        <v>143</v>
      </c>
      <c r="P55" s="432" t="s">
        <v>135</v>
      </c>
      <c r="Q55" s="433"/>
      <c r="R55" s="432" t="s">
        <v>290</v>
      </c>
      <c r="S55" s="434"/>
      <c r="T55" s="434"/>
      <c r="U55" s="433"/>
      <c r="V55" s="405" t="s">
        <v>129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119</v>
      </c>
      <c r="B56" s="431"/>
      <c r="C56" s="247" t="s">
        <v>149</v>
      </c>
      <c r="D56" s="247" t="s">
        <v>115</v>
      </c>
      <c r="E56" s="244" t="s">
        <v>371</v>
      </c>
      <c r="F56" s="418" t="s">
        <v>389</v>
      </c>
      <c r="G56" s="419"/>
      <c r="H56" s="419"/>
      <c r="I56" s="419"/>
      <c r="J56" s="419"/>
      <c r="K56" s="419"/>
      <c r="L56" s="419"/>
      <c r="M56" s="420"/>
      <c r="N56" s="243" t="s">
        <v>403</v>
      </c>
      <c r="O56" s="241" t="s">
        <v>171</v>
      </c>
      <c r="P56" s="432"/>
      <c r="Q56" s="433"/>
      <c r="R56" s="432" t="s">
        <v>402</v>
      </c>
      <c r="S56" s="434"/>
      <c r="T56" s="434"/>
      <c r="U56" s="433"/>
      <c r="V56" s="405" t="s">
        <v>133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44"/>
      <c r="D57" s="244"/>
      <c r="E57" s="244"/>
      <c r="F57" s="418"/>
      <c r="G57" s="419"/>
      <c r="H57" s="419"/>
      <c r="I57" s="419"/>
      <c r="J57" s="419"/>
      <c r="K57" s="419"/>
      <c r="L57" s="419"/>
      <c r="M57" s="420"/>
      <c r="N57" s="243"/>
      <c r="O57" s="241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47"/>
      <c r="D58" s="247"/>
      <c r="E58" s="244"/>
      <c r="F58" s="418"/>
      <c r="G58" s="419"/>
      <c r="H58" s="419"/>
      <c r="I58" s="419"/>
      <c r="J58" s="419"/>
      <c r="K58" s="419"/>
      <c r="L58" s="419"/>
      <c r="M58" s="420"/>
      <c r="N58" s="243"/>
      <c r="O58" s="241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47"/>
      <c r="D59" s="247"/>
      <c r="E59" s="244"/>
      <c r="F59" s="418"/>
      <c r="G59" s="419"/>
      <c r="H59" s="419"/>
      <c r="I59" s="419"/>
      <c r="J59" s="419"/>
      <c r="K59" s="419"/>
      <c r="L59" s="419"/>
      <c r="M59" s="420"/>
      <c r="N59" s="243"/>
      <c r="O59" s="241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44"/>
      <c r="D60" s="244"/>
      <c r="E60" s="244"/>
      <c r="F60" s="418"/>
      <c r="G60" s="419"/>
      <c r="H60" s="419"/>
      <c r="I60" s="419"/>
      <c r="J60" s="419"/>
      <c r="K60" s="419"/>
      <c r="L60" s="419"/>
      <c r="M60" s="420"/>
      <c r="N60" s="243"/>
      <c r="O60" s="241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45"/>
      <c r="D61" s="246"/>
      <c r="E61" s="246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404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42" t="s">
        <v>2</v>
      </c>
      <c r="D63" s="242" t="s">
        <v>37</v>
      </c>
      <c r="E63" s="242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42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118</v>
      </c>
      <c r="D64" s="237"/>
      <c r="E64" s="240" t="s">
        <v>185</v>
      </c>
      <c r="F64" s="406" t="s">
        <v>405</v>
      </c>
      <c r="G64" s="407"/>
      <c r="H64" s="407"/>
      <c r="I64" s="407"/>
      <c r="J64" s="408"/>
      <c r="K64" s="394" t="s">
        <v>176</v>
      </c>
      <c r="L64" s="394"/>
      <c r="M64" s="51" t="s">
        <v>339</v>
      </c>
      <c r="N64" s="403" t="s">
        <v>141</v>
      </c>
      <c r="O64" s="403"/>
      <c r="P64" s="404">
        <v>160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118</v>
      </c>
      <c r="D65" s="237"/>
      <c r="E65" s="240" t="s">
        <v>135</v>
      </c>
      <c r="F65" s="406" t="s">
        <v>335</v>
      </c>
      <c r="G65" s="407"/>
      <c r="H65" s="407"/>
      <c r="I65" s="407"/>
      <c r="J65" s="408"/>
      <c r="K65" s="394" t="s">
        <v>130</v>
      </c>
      <c r="L65" s="394"/>
      <c r="M65" s="51" t="s">
        <v>151</v>
      </c>
      <c r="N65" s="403" t="s">
        <v>141</v>
      </c>
      <c r="O65" s="403"/>
      <c r="P65" s="475">
        <v>50</v>
      </c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119</v>
      </c>
      <c r="D66" s="237"/>
      <c r="E66" s="240" t="s">
        <v>128</v>
      </c>
      <c r="F66" s="406" t="s">
        <v>294</v>
      </c>
      <c r="G66" s="407"/>
      <c r="H66" s="407"/>
      <c r="I66" s="407"/>
      <c r="J66" s="408"/>
      <c r="K66" s="394" t="s">
        <v>122</v>
      </c>
      <c r="L66" s="394"/>
      <c r="M66" s="51" t="s">
        <v>151</v>
      </c>
      <c r="N66" s="403" t="s">
        <v>141</v>
      </c>
      <c r="O66" s="403"/>
      <c r="P66" s="475">
        <v>200</v>
      </c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 t="s">
        <v>118</v>
      </c>
      <c r="D67" s="237"/>
      <c r="E67" s="240" t="s">
        <v>135</v>
      </c>
      <c r="F67" s="406" t="s">
        <v>406</v>
      </c>
      <c r="G67" s="407"/>
      <c r="H67" s="407"/>
      <c r="I67" s="407"/>
      <c r="J67" s="408"/>
      <c r="K67" s="394" t="s">
        <v>407</v>
      </c>
      <c r="L67" s="394"/>
      <c r="M67" s="51" t="s">
        <v>339</v>
      </c>
      <c r="N67" s="403" t="s">
        <v>166</v>
      </c>
      <c r="O67" s="403"/>
      <c r="P67" s="404">
        <v>200</v>
      </c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 t="s">
        <v>119</v>
      </c>
      <c r="D68" s="237"/>
      <c r="E68" s="240" t="s">
        <v>409</v>
      </c>
      <c r="F68" s="406" t="s">
        <v>408</v>
      </c>
      <c r="G68" s="407"/>
      <c r="H68" s="407"/>
      <c r="I68" s="407"/>
      <c r="J68" s="408"/>
      <c r="K68" s="394" t="s">
        <v>136</v>
      </c>
      <c r="L68" s="394"/>
      <c r="M68" s="51" t="s">
        <v>339</v>
      </c>
      <c r="N68" s="403" t="s">
        <v>172</v>
      </c>
      <c r="O68" s="403"/>
      <c r="P68" s="404">
        <v>50</v>
      </c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 t="s">
        <v>118</v>
      </c>
      <c r="D69" s="237"/>
      <c r="E69" s="240" t="s">
        <v>115</v>
      </c>
      <c r="F69" s="406" t="s">
        <v>410</v>
      </c>
      <c r="G69" s="407"/>
      <c r="H69" s="407"/>
      <c r="I69" s="407"/>
      <c r="J69" s="408"/>
      <c r="K69" s="394" t="s">
        <v>152</v>
      </c>
      <c r="L69" s="394"/>
      <c r="M69" s="51" t="s">
        <v>339</v>
      </c>
      <c r="N69" s="403" t="s">
        <v>134</v>
      </c>
      <c r="O69" s="403"/>
      <c r="P69" s="404">
        <v>200</v>
      </c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37"/>
      <c r="E70" s="240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37"/>
      <c r="E71" s="240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37"/>
      <c r="E72" s="240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37"/>
      <c r="E73" s="240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411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39" t="s">
        <v>2</v>
      </c>
      <c r="D75" s="239" t="s">
        <v>37</v>
      </c>
      <c r="E75" s="239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38" t="s">
        <v>112</v>
      </c>
      <c r="D76" s="238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37"/>
      <c r="D77" s="237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9">A77+1</f>
        <v>3</v>
      </c>
      <c r="B78" s="362"/>
      <c r="C78" s="237"/>
      <c r="D78" s="237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9"/>
        <v>4</v>
      </c>
      <c r="B79" s="362"/>
      <c r="C79" s="237"/>
      <c r="D79" s="237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9"/>
        <v>5</v>
      </c>
      <c r="B80" s="362"/>
      <c r="C80" s="237"/>
      <c r="D80" s="237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9"/>
        <v>6</v>
      </c>
      <c r="B81" s="362"/>
      <c r="C81" s="237"/>
      <c r="D81" s="237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9"/>
        <v>7</v>
      </c>
      <c r="B82" s="362"/>
      <c r="C82" s="237"/>
      <c r="D82" s="237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412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59CA-3684-4F8F-95F3-5D40CB993F4D}">
  <dimension ref="A1:AF87"/>
  <sheetViews>
    <sheetView view="pageBreakPreview" zoomScale="70" zoomScaleNormal="72" zoomScaleSheetLayoutView="70" workbookViewId="0">
      <selection activeCell="T16" sqref="T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413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50" t="s">
        <v>17</v>
      </c>
      <c r="L5" s="250" t="s">
        <v>18</v>
      </c>
      <c r="M5" s="250" t="s">
        <v>19</v>
      </c>
      <c r="N5" s="25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5466</v>
      </c>
      <c r="K6" s="15">
        <f>L6+4797+2971</f>
        <v>13234</v>
      </c>
      <c r="L6" s="15">
        <f>2565+2901</f>
        <v>5466</v>
      </c>
      <c r="M6" s="15">
        <f t="shared" ref="M6:M21" si="0">L6-N6</f>
        <v>5466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23</v>
      </c>
      <c r="Q6" s="40">
        <f t="shared" ref="Q6:Q21" si="3">SUM(R6:AA6)</f>
        <v>1</v>
      </c>
      <c r="R6" s="7"/>
      <c r="S6" s="6">
        <v>1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0.95833333333333337</v>
      </c>
      <c r="AD6" s="10">
        <f t="shared" ref="AD6:AD21" si="6">AC6*AB6*(1-O6)</f>
        <v>0.95833333333333337</v>
      </c>
      <c r="AE6" s="36">
        <f t="shared" ref="AE6:AE21" si="7">$AD$22</f>
        <v>0.49479166666666663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61455</v>
      </c>
      <c r="K7" s="15">
        <f>L7+27610+30250+31645</f>
        <v>150960</v>
      </c>
      <c r="L7" s="15">
        <f>6732*5+5559*5</f>
        <v>61455</v>
      </c>
      <c r="M7" s="15">
        <f t="shared" si="0"/>
        <v>61455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0.49479166666666663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128</v>
      </c>
      <c r="E8" s="53" t="s">
        <v>370</v>
      </c>
      <c r="F8" s="30" t="s">
        <v>122</v>
      </c>
      <c r="G8" s="33">
        <v>2</v>
      </c>
      <c r="H8" s="35">
        <v>24</v>
      </c>
      <c r="I8" s="7">
        <v>20000</v>
      </c>
      <c r="J8" s="5">
        <v>11010</v>
      </c>
      <c r="K8" s="15">
        <f>L8+5406</f>
        <v>16416</v>
      </c>
      <c r="L8" s="15">
        <f>3095*2+2410*2</f>
        <v>11010</v>
      </c>
      <c r="M8" s="15">
        <f t="shared" si="0"/>
        <v>11010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0.49479166666666663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4333</v>
      </c>
      <c r="K9" s="15">
        <f>L9+4035+615+3163+2977+844+2271</f>
        <v>18238</v>
      </c>
      <c r="L9" s="15">
        <f>2728+1605</f>
        <v>4333</v>
      </c>
      <c r="M9" s="15">
        <f t="shared" si="0"/>
        <v>4333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0.49479166666666663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75000</v>
      </c>
      <c r="J10" s="14">
        <v>6597</v>
      </c>
      <c r="K10" s="15">
        <f>L10+5217+6628+5843+6693+6633+6764+6273+6588+6637+6651+6854+6281+6605</f>
        <v>90264</v>
      </c>
      <c r="L10" s="15">
        <f>3267+3330</f>
        <v>6597</v>
      </c>
      <c r="M10" s="15">
        <f t="shared" si="0"/>
        <v>6597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0.49479166666666663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403</v>
      </c>
      <c r="D11" s="52"/>
      <c r="E11" s="53" t="s">
        <v>402</v>
      </c>
      <c r="F11" s="30" t="s">
        <v>183</v>
      </c>
      <c r="G11" s="33">
        <v>1</v>
      </c>
      <c r="H11" s="35">
        <v>24</v>
      </c>
      <c r="I11" s="7">
        <v>2000</v>
      </c>
      <c r="J11" s="14">
        <v>150</v>
      </c>
      <c r="K11" s="15">
        <f>L11</f>
        <v>150</v>
      </c>
      <c r="L11" s="15">
        <v>150</v>
      </c>
      <c r="M11" s="15">
        <f t="shared" si="0"/>
        <v>150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>
        <v>21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6"/>
        <v>0.125</v>
      </c>
      <c r="AE11" s="36">
        <f t="shared" si="7"/>
        <v>0.49479166666666663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5003</v>
      </c>
      <c r="K12" s="15">
        <f>L12+3980+4963+4857+4991+5052+5074+5369+4402+4760</f>
        <v>48451</v>
      </c>
      <c r="L12" s="15">
        <f>2527+2476</f>
        <v>5003</v>
      </c>
      <c r="M12" s="15">
        <f t="shared" si="0"/>
        <v>5003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0.49479166666666663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0.49479166666666663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0.49479166666666663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2059</v>
      </c>
      <c r="K15" s="15">
        <f>L15</f>
        <v>2059</v>
      </c>
      <c r="L15" s="15">
        <v>2059</v>
      </c>
      <c r="M15" s="15">
        <f t="shared" si="0"/>
        <v>2059</v>
      </c>
      <c r="N15" s="15">
        <v>0</v>
      </c>
      <c r="O15" s="58">
        <f t="shared" si="1"/>
        <v>0</v>
      </c>
      <c r="P15" s="39">
        <f t="shared" si="2"/>
        <v>12</v>
      </c>
      <c r="Q15" s="40">
        <f t="shared" si="3"/>
        <v>12</v>
      </c>
      <c r="R15" s="7"/>
      <c r="S15" s="6">
        <v>12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</v>
      </c>
      <c r="AD15" s="10">
        <f t="shared" si="6"/>
        <v>0.5</v>
      </c>
      <c r="AE15" s="36">
        <f t="shared" si="7"/>
        <v>0.49479166666666663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414</v>
      </c>
      <c r="F16" s="30" t="s">
        <v>152</v>
      </c>
      <c r="G16" s="12">
        <v>1</v>
      </c>
      <c r="H16" s="13">
        <v>24</v>
      </c>
      <c r="I16" s="7">
        <v>50000</v>
      </c>
      <c r="J16" s="14">
        <v>5686</v>
      </c>
      <c r="K16" s="15">
        <f>L16</f>
        <v>0</v>
      </c>
      <c r="L16" s="15">
        <f>0</f>
        <v>0</v>
      </c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0.49479166666666663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0.49479166666666663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213</v>
      </c>
      <c r="F18" s="30" t="s">
        <v>152</v>
      </c>
      <c r="G18" s="33">
        <v>1</v>
      </c>
      <c r="H18" s="35">
        <v>24</v>
      </c>
      <c r="I18" s="7">
        <v>4000</v>
      </c>
      <c r="J18" s="14">
        <v>3060</v>
      </c>
      <c r="K18" s="15">
        <f>L18</f>
        <v>3060</v>
      </c>
      <c r="L18" s="15">
        <f>501+2559</f>
        <v>3060</v>
      </c>
      <c r="M18" s="15">
        <f t="shared" si="0"/>
        <v>3060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6">
        <f t="shared" si="7"/>
        <v>0.49479166666666663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115</v>
      </c>
      <c r="E19" s="53" t="s">
        <v>184</v>
      </c>
      <c r="F19" s="30" t="s">
        <v>152</v>
      </c>
      <c r="G19" s="33">
        <v>1</v>
      </c>
      <c r="H19" s="35">
        <v>24</v>
      </c>
      <c r="I19" s="7">
        <v>6500</v>
      </c>
      <c r="J19" s="14">
        <v>2145</v>
      </c>
      <c r="K19" s="15">
        <f>L19+1972+2145</f>
        <v>4117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0.49479166666666663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380</v>
      </c>
      <c r="F20" s="30" t="s">
        <v>122</v>
      </c>
      <c r="G20" s="12">
        <v>2</v>
      </c>
      <c r="H20" s="13">
        <v>28</v>
      </c>
      <c r="I20" s="31">
        <v>20000</v>
      </c>
      <c r="J20" s="5">
        <v>9750</v>
      </c>
      <c r="K20" s="15">
        <f>L20+7862+9614</f>
        <v>27226</v>
      </c>
      <c r="L20" s="15">
        <f>2465*2+2410*2</f>
        <v>9750</v>
      </c>
      <c r="M20" s="15">
        <f t="shared" si="0"/>
        <v>9750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>AC20*AB20*(1-O20)</f>
        <v>0.95833333333333337</v>
      </c>
      <c r="AE20" s="36">
        <f t="shared" si="7"/>
        <v>0.49479166666666663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0.49479166666666663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710200</v>
      </c>
      <c r="J22" s="19">
        <f t="shared" si="9"/>
        <v>131241</v>
      </c>
      <c r="K22" s="20">
        <f t="shared" si="9"/>
        <v>667243</v>
      </c>
      <c r="L22" s="21">
        <f t="shared" si="9"/>
        <v>108883</v>
      </c>
      <c r="M22" s="20">
        <f t="shared" si="9"/>
        <v>108883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190</v>
      </c>
      <c r="Q22" s="43">
        <f t="shared" si="10"/>
        <v>194</v>
      </c>
      <c r="R22" s="23">
        <f t="shared" si="10"/>
        <v>0</v>
      </c>
      <c r="S22" s="24">
        <f t="shared" si="10"/>
        <v>98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48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0.66666666666666663</v>
      </c>
      <c r="AC22" s="4">
        <f>AVERAGE(AC6:AC21)</f>
        <v>0.49479166666666663</v>
      </c>
      <c r="AD22" s="4">
        <f>AVERAGE(AD6:AD21)</f>
        <v>0.49479166666666663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415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419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51" t="s">
        <v>46</v>
      </c>
      <c r="D51" s="251" t="s">
        <v>47</v>
      </c>
      <c r="E51" s="251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51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52" t="s">
        <v>243</v>
      </c>
      <c r="D52" s="252" t="s">
        <v>135</v>
      </c>
      <c r="E52" s="254" t="s">
        <v>146</v>
      </c>
      <c r="F52" s="418" t="s">
        <v>153</v>
      </c>
      <c r="G52" s="419"/>
      <c r="H52" s="419"/>
      <c r="I52" s="419"/>
      <c r="J52" s="419"/>
      <c r="K52" s="419"/>
      <c r="L52" s="419"/>
      <c r="M52" s="420"/>
      <c r="N52" s="253" t="s">
        <v>112</v>
      </c>
      <c r="O52" s="259" t="s">
        <v>247</v>
      </c>
      <c r="P52" s="432" t="s">
        <v>115</v>
      </c>
      <c r="Q52" s="433"/>
      <c r="R52" s="432" t="s">
        <v>400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118</v>
      </c>
      <c r="B53" s="431"/>
      <c r="C53" s="252" t="s">
        <v>143</v>
      </c>
      <c r="D53" s="252" t="s">
        <v>135</v>
      </c>
      <c r="E53" s="254" t="s">
        <v>290</v>
      </c>
      <c r="F53" s="418" t="s">
        <v>129</v>
      </c>
      <c r="G53" s="419"/>
      <c r="H53" s="419"/>
      <c r="I53" s="419"/>
      <c r="J53" s="419"/>
      <c r="K53" s="419"/>
      <c r="L53" s="419"/>
      <c r="M53" s="420"/>
      <c r="N53" s="253" t="s">
        <v>119</v>
      </c>
      <c r="O53" s="259" t="s">
        <v>243</v>
      </c>
      <c r="P53" s="432" t="s">
        <v>135</v>
      </c>
      <c r="Q53" s="433"/>
      <c r="R53" s="432" t="s">
        <v>146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119</v>
      </c>
      <c r="B54" s="431"/>
      <c r="C54" s="252" t="s">
        <v>177</v>
      </c>
      <c r="D54" s="252" t="s">
        <v>128</v>
      </c>
      <c r="E54" s="254" t="s">
        <v>370</v>
      </c>
      <c r="F54" s="418" t="s">
        <v>129</v>
      </c>
      <c r="G54" s="419"/>
      <c r="H54" s="419"/>
      <c r="I54" s="419"/>
      <c r="J54" s="419"/>
      <c r="K54" s="419"/>
      <c r="L54" s="419"/>
      <c r="M54" s="420"/>
      <c r="N54" s="253" t="s">
        <v>403</v>
      </c>
      <c r="O54" s="259" t="s">
        <v>171</v>
      </c>
      <c r="P54" s="432"/>
      <c r="Q54" s="433"/>
      <c r="R54" s="432" t="s">
        <v>402</v>
      </c>
      <c r="S54" s="434"/>
      <c r="T54" s="434"/>
      <c r="U54" s="433"/>
      <c r="V54" s="405" t="s">
        <v>129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16" t="s">
        <v>112</v>
      </c>
      <c r="B55" s="417"/>
      <c r="C55" s="254" t="s">
        <v>134</v>
      </c>
      <c r="D55" s="254" t="s">
        <v>115</v>
      </c>
      <c r="E55" s="254" t="s">
        <v>213</v>
      </c>
      <c r="F55" s="418" t="s">
        <v>416</v>
      </c>
      <c r="G55" s="419"/>
      <c r="H55" s="419"/>
      <c r="I55" s="419"/>
      <c r="J55" s="419"/>
      <c r="K55" s="419"/>
      <c r="L55" s="419"/>
      <c r="M55" s="420"/>
      <c r="N55" s="253" t="s">
        <v>112</v>
      </c>
      <c r="O55" s="259" t="s">
        <v>134</v>
      </c>
      <c r="P55" s="432" t="s">
        <v>155</v>
      </c>
      <c r="Q55" s="433"/>
      <c r="R55" s="432" t="s">
        <v>263</v>
      </c>
      <c r="S55" s="434"/>
      <c r="T55" s="434"/>
      <c r="U55" s="433"/>
      <c r="V55" s="405" t="s">
        <v>133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119</v>
      </c>
      <c r="B56" s="431"/>
      <c r="C56" s="252" t="s">
        <v>149</v>
      </c>
      <c r="D56" s="252" t="s">
        <v>115</v>
      </c>
      <c r="E56" s="254" t="s">
        <v>371</v>
      </c>
      <c r="F56" s="418" t="s">
        <v>389</v>
      </c>
      <c r="G56" s="419"/>
      <c r="H56" s="419"/>
      <c r="I56" s="419"/>
      <c r="J56" s="419"/>
      <c r="K56" s="419"/>
      <c r="L56" s="419"/>
      <c r="M56" s="420"/>
      <c r="N56" s="253"/>
      <c r="O56" s="259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 t="s">
        <v>403</v>
      </c>
      <c r="B57" s="417"/>
      <c r="C57" s="254" t="s">
        <v>171</v>
      </c>
      <c r="D57" s="254"/>
      <c r="E57" s="254" t="s">
        <v>402</v>
      </c>
      <c r="F57" s="418" t="s">
        <v>417</v>
      </c>
      <c r="G57" s="419"/>
      <c r="H57" s="419"/>
      <c r="I57" s="419"/>
      <c r="J57" s="419"/>
      <c r="K57" s="419"/>
      <c r="L57" s="419"/>
      <c r="M57" s="420"/>
      <c r="N57" s="253"/>
      <c r="O57" s="259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 t="s">
        <v>112</v>
      </c>
      <c r="B58" s="431"/>
      <c r="C58" s="252" t="s">
        <v>247</v>
      </c>
      <c r="D58" s="252" t="s">
        <v>115</v>
      </c>
      <c r="E58" s="254" t="s">
        <v>400</v>
      </c>
      <c r="F58" s="418" t="s">
        <v>418</v>
      </c>
      <c r="G58" s="419"/>
      <c r="H58" s="419"/>
      <c r="I58" s="419"/>
      <c r="J58" s="419"/>
      <c r="K58" s="419"/>
      <c r="L58" s="419"/>
      <c r="M58" s="420"/>
      <c r="N58" s="253"/>
      <c r="O58" s="259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 t="s">
        <v>121</v>
      </c>
      <c r="B59" s="431"/>
      <c r="C59" s="252" t="s">
        <v>166</v>
      </c>
      <c r="D59" s="252"/>
      <c r="E59" s="254" t="s">
        <v>401</v>
      </c>
      <c r="F59" s="418" t="s">
        <v>309</v>
      </c>
      <c r="G59" s="419"/>
      <c r="H59" s="419"/>
      <c r="I59" s="419"/>
      <c r="J59" s="419"/>
      <c r="K59" s="419"/>
      <c r="L59" s="419"/>
      <c r="M59" s="420"/>
      <c r="N59" s="253"/>
      <c r="O59" s="259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54"/>
      <c r="D60" s="254"/>
      <c r="E60" s="254"/>
      <c r="F60" s="418"/>
      <c r="G60" s="419"/>
      <c r="H60" s="419"/>
      <c r="I60" s="419"/>
      <c r="J60" s="419"/>
      <c r="K60" s="419"/>
      <c r="L60" s="419"/>
      <c r="M60" s="420"/>
      <c r="N60" s="253"/>
      <c r="O60" s="259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55"/>
      <c r="D61" s="256"/>
      <c r="E61" s="256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420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57" t="s">
        <v>2</v>
      </c>
      <c r="D63" s="257" t="s">
        <v>37</v>
      </c>
      <c r="E63" s="257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57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261"/>
      <c r="E64" s="258" t="s">
        <v>256</v>
      </c>
      <c r="F64" s="406" t="s">
        <v>295</v>
      </c>
      <c r="G64" s="407"/>
      <c r="H64" s="407"/>
      <c r="I64" s="407"/>
      <c r="J64" s="408"/>
      <c r="K64" s="394" t="s">
        <v>136</v>
      </c>
      <c r="L64" s="394"/>
      <c r="M64" s="51" t="s">
        <v>151</v>
      </c>
      <c r="N64" s="403" t="s">
        <v>166</v>
      </c>
      <c r="O64" s="403"/>
      <c r="P64" s="404">
        <v>200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119</v>
      </c>
      <c r="D65" s="261"/>
      <c r="E65" s="258" t="s">
        <v>409</v>
      </c>
      <c r="F65" s="406" t="s">
        <v>421</v>
      </c>
      <c r="G65" s="407"/>
      <c r="H65" s="407"/>
      <c r="I65" s="407"/>
      <c r="J65" s="408"/>
      <c r="K65" s="394" t="s">
        <v>136</v>
      </c>
      <c r="L65" s="394"/>
      <c r="M65" s="51" t="s">
        <v>339</v>
      </c>
      <c r="N65" s="403" t="s">
        <v>166</v>
      </c>
      <c r="O65" s="403"/>
      <c r="P65" s="475">
        <v>50</v>
      </c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261"/>
      <c r="E66" s="258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75"/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261"/>
      <c r="E67" s="258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261"/>
      <c r="E68" s="258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61"/>
      <c r="E69" s="258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61"/>
      <c r="E70" s="258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61"/>
      <c r="E71" s="258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61"/>
      <c r="E72" s="258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61"/>
      <c r="E73" s="258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422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60" t="s">
        <v>2</v>
      </c>
      <c r="D75" s="260" t="s">
        <v>37</v>
      </c>
      <c r="E75" s="260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62" t="s">
        <v>112</v>
      </c>
      <c r="D76" s="262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61"/>
      <c r="D77" s="261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61"/>
      <c r="D78" s="261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61"/>
      <c r="D79" s="261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61"/>
      <c r="D80" s="261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61"/>
      <c r="D81" s="261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61"/>
      <c r="D82" s="261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423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055F-1338-45B8-9A5E-00A2AC0C0A15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424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75" t="s">
        <v>17</v>
      </c>
      <c r="L5" s="275" t="s">
        <v>18</v>
      </c>
      <c r="M5" s="275" t="s">
        <v>19</v>
      </c>
      <c r="N5" s="27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4155</v>
      </c>
      <c r="K6" s="15">
        <f>L6+4797+2971+5466</f>
        <v>17389</v>
      </c>
      <c r="L6" s="15">
        <f>1766+2389</f>
        <v>4155</v>
      </c>
      <c r="M6" s="15">
        <f t="shared" ref="M6:M21" si="0">L6-N6</f>
        <v>4155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20</v>
      </c>
      <c r="Q6" s="40">
        <f t="shared" ref="Q6:Q21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0.83333333333333337</v>
      </c>
      <c r="AD6" s="10">
        <f t="shared" ref="AD6:AD21" si="6">AC6*AB6*(1-O6)</f>
        <v>0.83333333333333337</v>
      </c>
      <c r="AE6" s="36">
        <f t="shared" ref="AE6:AE21" si="7">$AD$22</f>
        <v>0.52083333333333326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29830</v>
      </c>
      <c r="K7" s="15">
        <f>L7+27610+30250+31645+61455</f>
        <v>180790</v>
      </c>
      <c r="L7" s="15">
        <f>5966*5</f>
        <v>29830</v>
      </c>
      <c r="M7" s="15">
        <f t="shared" si="0"/>
        <v>29830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/>
      <c r="W7" s="5">
        <v>14</v>
      </c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0.52083333333333326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128</v>
      </c>
      <c r="E8" s="53" t="s">
        <v>370</v>
      </c>
      <c r="F8" s="30" t="s">
        <v>122</v>
      </c>
      <c r="G8" s="33">
        <v>2</v>
      </c>
      <c r="H8" s="35">
        <v>24</v>
      </c>
      <c r="I8" s="7">
        <v>20000</v>
      </c>
      <c r="J8" s="5">
        <v>11898</v>
      </c>
      <c r="K8" s="15">
        <f>L8+5406+11010</f>
        <v>28314</v>
      </c>
      <c r="L8" s="15">
        <f>3181*2+2768*2</f>
        <v>11898</v>
      </c>
      <c r="M8" s="15">
        <f t="shared" si="0"/>
        <v>11898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0.52083333333333326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4467</v>
      </c>
      <c r="K9" s="15">
        <f>L9+4035+615+3163+2977+844+2271+4333</f>
        <v>22705</v>
      </c>
      <c r="L9" s="15">
        <f>2007+2460</f>
        <v>4467</v>
      </c>
      <c r="M9" s="15">
        <f t="shared" si="0"/>
        <v>4467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0.52083333333333326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75000</v>
      </c>
      <c r="J10" s="14">
        <v>6699</v>
      </c>
      <c r="K10" s="15">
        <f>L10+5217+6628+5843+6693+6633+6764+6273+6588+6637+6651+6854+6281+6605+6597</f>
        <v>96963</v>
      </c>
      <c r="L10" s="15">
        <f>3363+3336</f>
        <v>6699</v>
      </c>
      <c r="M10" s="15">
        <f t="shared" si="0"/>
        <v>6699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0.52083333333333326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403</v>
      </c>
      <c r="D11" s="52"/>
      <c r="E11" s="53" t="s">
        <v>402</v>
      </c>
      <c r="F11" s="30" t="s">
        <v>183</v>
      </c>
      <c r="G11" s="33">
        <v>1</v>
      </c>
      <c r="H11" s="35">
        <v>24</v>
      </c>
      <c r="I11" s="7">
        <v>2000</v>
      </c>
      <c r="J11" s="14">
        <v>2707</v>
      </c>
      <c r="K11" s="15">
        <f>L11+150</f>
        <v>2857</v>
      </c>
      <c r="L11" s="15">
        <f>2707</f>
        <v>2707</v>
      </c>
      <c r="M11" s="15">
        <f t="shared" si="0"/>
        <v>2707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0.58333333333333337</v>
      </c>
      <c r="AD11" s="10">
        <f t="shared" si="6"/>
        <v>0.58333333333333337</v>
      </c>
      <c r="AE11" s="36">
        <f t="shared" si="7"/>
        <v>0.52083333333333326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4109</v>
      </c>
      <c r="K12" s="15">
        <f>L12+3980+4963+4857+4991+5052+5074+5369+4402+4760+5003</f>
        <v>52560</v>
      </c>
      <c r="L12" s="15">
        <f>1569+2540</f>
        <v>4109</v>
      </c>
      <c r="M12" s="15">
        <f t="shared" si="0"/>
        <v>4109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0.52083333333333326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0.52083333333333326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0.52083333333333326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5272</v>
      </c>
      <c r="K15" s="15">
        <f>L15+2059</f>
        <v>7331</v>
      </c>
      <c r="L15" s="15">
        <f>2645+2627</f>
        <v>5272</v>
      </c>
      <c r="M15" s="15">
        <f t="shared" si="0"/>
        <v>5272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0.52083333333333326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414</v>
      </c>
      <c r="F16" s="30" t="s">
        <v>152</v>
      </c>
      <c r="G16" s="12">
        <v>1</v>
      </c>
      <c r="H16" s="13">
        <v>24</v>
      </c>
      <c r="I16" s="7">
        <v>50000</v>
      </c>
      <c r="J16" s="14">
        <v>2928</v>
      </c>
      <c r="K16" s="15">
        <f>L16</f>
        <v>2928</v>
      </c>
      <c r="L16" s="15">
        <f>2928</f>
        <v>2928</v>
      </c>
      <c r="M16" s="15">
        <f t="shared" si="0"/>
        <v>2928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>
        <v>13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 t="shared" si="7"/>
        <v>0.52083333333333326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0.52083333333333326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213</v>
      </c>
      <c r="F18" s="30" t="s">
        <v>152</v>
      </c>
      <c r="G18" s="33">
        <v>1</v>
      </c>
      <c r="H18" s="35">
        <v>24</v>
      </c>
      <c r="I18" s="7">
        <v>4000</v>
      </c>
      <c r="J18" s="14">
        <v>2914</v>
      </c>
      <c r="K18" s="15">
        <f>L18+3060</f>
        <v>5974</v>
      </c>
      <c r="L18" s="15">
        <v>2914</v>
      </c>
      <c r="M18" s="15">
        <f t="shared" si="0"/>
        <v>2914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/>
      <c r="T18" s="16"/>
      <c r="U18" s="16"/>
      <c r="V18" s="17"/>
      <c r="W18" s="5">
        <v>13</v>
      </c>
      <c r="X18" s="16"/>
      <c r="Y18" s="16"/>
      <c r="Z18" s="16"/>
      <c r="AA18" s="18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0.52083333333333326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180</v>
      </c>
      <c r="G19" s="33">
        <v>1</v>
      </c>
      <c r="H19" s="35">
        <v>24</v>
      </c>
      <c r="I19" s="7">
        <v>40000</v>
      </c>
      <c r="J19" s="14">
        <v>4203</v>
      </c>
      <c r="K19" s="15">
        <f>L19</f>
        <v>4203</v>
      </c>
      <c r="L19" s="15">
        <f>2864+1339</f>
        <v>4203</v>
      </c>
      <c r="M19" s="15">
        <f t="shared" si="0"/>
        <v>4203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4</v>
      </c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0.52083333333333326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380</v>
      </c>
      <c r="F20" s="30" t="s">
        <v>122</v>
      </c>
      <c r="G20" s="12">
        <v>2</v>
      </c>
      <c r="H20" s="13">
        <v>28</v>
      </c>
      <c r="I20" s="31">
        <v>20000</v>
      </c>
      <c r="J20" s="5">
        <v>9750</v>
      </c>
      <c r="K20" s="15">
        <f>L20+7862+9614+9750</f>
        <v>27226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0.52083333333333326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0.52083333333333326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743700</v>
      </c>
      <c r="J22" s="19">
        <f t="shared" si="9"/>
        <v>103459</v>
      </c>
      <c r="K22" s="20">
        <f t="shared" si="9"/>
        <v>742308</v>
      </c>
      <c r="L22" s="21">
        <f t="shared" si="9"/>
        <v>79182</v>
      </c>
      <c r="M22" s="20">
        <f t="shared" si="9"/>
        <v>79182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200</v>
      </c>
      <c r="Q22" s="43">
        <f t="shared" si="10"/>
        <v>184</v>
      </c>
      <c r="R22" s="23">
        <f t="shared" si="10"/>
        <v>0</v>
      </c>
      <c r="S22" s="24">
        <f t="shared" si="10"/>
        <v>33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75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52</v>
      </c>
      <c r="AB22" s="28">
        <f>AVERAGE(AB6:AB21)</f>
        <v>0.73333333333333328</v>
      </c>
      <c r="AC22" s="4">
        <f>AVERAGE(AC6:AC21)</f>
        <v>0.52083333333333326</v>
      </c>
      <c r="AD22" s="4">
        <f>AVERAGE(AD6:AD21)</f>
        <v>0.52083333333333326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425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428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74" t="s">
        <v>46</v>
      </c>
      <c r="D51" s="274" t="s">
        <v>47</v>
      </c>
      <c r="E51" s="274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74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73" t="s">
        <v>243</v>
      </c>
      <c r="D52" s="273" t="s">
        <v>135</v>
      </c>
      <c r="E52" s="270" t="s">
        <v>146</v>
      </c>
      <c r="F52" s="418" t="s">
        <v>281</v>
      </c>
      <c r="G52" s="419"/>
      <c r="H52" s="419"/>
      <c r="I52" s="419"/>
      <c r="J52" s="419"/>
      <c r="K52" s="419"/>
      <c r="L52" s="419"/>
      <c r="M52" s="420"/>
      <c r="N52" s="269" t="s">
        <v>121</v>
      </c>
      <c r="O52" s="267" t="s">
        <v>177</v>
      </c>
      <c r="P52" s="432"/>
      <c r="Q52" s="433"/>
      <c r="R52" s="432" t="s">
        <v>169</v>
      </c>
      <c r="S52" s="434"/>
      <c r="T52" s="434"/>
      <c r="U52" s="433"/>
      <c r="V52" s="405" t="s">
        <v>133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118</v>
      </c>
      <c r="B53" s="431"/>
      <c r="C53" s="273" t="s">
        <v>143</v>
      </c>
      <c r="D53" s="273" t="s">
        <v>135</v>
      </c>
      <c r="E53" s="270" t="s">
        <v>290</v>
      </c>
      <c r="F53" s="418" t="s">
        <v>426</v>
      </c>
      <c r="G53" s="419"/>
      <c r="H53" s="419"/>
      <c r="I53" s="419"/>
      <c r="J53" s="419"/>
      <c r="K53" s="419"/>
      <c r="L53" s="419"/>
      <c r="M53" s="420"/>
      <c r="N53" s="269" t="s">
        <v>118</v>
      </c>
      <c r="O53" s="267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16" t="s">
        <v>403</v>
      </c>
      <c r="B54" s="417"/>
      <c r="C54" s="270" t="s">
        <v>171</v>
      </c>
      <c r="D54" s="270"/>
      <c r="E54" s="270" t="s">
        <v>402</v>
      </c>
      <c r="F54" s="418" t="s">
        <v>129</v>
      </c>
      <c r="G54" s="419"/>
      <c r="H54" s="419"/>
      <c r="I54" s="419"/>
      <c r="J54" s="419"/>
      <c r="K54" s="419"/>
      <c r="L54" s="419"/>
      <c r="M54" s="420"/>
      <c r="N54" s="269" t="s">
        <v>121</v>
      </c>
      <c r="O54" s="267" t="s">
        <v>171</v>
      </c>
      <c r="P54" s="432"/>
      <c r="Q54" s="433"/>
      <c r="R54" s="432" t="s">
        <v>429</v>
      </c>
      <c r="S54" s="434"/>
      <c r="T54" s="434"/>
      <c r="U54" s="433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112</v>
      </c>
      <c r="B55" s="431"/>
      <c r="C55" s="273" t="s">
        <v>247</v>
      </c>
      <c r="D55" s="273" t="s">
        <v>115</v>
      </c>
      <c r="E55" s="270" t="s">
        <v>400</v>
      </c>
      <c r="F55" s="418" t="s">
        <v>427</v>
      </c>
      <c r="G55" s="419"/>
      <c r="H55" s="419"/>
      <c r="I55" s="419"/>
      <c r="J55" s="419"/>
      <c r="K55" s="419"/>
      <c r="L55" s="419"/>
      <c r="M55" s="420"/>
      <c r="N55" s="269"/>
      <c r="O55" s="267"/>
      <c r="P55" s="432"/>
      <c r="Q55" s="433"/>
      <c r="R55" s="432"/>
      <c r="S55" s="434"/>
      <c r="T55" s="434"/>
      <c r="U55" s="433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112</v>
      </c>
      <c r="B56" s="431"/>
      <c r="C56" s="273" t="s">
        <v>140</v>
      </c>
      <c r="D56" s="273" t="s">
        <v>155</v>
      </c>
      <c r="E56" s="270" t="s">
        <v>263</v>
      </c>
      <c r="F56" s="418" t="s">
        <v>133</v>
      </c>
      <c r="G56" s="419"/>
      <c r="H56" s="419"/>
      <c r="I56" s="419"/>
      <c r="J56" s="419"/>
      <c r="K56" s="419"/>
      <c r="L56" s="419"/>
      <c r="M56" s="420"/>
      <c r="N56" s="269"/>
      <c r="O56" s="267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70"/>
      <c r="D57" s="270"/>
      <c r="E57" s="270"/>
      <c r="F57" s="418"/>
      <c r="G57" s="419"/>
      <c r="H57" s="419"/>
      <c r="I57" s="419"/>
      <c r="J57" s="419"/>
      <c r="K57" s="419"/>
      <c r="L57" s="419"/>
      <c r="M57" s="420"/>
      <c r="N57" s="269"/>
      <c r="O57" s="267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73"/>
      <c r="D58" s="273"/>
      <c r="E58" s="270"/>
      <c r="F58" s="418"/>
      <c r="G58" s="419"/>
      <c r="H58" s="419"/>
      <c r="I58" s="419"/>
      <c r="J58" s="419"/>
      <c r="K58" s="419"/>
      <c r="L58" s="419"/>
      <c r="M58" s="420"/>
      <c r="N58" s="269"/>
      <c r="O58" s="267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73"/>
      <c r="D59" s="273"/>
      <c r="E59" s="270"/>
      <c r="F59" s="418"/>
      <c r="G59" s="419"/>
      <c r="H59" s="419"/>
      <c r="I59" s="419"/>
      <c r="J59" s="419"/>
      <c r="K59" s="419"/>
      <c r="L59" s="419"/>
      <c r="M59" s="420"/>
      <c r="N59" s="269"/>
      <c r="O59" s="267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70"/>
      <c r="D60" s="270"/>
      <c r="E60" s="270"/>
      <c r="F60" s="418"/>
      <c r="G60" s="419"/>
      <c r="H60" s="419"/>
      <c r="I60" s="419"/>
      <c r="J60" s="419"/>
      <c r="K60" s="419"/>
      <c r="L60" s="419"/>
      <c r="M60" s="420"/>
      <c r="N60" s="269"/>
      <c r="O60" s="267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71"/>
      <c r="D61" s="272"/>
      <c r="E61" s="272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430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68" t="s">
        <v>2</v>
      </c>
      <c r="D63" s="268" t="s">
        <v>37</v>
      </c>
      <c r="E63" s="268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68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112</v>
      </c>
      <c r="D64" s="263"/>
      <c r="E64" s="266" t="s">
        <v>117</v>
      </c>
      <c r="F64" s="406" t="s">
        <v>431</v>
      </c>
      <c r="G64" s="407"/>
      <c r="H64" s="407"/>
      <c r="I64" s="407"/>
      <c r="J64" s="408"/>
      <c r="K64" s="394">
        <v>7301</v>
      </c>
      <c r="L64" s="394"/>
      <c r="M64" s="51" t="s">
        <v>158</v>
      </c>
      <c r="N64" s="403" t="s">
        <v>141</v>
      </c>
      <c r="O64" s="403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340</v>
      </c>
      <c r="D65" s="263"/>
      <c r="E65" s="266"/>
      <c r="F65" s="406" t="s">
        <v>432</v>
      </c>
      <c r="G65" s="407"/>
      <c r="H65" s="407"/>
      <c r="I65" s="407"/>
      <c r="J65" s="408"/>
      <c r="K65" s="394" t="s">
        <v>435</v>
      </c>
      <c r="L65" s="394"/>
      <c r="M65" s="51" t="s">
        <v>151</v>
      </c>
      <c r="N65" s="403" t="s">
        <v>141</v>
      </c>
      <c r="O65" s="403"/>
      <c r="P65" s="475">
        <v>50</v>
      </c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112</v>
      </c>
      <c r="D66" s="263"/>
      <c r="E66" s="266" t="s">
        <v>128</v>
      </c>
      <c r="F66" s="406" t="s">
        <v>433</v>
      </c>
      <c r="G66" s="407"/>
      <c r="H66" s="407"/>
      <c r="I66" s="407"/>
      <c r="J66" s="408"/>
      <c r="K66" s="394">
        <v>7301</v>
      </c>
      <c r="L66" s="394"/>
      <c r="M66" s="51" t="s">
        <v>158</v>
      </c>
      <c r="N66" s="403" t="s">
        <v>140</v>
      </c>
      <c r="O66" s="403"/>
      <c r="P66" s="475">
        <v>50</v>
      </c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 t="s">
        <v>112</v>
      </c>
      <c r="D67" s="263"/>
      <c r="E67" s="266" t="s">
        <v>167</v>
      </c>
      <c r="F67" s="406" t="s">
        <v>434</v>
      </c>
      <c r="G67" s="407"/>
      <c r="H67" s="407"/>
      <c r="I67" s="407"/>
      <c r="J67" s="408"/>
      <c r="K67" s="394">
        <v>7301</v>
      </c>
      <c r="L67" s="394"/>
      <c r="M67" s="51" t="s">
        <v>158</v>
      </c>
      <c r="N67" s="403" t="s">
        <v>149</v>
      </c>
      <c r="O67" s="403"/>
      <c r="P67" s="404">
        <v>50</v>
      </c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263"/>
      <c r="E68" s="266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63"/>
      <c r="E69" s="266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63"/>
      <c r="E70" s="266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63"/>
      <c r="E71" s="266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63"/>
      <c r="E72" s="266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63"/>
      <c r="E73" s="266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436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65" t="s">
        <v>2</v>
      </c>
      <c r="D75" s="265" t="s">
        <v>37</v>
      </c>
      <c r="E75" s="265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64" t="s">
        <v>112</v>
      </c>
      <c r="D76" s="264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63"/>
      <c r="D77" s="263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63"/>
      <c r="D78" s="263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63"/>
      <c r="D79" s="263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63"/>
      <c r="D80" s="263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63"/>
      <c r="D81" s="263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63"/>
      <c r="D82" s="263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437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4909-F06E-4E41-BF14-5262E2974C9D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438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4741</v>
      </c>
      <c r="K6" s="15">
        <f>L6+4797+2971+5466+4155</f>
        <v>22130</v>
      </c>
      <c r="L6" s="15">
        <f>1841+2900</f>
        <v>4741</v>
      </c>
      <c r="M6" s="15">
        <f t="shared" ref="M6:M21" si="0">L6-N6</f>
        <v>4741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22</v>
      </c>
      <c r="Q6" s="40">
        <f t="shared" ref="Q6:Q21" si="3">SUM(R6:AA6)</f>
        <v>2</v>
      </c>
      <c r="R6" s="7"/>
      <c r="S6" s="6">
        <v>2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0.91666666666666663</v>
      </c>
      <c r="AD6" s="10">
        <f t="shared" ref="AD6:AD21" si="6">AC6*AB6*(1-O6)</f>
        <v>0.91666666666666663</v>
      </c>
      <c r="AE6" s="36">
        <f t="shared" ref="AE6:AE21" si="7">$AD$22</f>
        <v>0.4375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29830</v>
      </c>
      <c r="K7" s="15">
        <f>L7+27610+30250+31645+61455+29830</f>
        <v>180790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169</v>
      </c>
      <c r="F8" s="30" t="s">
        <v>152</v>
      </c>
      <c r="G8" s="33">
        <v>1</v>
      </c>
      <c r="H8" s="35">
        <v>24</v>
      </c>
      <c r="I8" s="7">
        <v>8000</v>
      </c>
      <c r="J8" s="5">
        <v>1745</v>
      </c>
      <c r="K8" s="15">
        <f>L8</f>
        <v>1745</v>
      </c>
      <c r="L8" s="15">
        <v>1745</v>
      </c>
      <c r="M8" s="15">
        <f t="shared" si="0"/>
        <v>1745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>
        <v>12</v>
      </c>
      <c r="T8" s="16">
        <v>2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0.4375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3209</v>
      </c>
      <c r="K9" s="15">
        <f>L9+4035+615+3163+2977+844+2271+4333+4467</f>
        <v>25914</v>
      </c>
      <c r="L9" s="15">
        <f>2679+530</f>
        <v>3209</v>
      </c>
      <c r="M9" s="15">
        <f t="shared" si="0"/>
        <v>3209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0.4375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120000</v>
      </c>
      <c r="J10" s="14">
        <v>6628</v>
      </c>
      <c r="K10" s="15">
        <f>L10+5217+6628+5843+6693+6633+6764+6273+6588+6637+6651+6854+6281+6605+6597+6699</f>
        <v>103591</v>
      </c>
      <c r="L10" s="15">
        <f>3315+3313</f>
        <v>6628</v>
      </c>
      <c r="M10" s="15">
        <f t="shared" si="0"/>
        <v>6628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403</v>
      </c>
      <c r="D11" s="52"/>
      <c r="E11" s="53" t="s">
        <v>402</v>
      </c>
      <c r="F11" s="30" t="s">
        <v>183</v>
      </c>
      <c r="G11" s="33">
        <v>1</v>
      </c>
      <c r="H11" s="35">
        <v>24</v>
      </c>
      <c r="I11" s="7">
        <v>2000</v>
      </c>
      <c r="J11" s="14">
        <v>2707</v>
      </c>
      <c r="K11" s="15">
        <f>L11+150+2707</f>
        <v>2857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50000</v>
      </c>
      <c r="J12" s="5">
        <v>5018</v>
      </c>
      <c r="K12" s="15">
        <f>L12+3980+4963+4857+4991+5052+5074+5369+4402+4760+5003+4109</f>
        <v>57578</v>
      </c>
      <c r="L12" s="15">
        <f>2517+2501</f>
        <v>5018</v>
      </c>
      <c r="M12" s="15">
        <f t="shared" si="0"/>
        <v>5018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0.4375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</f>
        <v>12545</v>
      </c>
      <c r="L15" s="15">
        <f>2721+2493</f>
        <v>5214</v>
      </c>
      <c r="M15" s="15">
        <f t="shared" si="0"/>
        <v>5214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0.4375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414</v>
      </c>
      <c r="F16" s="30" t="s">
        <v>152</v>
      </c>
      <c r="G16" s="12">
        <v>1</v>
      </c>
      <c r="H16" s="13">
        <v>24</v>
      </c>
      <c r="I16" s="7">
        <v>50000</v>
      </c>
      <c r="J16" s="14">
        <v>5476</v>
      </c>
      <c r="K16" s="15">
        <f>L16+2928</f>
        <v>8404</v>
      </c>
      <c r="L16" s="15">
        <f>2879+2597</f>
        <v>5476</v>
      </c>
      <c r="M16" s="15">
        <f t="shared" si="0"/>
        <v>5476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0.4375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213</v>
      </c>
      <c r="F18" s="30" t="s">
        <v>152</v>
      </c>
      <c r="G18" s="33">
        <v>1</v>
      </c>
      <c r="H18" s="35">
        <v>24</v>
      </c>
      <c r="I18" s="7">
        <v>4000</v>
      </c>
      <c r="J18" s="14">
        <v>2914</v>
      </c>
      <c r="K18" s="15">
        <f>L18+3060+2914</f>
        <v>5974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180</v>
      </c>
      <c r="G19" s="33">
        <v>1</v>
      </c>
      <c r="H19" s="35">
        <v>24</v>
      </c>
      <c r="I19" s="7">
        <v>40000</v>
      </c>
      <c r="J19" s="14">
        <v>5242</v>
      </c>
      <c r="K19" s="15">
        <f>L19+4203</f>
        <v>9445</v>
      </c>
      <c r="L19" s="15">
        <f>2837+2405</f>
        <v>5242</v>
      </c>
      <c r="M19" s="15">
        <f t="shared" si="0"/>
        <v>5242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0.4375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380</v>
      </c>
      <c r="F20" s="30" t="s">
        <v>122</v>
      </c>
      <c r="G20" s="12">
        <v>2</v>
      </c>
      <c r="H20" s="13">
        <v>28</v>
      </c>
      <c r="I20" s="31">
        <v>20000</v>
      </c>
      <c r="J20" s="5">
        <v>9750</v>
      </c>
      <c r="K20" s="15">
        <f>L20+7862+9614+9750</f>
        <v>27226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0.4375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0.4375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776700</v>
      </c>
      <c r="J22" s="19">
        <f t="shared" si="9"/>
        <v>97001</v>
      </c>
      <c r="K22" s="20">
        <f t="shared" si="9"/>
        <v>751267</v>
      </c>
      <c r="L22" s="21">
        <f t="shared" si="9"/>
        <v>37273</v>
      </c>
      <c r="M22" s="20">
        <f t="shared" si="9"/>
        <v>37273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168</v>
      </c>
      <c r="Q22" s="43">
        <f t="shared" si="10"/>
        <v>216</v>
      </c>
      <c r="R22" s="23">
        <f t="shared" si="10"/>
        <v>0</v>
      </c>
      <c r="S22" s="24">
        <f t="shared" si="10"/>
        <v>22</v>
      </c>
      <c r="T22" s="24">
        <f t="shared" si="10"/>
        <v>2</v>
      </c>
      <c r="U22" s="24">
        <f t="shared" si="10"/>
        <v>0</v>
      </c>
      <c r="V22" s="25">
        <f t="shared" si="10"/>
        <v>24</v>
      </c>
      <c r="W22" s="26">
        <f t="shared" si="10"/>
        <v>72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96</v>
      </c>
      <c r="AB22" s="28">
        <f>AVERAGE(AB6:AB21)</f>
        <v>0.53333333333333333</v>
      </c>
      <c r="AC22" s="4">
        <f>AVERAGE(AC6:AC21)</f>
        <v>0.4375</v>
      </c>
      <c r="AD22" s="4">
        <f>AVERAGE(AD6:AD21)</f>
        <v>0.4375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441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440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77" t="s">
        <v>46</v>
      </c>
      <c r="D51" s="277" t="s">
        <v>47</v>
      </c>
      <c r="E51" s="277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77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78" t="s">
        <v>243</v>
      </c>
      <c r="D52" s="278" t="s">
        <v>135</v>
      </c>
      <c r="E52" s="280" t="s">
        <v>146</v>
      </c>
      <c r="F52" s="418" t="s">
        <v>153</v>
      </c>
      <c r="G52" s="419"/>
      <c r="H52" s="419"/>
      <c r="I52" s="419"/>
      <c r="J52" s="419"/>
      <c r="K52" s="419"/>
      <c r="L52" s="419"/>
      <c r="M52" s="420"/>
      <c r="N52" s="279" t="s">
        <v>121</v>
      </c>
      <c r="O52" s="285" t="s">
        <v>177</v>
      </c>
      <c r="P52" s="432"/>
      <c r="Q52" s="433"/>
      <c r="R52" s="432" t="s">
        <v>169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118</v>
      </c>
      <c r="B53" s="431"/>
      <c r="C53" s="278" t="s">
        <v>143</v>
      </c>
      <c r="D53" s="278" t="s">
        <v>135</v>
      </c>
      <c r="E53" s="280" t="s">
        <v>290</v>
      </c>
      <c r="F53" s="418" t="s">
        <v>426</v>
      </c>
      <c r="G53" s="419"/>
      <c r="H53" s="419"/>
      <c r="I53" s="419"/>
      <c r="J53" s="419"/>
      <c r="K53" s="419"/>
      <c r="L53" s="419"/>
      <c r="M53" s="420"/>
      <c r="N53" s="279" t="s">
        <v>118</v>
      </c>
      <c r="O53" s="285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112</v>
      </c>
      <c r="B54" s="431"/>
      <c r="C54" s="278" t="s">
        <v>140</v>
      </c>
      <c r="D54" s="278" t="s">
        <v>155</v>
      </c>
      <c r="E54" s="280" t="s">
        <v>263</v>
      </c>
      <c r="F54" s="418" t="s">
        <v>239</v>
      </c>
      <c r="G54" s="419"/>
      <c r="H54" s="419"/>
      <c r="I54" s="419"/>
      <c r="J54" s="419"/>
      <c r="K54" s="419"/>
      <c r="L54" s="419"/>
      <c r="M54" s="420"/>
      <c r="N54" s="279" t="s">
        <v>119</v>
      </c>
      <c r="O54" s="285" t="s">
        <v>243</v>
      </c>
      <c r="P54" s="432" t="s">
        <v>135</v>
      </c>
      <c r="Q54" s="433"/>
      <c r="R54" s="432" t="s">
        <v>146</v>
      </c>
      <c r="S54" s="434"/>
      <c r="T54" s="434"/>
      <c r="U54" s="433"/>
      <c r="V54" s="405" t="s">
        <v>129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121</v>
      </c>
      <c r="B55" s="431"/>
      <c r="C55" s="278" t="s">
        <v>177</v>
      </c>
      <c r="D55" s="278"/>
      <c r="E55" s="280" t="s">
        <v>169</v>
      </c>
      <c r="F55" s="418" t="s">
        <v>439</v>
      </c>
      <c r="G55" s="419"/>
      <c r="H55" s="419"/>
      <c r="I55" s="419"/>
      <c r="J55" s="419"/>
      <c r="K55" s="419"/>
      <c r="L55" s="419"/>
      <c r="M55" s="420"/>
      <c r="N55" s="279"/>
      <c r="O55" s="285"/>
      <c r="P55" s="432"/>
      <c r="Q55" s="433"/>
      <c r="R55" s="432"/>
      <c r="S55" s="434"/>
      <c r="T55" s="434"/>
      <c r="U55" s="433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/>
      <c r="B56" s="431"/>
      <c r="C56" s="278"/>
      <c r="D56" s="278"/>
      <c r="E56" s="280"/>
      <c r="F56" s="418"/>
      <c r="G56" s="419"/>
      <c r="H56" s="419"/>
      <c r="I56" s="419"/>
      <c r="J56" s="419"/>
      <c r="K56" s="419"/>
      <c r="L56" s="419"/>
      <c r="M56" s="420"/>
      <c r="N56" s="279"/>
      <c r="O56" s="285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80"/>
      <c r="D57" s="280"/>
      <c r="E57" s="280"/>
      <c r="F57" s="418"/>
      <c r="G57" s="419"/>
      <c r="H57" s="419"/>
      <c r="I57" s="419"/>
      <c r="J57" s="419"/>
      <c r="K57" s="419"/>
      <c r="L57" s="419"/>
      <c r="M57" s="420"/>
      <c r="N57" s="279"/>
      <c r="O57" s="285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78"/>
      <c r="D58" s="278"/>
      <c r="E58" s="280"/>
      <c r="F58" s="418"/>
      <c r="G58" s="419"/>
      <c r="H58" s="419"/>
      <c r="I58" s="419"/>
      <c r="J58" s="419"/>
      <c r="K58" s="419"/>
      <c r="L58" s="419"/>
      <c r="M58" s="420"/>
      <c r="N58" s="279"/>
      <c r="O58" s="285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78"/>
      <c r="D59" s="278"/>
      <c r="E59" s="280"/>
      <c r="F59" s="418"/>
      <c r="G59" s="419"/>
      <c r="H59" s="419"/>
      <c r="I59" s="419"/>
      <c r="J59" s="419"/>
      <c r="K59" s="419"/>
      <c r="L59" s="419"/>
      <c r="M59" s="420"/>
      <c r="N59" s="279"/>
      <c r="O59" s="285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80"/>
      <c r="D60" s="280"/>
      <c r="E60" s="280"/>
      <c r="F60" s="418"/>
      <c r="G60" s="419"/>
      <c r="H60" s="419"/>
      <c r="I60" s="419"/>
      <c r="J60" s="419"/>
      <c r="K60" s="419"/>
      <c r="L60" s="419"/>
      <c r="M60" s="420"/>
      <c r="N60" s="279"/>
      <c r="O60" s="285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81"/>
      <c r="D61" s="282"/>
      <c r="E61" s="282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442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83" t="s">
        <v>2</v>
      </c>
      <c r="D63" s="283" t="s">
        <v>37</v>
      </c>
      <c r="E63" s="283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83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121</v>
      </c>
      <c r="D64" s="287"/>
      <c r="E64" s="284"/>
      <c r="F64" s="406" t="s">
        <v>429</v>
      </c>
      <c r="G64" s="407"/>
      <c r="H64" s="407"/>
      <c r="I64" s="407"/>
      <c r="J64" s="408"/>
      <c r="K64" s="394" t="s">
        <v>137</v>
      </c>
      <c r="L64" s="394"/>
      <c r="M64" s="51" t="s">
        <v>443</v>
      </c>
      <c r="N64" s="403" t="s">
        <v>171</v>
      </c>
      <c r="O64" s="403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112</v>
      </c>
      <c r="D65" s="287"/>
      <c r="E65" s="284" t="s">
        <v>115</v>
      </c>
      <c r="F65" s="406" t="s">
        <v>444</v>
      </c>
      <c r="G65" s="407"/>
      <c r="H65" s="407"/>
      <c r="I65" s="407"/>
      <c r="J65" s="408"/>
      <c r="K65" s="394">
        <v>8301</v>
      </c>
      <c r="L65" s="394"/>
      <c r="M65" s="51" t="s">
        <v>156</v>
      </c>
      <c r="N65" s="403" t="s">
        <v>157</v>
      </c>
      <c r="O65" s="403"/>
      <c r="P65" s="475"/>
      <c r="Q65" s="475"/>
      <c r="R65" s="405" t="s">
        <v>445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118</v>
      </c>
      <c r="D66" s="287"/>
      <c r="E66" s="284" t="s">
        <v>391</v>
      </c>
      <c r="F66" s="406" t="s">
        <v>390</v>
      </c>
      <c r="G66" s="407"/>
      <c r="H66" s="407"/>
      <c r="I66" s="407"/>
      <c r="J66" s="408"/>
      <c r="K66" s="394" t="s">
        <v>136</v>
      </c>
      <c r="L66" s="394"/>
      <c r="M66" s="51" t="s">
        <v>151</v>
      </c>
      <c r="N66" s="403" t="s">
        <v>172</v>
      </c>
      <c r="O66" s="403"/>
      <c r="P66" s="475">
        <v>50</v>
      </c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 t="s">
        <v>119</v>
      </c>
      <c r="D67" s="287"/>
      <c r="E67" s="284" t="s">
        <v>446</v>
      </c>
      <c r="F67" s="406" t="s">
        <v>421</v>
      </c>
      <c r="G67" s="407"/>
      <c r="H67" s="407"/>
      <c r="I67" s="407"/>
      <c r="J67" s="408"/>
      <c r="K67" s="394" t="s">
        <v>136</v>
      </c>
      <c r="L67" s="394"/>
      <c r="M67" s="51" t="s">
        <v>151</v>
      </c>
      <c r="N67" s="403" t="s">
        <v>172</v>
      </c>
      <c r="O67" s="403"/>
      <c r="P67" s="475">
        <v>50</v>
      </c>
      <c r="Q67" s="475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 t="s">
        <v>119</v>
      </c>
      <c r="D68" s="287"/>
      <c r="E68" s="284" t="s">
        <v>115</v>
      </c>
      <c r="F68" s="406" t="s">
        <v>447</v>
      </c>
      <c r="G68" s="407"/>
      <c r="H68" s="407"/>
      <c r="I68" s="407"/>
      <c r="J68" s="408"/>
      <c r="K68" s="394" t="s">
        <v>152</v>
      </c>
      <c r="L68" s="394"/>
      <c r="M68" s="51" t="s">
        <v>339</v>
      </c>
      <c r="N68" s="403" t="s">
        <v>134</v>
      </c>
      <c r="O68" s="403"/>
      <c r="P68" s="404"/>
      <c r="Q68" s="404"/>
      <c r="R68" s="405" t="s">
        <v>448</v>
      </c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87"/>
      <c r="E69" s="284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87"/>
      <c r="E70" s="284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87"/>
      <c r="E71" s="284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87"/>
      <c r="E72" s="284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87"/>
      <c r="E73" s="284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449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86" t="s">
        <v>2</v>
      </c>
      <c r="D75" s="286" t="s">
        <v>37</v>
      </c>
      <c r="E75" s="286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88" t="s">
        <v>112</v>
      </c>
      <c r="D76" s="288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87"/>
      <c r="D77" s="287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87"/>
      <c r="D78" s="287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87"/>
      <c r="D79" s="287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87"/>
      <c r="D80" s="287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87"/>
      <c r="D81" s="287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87"/>
      <c r="D82" s="287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450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FE29-FB78-4B71-AB5D-84D59BF5C570}">
  <dimension ref="A1:AF87"/>
  <sheetViews>
    <sheetView view="pageBreakPreview" zoomScale="70" zoomScaleNormal="72" zoomScaleSheetLayoutView="70" workbookViewId="0">
      <selection activeCell="R65" sqref="R65:AA6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451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4741</v>
      </c>
      <c r="K6" s="15">
        <f>L6+4797+2971+5466+4155+4741</f>
        <v>22130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0.29947916666666663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29830</v>
      </c>
      <c r="K7" s="15">
        <f>L7+27610+30250+31645+61455+29830</f>
        <v>180790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0.29947916666666663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169</v>
      </c>
      <c r="F8" s="30" t="s">
        <v>152</v>
      </c>
      <c r="G8" s="33">
        <v>1</v>
      </c>
      <c r="H8" s="35">
        <v>24</v>
      </c>
      <c r="I8" s="7">
        <v>8000</v>
      </c>
      <c r="J8" s="5">
        <v>5257</v>
      </c>
      <c r="K8" s="15">
        <f>L8+1745</f>
        <v>7002</v>
      </c>
      <c r="L8" s="15">
        <f>2437+2820</f>
        <v>5257</v>
      </c>
      <c r="M8" s="15">
        <f t="shared" si="0"/>
        <v>5257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0.29947916666666663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135</v>
      </c>
      <c r="E9" s="53" t="s">
        <v>290</v>
      </c>
      <c r="F9" s="30" t="s">
        <v>299</v>
      </c>
      <c r="G9" s="33">
        <v>1</v>
      </c>
      <c r="H9" s="35">
        <v>24</v>
      </c>
      <c r="I9" s="7">
        <v>40000</v>
      </c>
      <c r="J9" s="5">
        <v>3209</v>
      </c>
      <c r="K9" s="15">
        <f>L9+4035+615+3163+2977+844+2271+4333+4467+3209</f>
        <v>25914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0.29947916666666663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120000</v>
      </c>
      <c r="J10" s="14">
        <v>6905</v>
      </c>
      <c r="K10" s="15">
        <f>L10+5217+6628+5843+6693+6633+6764+6273+6588+6637+6651+6854+6281+6605+6597+6699+6628</f>
        <v>110496</v>
      </c>
      <c r="L10" s="15">
        <f>3105+3800</f>
        <v>6905</v>
      </c>
      <c r="M10" s="15">
        <f t="shared" si="0"/>
        <v>6905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0.29947916666666663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403</v>
      </c>
      <c r="D11" s="52"/>
      <c r="E11" s="53" t="s">
        <v>402</v>
      </c>
      <c r="F11" s="30" t="s">
        <v>183</v>
      </c>
      <c r="G11" s="33">
        <v>1</v>
      </c>
      <c r="H11" s="35">
        <v>24</v>
      </c>
      <c r="I11" s="7">
        <v>2000</v>
      </c>
      <c r="J11" s="14">
        <v>2707</v>
      </c>
      <c r="K11" s="15">
        <f>L11+150+2707</f>
        <v>2857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0.29947916666666663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90000</v>
      </c>
      <c r="J12" s="5">
        <v>5406</v>
      </c>
      <c r="K12" s="15">
        <f>L12+3980+4963+4857+4991+5052+5074+5369+4402+4760+5003+4109+5018</f>
        <v>62984</v>
      </c>
      <c r="L12" s="15">
        <f>2362+3044</f>
        <v>5406</v>
      </c>
      <c r="M12" s="15">
        <f t="shared" si="0"/>
        <v>5406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0.29947916666666663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0.29947916666666663</v>
      </c>
      <c r="AF13" s="84">
        <f t="shared" si="8"/>
        <v>8</v>
      </c>
    </row>
    <row r="14" spans="1:32" ht="27" customHeight="1">
      <c r="A14" s="105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0.29947916666666663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0.29947916666666663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414</v>
      </c>
      <c r="F16" s="30" t="s">
        <v>152</v>
      </c>
      <c r="G16" s="12">
        <v>1</v>
      </c>
      <c r="H16" s="13">
        <v>24</v>
      </c>
      <c r="I16" s="7">
        <v>52000</v>
      </c>
      <c r="J16" s="14">
        <v>5823</v>
      </c>
      <c r="K16" s="15">
        <f>L16+2928+5476</f>
        <v>14227</v>
      </c>
      <c r="L16" s="15">
        <f>2494+3329</f>
        <v>5823</v>
      </c>
      <c r="M16" s="15">
        <f t="shared" si="0"/>
        <v>5823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0.29947916666666663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0.29947916666666663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213</v>
      </c>
      <c r="F18" s="30" t="s">
        <v>152</v>
      </c>
      <c r="G18" s="33">
        <v>1</v>
      </c>
      <c r="H18" s="35">
        <v>24</v>
      </c>
      <c r="I18" s="7">
        <v>4000</v>
      </c>
      <c r="J18" s="14">
        <v>2914</v>
      </c>
      <c r="K18" s="15">
        <f>L18+3060+2914</f>
        <v>5974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0.29947916666666663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180</v>
      </c>
      <c r="G19" s="33">
        <v>1</v>
      </c>
      <c r="H19" s="35">
        <v>24</v>
      </c>
      <c r="I19" s="7">
        <v>40000</v>
      </c>
      <c r="J19" s="14">
        <v>5070</v>
      </c>
      <c r="K19" s="15">
        <f>L19+4203+5242</f>
        <v>14515</v>
      </c>
      <c r="L19" s="15">
        <f>1702+3368</f>
        <v>5070</v>
      </c>
      <c r="M19" s="15">
        <f t="shared" si="0"/>
        <v>5070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0.29947916666666663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380</v>
      </c>
      <c r="F20" s="30" t="s">
        <v>122</v>
      </c>
      <c r="G20" s="12">
        <v>2</v>
      </c>
      <c r="H20" s="13">
        <v>28</v>
      </c>
      <c r="I20" s="31">
        <v>20000</v>
      </c>
      <c r="J20" s="5">
        <v>9750</v>
      </c>
      <c r="K20" s="15">
        <f>L20+7862+9614+9750</f>
        <v>27226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>AC20*AB20*(1-O20)</f>
        <v>0</v>
      </c>
      <c r="AE20" s="36">
        <f t="shared" si="7"/>
        <v>0.29947916666666663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0.29947916666666663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818700</v>
      </c>
      <c r="J22" s="19">
        <f t="shared" si="9"/>
        <v>101353</v>
      </c>
      <c r="K22" s="20">
        <f t="shared" si="9"/>
        <v>779728</v>
      </c>
      <c r="L22" s="21">
        <f t="shared" si="9"/>
        <v>28461</v>
      </c>
      <c r="M22" s="20">
        <f t="shared" si="9"/>
        <v>28461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115</v>
      </c>
      <c r="Q22" s="43">
        <f t="shared" si="10"/>
        <v>269</v>
      </c>
      <c r="R22" s="23">
        <f t="shared" si="10"/>
        <v>0</v>
      </c>
      <c r="S22" s="24">
        <f t="shared" si="10"/>
        <v>53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96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96</v>
      </c>
      <c r="AB22" s="28">
        <f>AVERAGE(AB6:AB21)</f>
        <v>0.33333333333333331</v>
      </c>
      <c r="AC22" s="4">
        <f>AVERAGE(AC6:AC21)</f>
        <v>0.29947916666666663</v>
      </c>
      <c r="AD22" s="4">
        <f>AVERAGE(AD6:AD21)</f>
        <v>0.29947916666666663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452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454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77" t="s">
        <v>46</v>
      </c>
      <c r="D51" s="277" t="s">
        <v>47</v>
      </c>
      <c r="E51" s="277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77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118</v>
      </c>
      <c r="B52" s="431"/>
      <c r="C52" s="278" t="s">
        <v>143</v>
      </c>
      <c r="D52" s="278" t="s">
        <v>135</v>
      </c>
      <c r="E52" s="280" t="s">
        <v>290</v>
      </c>
      <c r="F52" s="418" t="s">
        <v>153</v>
      </c>
      <c r="G52" s="419"/>
      <c r="H52" s="419"/>
      <c r="I52" s="419"/>
      <c r="J52" s="419"/>
      <c r="K52" s="419"/>
      <c r="L52" s="419"/>
      <c r="M52" s="420"/>
      <c r="N52" s="279" t="s">
        <v>121</v>
      </c>
      <c r="O52" s="285" t="s">
        <v>177</v>
      </c>
      <c r="P52" s="432"/>
      <c r="Q52" s="433"/>
      <c r="R52" s="432" t="s">
        <v>169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112</v>
      </c>
      <c r="B53" s="431"/>
      <c r="C53" s="278" t="s">
        <v>140</v>
      </c>
      <c r="D53" s="278" t="s">
        <v>155</v>
      </c>
      <c r="E53" s="280" t="s">
        <v>263</v>
      </c>
      <c r="F53" s="418" t="s">
        <v>281</v>
      </c>
      <c r="G53" s="419"/>
      <c r="H53" s="419"/>
      <c r="I53" s="419"/>
      <c r="J53" s="419"/>
      <c r="K53" s="419"/>
      <c r="L53" s="419"/>
      <c r="M53" s="420"/>
      <c r="N53" s="279" t="s">
        <v>118</v>
      </c>
      <c r="O53" s="285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121</v>
      </c>
      <c r="B54" s="431"/>
      <c r="C54" s="278" t="s">
        <v>177</v>
      </c>
      <c r="D54" s="278"/>
      <c r="E54" s="280" t="s">
        <v>169</v>
      </c>
      <c r="F54" s="418" t="s">
        <v>287</v>
      </c>
      <c r="G54" s="419"/>
      <c r="H54" s="419"/>
      <c r="I54" s="419"/>
      <c r="J54" s="419"/>
      <c r="K54" s="419"/>
      <c r="L54" s="419"/>
      <c r="M54" s="420"/>
      <c r="N54" s="279" t="s">
        <v>119</v>
      </c>
      <c r="O54" s="285" t="s">
        <v>243</v>
      </c>
      <c r="P54" s="432" t="s">
        <v>135</v>
      </c>
      <c r="Q54" s="433"/>
      <c r="R54" s="432" t="s">
        <v>146</v>
      </c>
      <c r="S54" s="434"/>
      <c r="T54" s="434"/>
      <c r="U54" s="433"/>
      <c r="V54" s="405" t="s">
        <v>129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/>
      <c r="B55" s="431"/>
      <c r="C55" s="278"/>
      <c r="D55" s="278"/>
      <c r="E55" s="280"/>
      <c r="F55" s="418"/>
      <c r="G55" s="419"/>
      <c r="H55" s="419"/>
      <c r="I55" s="419"/>
      <c r="J55" s="419"/>
      <c r="K55" s="419"/>
      <c r="L55" s="419"/>
      <c r="M55" s="420"/>
      <c r="N55" s="279" t="s">
        <v>121</v>
      </c>
      <c r="O55" s="285" t="s">
        <v>171</v>
      </c>
      <c r="P55" s="432"/>
      <c r="Q55" s="433"/>
      <c r="R55" s="432" t="s">
        <v>429</v>
      </c>
      <c r="S55" s="434"/>
      <c r="T55" s="434"/>
      <c r="U55" s="433"/>
      <c r="V55" s="405" t="s">
        <v>453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/>
      <c r="B56" s="431"/>
      <c r="C56" s="278"/>
      <c r="D56" s="278"/>
      <c r="E56" s="280"/>
      <c r="F56" s="418"/>
      <c r="G56" s="419"/>
      <c r="H56" s="419"/>
      <c r="I56" s="419"/>
      <c r="J56" s="419"/>
      <c r="K56" s="419"/>
      <c r="L56" s="419"/>
      <c r="M56" s="420"/>
      <c r="N56" s="279"/>
      <c r="O56" s="285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80"/>
      <c r="D57" s="280"/>
      <c r="E57" s="280"/>
      <c r="F57" s="418"/>
      <c r="G57" s="419"/>
      <c r="H57" s="419"/>
      <c r="I57" s="419"/>
      <c r="J57" s="419"/>
      <c r="K57" s="419"/>
      <c r="L57" s="419"/>
      <c r="M57" s="420"/>
      <c r="N57" s="279"/>
      <c r="O57" s="285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78"/>
      <c r="D58" s="278"/>
      <c r="E58" s="280"/>
      <c r="F58" s="418"/>
      <c r="G58" s="419"/>
      <c r="H58" s="419"/>
      <c r="I58" s="419"/>
      <c r="J58" s="419"/>
      <c r="K58" s="419"/>
      <c r="L58" s="419"/>
      <c r="M58" s="420"/>
      <c r="N58" s="279"/>
      <c r="O58" s="285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78"/>
      <c r="D59" s="278"/>
      <c r="E59" s="280"/>
      <c r="F59" s="418"/>
      <c r="G59" s="419"/>
      <c r="H59" s="419"/>
      <c r="I59" s="419"/>
      <c r="J59" s="419"/>
      <c r="K59" s="419"/>
      <c r="L59" s="419"/>
      <c r="M59" s="420"/>
      <c r="N59" s="279"/>
      <c r="O59" s="285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80"/>
      <c r="D60" s="280"/>
      <c r="E60" s="280"/>
      <c r="F60" s="418"/>
      <c r="G60" s="419"/>
      <c r="H60" s="419"/>
      <c r="I60" s="419"/>
      <c r="J60" s="419"/>
      <c r="K60" s="419"/>
      <c r="L60" s="419"/>
      <c r="M60" s="420"/>
      <c r="N60" s="279"/>
      <c r="O60" s="285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81"/>
      <c r="D61" s="282"/>
      <c r="E61" s="282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455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83" t="s">
        <v>2</v>
      </c>
      <c r="D63" s="283" t="s">
        <v>37</v>
      </c>
      <c r="E63" s="283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83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287"/>
      <c r="E64" s="284" t="s">
        <v>251</v>
      </c>
      <c r="F64" s="406" t="s">
        <v>456</v>
      </c>
      <c r="G64" s="407"/>
      <c r="H64" s="407"/>
      <c r="I64" s="407"/>
      <c r="J64" s="408"/>
      <c r="K64" s="394" t="s">
        <v>152</v>
      </c>
      <c r="L64" s="394"/>
      <c r="M64" s="51" t="s">
        <v>339</v>
      </c>
      <c r="N64" s="403" t="s">
        <v>149</v>
      </c>
      <c r="O64" s="403"/>
      <c r="P64" s="404"/>
      <c r="Q64" s="404"/>
      <c r="R64" s="405" t="s">
        <v>459</v>
      </c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/>
      <c r="D65" s="287"/>
      <c r="E65" s="284"/>
      <c r="F65" s="406"/>
      <c r="G65" s="407"/>
      <c r="H65" s="407"/>
      <c r="I65" s="407"/>
      <c r="J65" s="408"/>
      <c r="K65" s="394"/>
      <c r="L65" s="394"/>
      <c r="M65" s="51"/>
      <c r="N65" s="403"/>
      <c r="O65" s="403"/>
      <c r="P65" s="475"/>
      <c r="Q65" s="47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287"/>
      <c r="E66" s="284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75"/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287"/>
      <c r="E67" s="284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75"/>
      <c r="Q67" s="475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287"/>
      <c r="E68" s="284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287"/>
      <c r="E69" s="284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287"/>
      <c r="E70" s="284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287"/>
      <c r="E71" s="284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287"/>
      <c r="E72" s="284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287"/>
      <c r="E73" s="284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457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86" t="s">
        <v>2</v>
      </c>
      <c r="D75" s="286" t="s">
        <v>37</v>
      </c>
      <c r="E75" s="286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288" t="s">
        <v>112</v>
      </c>
      <c r="D76" s="288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287"/>
      <c r="D77" s="287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287"/>
      <c r="D78" s="287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287"/>
      <c r="D79" s="287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287"/>
      <c r="D80" s="287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287"/>
      <c r="D81" s="287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287"/>
      <c r="D82" s="287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458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6B95-B091-4E3F-BDB6-A7134C3489BE}">
  <dimension ref="A1:AF87"/>
  <sheetViews>
    <sheetView view="pageBreakPreview" topLeftCell="A61" zoomScale="70" zoomScaleNormal="72" zoomScaleSheetLayoutView="70" workbookViewId="0">
      <selection activeCell="K72" sqref="K72:L7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460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289" t="s">
        <v>17</v>
      </c>
      <c r="L5" s="289" t="s">
        <v>18</v>
      </c>
      <c r="M5" s="289" t="s">
        <v>19</v>
      </c>
      <c r="N5" s="2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4741</v>
      </c>
      <c r="K6" s="15">
        <f>L6+4797+2971+5466+4155+4741</f>
        <v>22130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0.30989583333333331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29830</v>
      </c>
      <c r="K7" s="15">
        <f>L7+27610+30250+31645+61455+29830</f>
        <v>180790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0.30989583333333331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169</v>
      </c>
      <c r="F8" s="30" t="s">
        <v>152</v>
      </c>
      <c r="G8" s="33">
        <v>1</v>
      </c>
      <c r="H8" s="35">
        <v>24</v>
      </c>
      <c r="I8" s="7">
        <v>8000</v>
      </c>
      <c r="J8" s="5">
        <v>5257</v>
      </c>
      <c r="K8" s="15">
        <f>L8+1745+5257</f>
        <v>7002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0.30989583333333331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185</v>
      </c>
      <c r="E9" s="53" t="s">
        <v>461</v>
      </c>
      <c r="F9" s="30" t="s">
        <v>299</v>
      </c>
      <c r="G9" s="33">
        <v>1</v>
      </c>
      <c r="H9" s="35">
        <v>24</v>
      </c>
      <c r="I9" s="7">
        <v>2000</v>
      </c>
      <c r="J9" s="5">
        <v>3162</v>
      </c>
      <c r="K9" s="15">
        <f>L9</f>
        <v>3162</v>
      </c>
      <c r="L9" s="15">
        <f>337+2825</f>
        <v>3162</v>
      </c>
      <c r="M9" s="15">
        <f t="shared" si="0"/>
        <v>3162</v>
      </c>
      <c r="N9" s="15">
        <v>0</v>
      </c>
      <c r="O9" s="58">
        <f t="shared" si="1"/>
        <v>0</v>
      </c>
      <c r="P9" s="39">
        <f t="shared" si="2"/>
        <v>16</v>
      </c>
      <c r="Q9" s="40">
        <f t="shared" si="3"/>
        <v>8</v>
      </c>
      <c r="R9" s="7"/>
      <c r="S9" s="6"/>
      <c r="T9" s="16">
        <v>8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0.66666666666666663</v>
      </c>
      <c r="AD9" s="10">
        <f t="shared" si="6"/>
        <v>0.66666666666666663</v>
      </c>
      <c r="AE9" s="36">
        <f t="shared" si="7"/>
        <v>0.30989583333333331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120000</v>
      </c>
      <c r="J10" s="14">
        <v>6905</v>
      </c>
      <c r="K10" s="15">
        <f>L10+5217+6628+5843+6693+6633+6764+6273+6588+6637+6651+6854+6281+6605+6597+6699+6628+6905</f>
        <v>117401</v>
      </c>
      <c r="L10" s="15">
        <f>3371+3034+500</f>
        <v>6905</v>
      </c>
      <c r="M10" s="15">
        <f t="shared" si="0"/>
        <v>6905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0.30989583333333331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403</v>
      </c>
      <c r="D11" s="52"/>
      <c r="E11" s="53" t="s">
        <v>402</v>
      </c>
      <c r="F11" s="30" t="s">
        <v>183</v>
      </c>
      <c r="G11" s="33">
        <v>1</v>
      </c>
      <c r="H11" s="35">
        <v>24</v>
      </c>
      <c r="I11" s="7">
        <v>2000</v>
      </c>
      <c r="J11" s="14">
        <v>2707</v>
      </c>
      <c r="K11" s="15">
        <f>L11+150+2707</f>
        <v>2857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0.30989583333333331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90000</v>
      </c>
      <c r="J12" s="5">
        <v>4902</v>
      </c>
      <c r="K12" s="15">
        <f>L12+3980+4963+4857+4991+5052+5074+5369+4402+4760+5003+4109+5018+5406</f>
        <v>67886</v>
      </c>
      <c r="L12" s="15">
        <f>2551+2351</f>
        <v>4902</v>
      </c>
      <c r="M12" s="15">
        <f t="shared" si="0"/>
        <v>4902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0.30989583333333331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0.30989583333333331</v>
      </c>
      <c r="AF13" s="84">
        <f t="shared" si="8"/>
        <v>8</v>
      </c>
    </row>
    <row r="14" spans="1:32" ht="27" customHeight="1">
      <c r="A14" s="105">
        <v>9</v>
      </c>
      <c r="B14" s="11" t="s">
        <v>465</v>
      </c>
      <c r="C14" s="34" t="s">
        <v>112</v>
      </c>
      <c r="D14" s="52" t="s">
        <v>115</v>
      </c>
      <c r="E14" s="53" t="s">
        <v>444</v>
      </c>
      <c r="F14" s="30" t="s">
        <v>183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0.30989583333333331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0.30989583333333331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414</v>
      </c>
      <c r="F16" s="30" t="s">
        <v>152</v>
      </c>
      <c r="G16" s="12">
        <v>1</v>
      </c>
      <c r="H16" s="13">
        <v>24</v>
      </c>
      <c r="I16" s="7">
        <v>52000</v>
      </c>
      <c r="J16" s="14">
        <v>3267</v>
      </c>
      <c r="K16" s="15">
        <f>L16+2928+5476+5823</f>
        <v>17494</v>
      </c>
      <c r="L16" s="15">
        <f>711+2556</f>
        <v>3267</v>
      </c>
      <c r="M16" s="15">
        <f t="shared" si="0"/>
        <v>3267</v>
      </c>
      <c r="N16" s="15">
        <v>0</v>
      </c>
      <c r="O16" s="58">
        <f t="shared" si="1"/>
        <v>0</v>
      </c>
      <c r="P16" s="39">
        <f t="shared" si="2"/>
        <v>17</v>
      </c>
      <c r="Q16" s="40">
        <f t="shared" si="3"/>
        <v>7</v>
      </c>
      <c r="R16" s="7"/>
      <c r="S16" s="6">
        <v>7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0.70833333333333337</v>
      </c>
      <c r="AD16" s="10">
        <f t="shared" si="6"/>
        <v>0.70833333333333337</v>
      </c>
      <c r="AE16" s="36">
        <f t="shared" si="7"/>
        <v>0.30989583333333331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126</v>
      </c>
      <c r="E17" s="53" t="s">
        <v>303</v>
      </c>
      <c r="F17" s="30" t="s">
        <v>136</v>
      </c>
      <c r="G17" s="12">
        <v>1</v>
      </c>
      <c r="H17" s="13">
        <v>24</v>
      </c>
      <c r="I17" s="7">
        <v>15000</v>
      </c>
      <c r="J17" s="14">
        <v>5415</v>
      </c>
      <c r="K17" s="15">
        <f>L17+3852+6416+5889+5415</f>
        <v>21572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0.30989583333333331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213</v>
      </c>
      <c r="F18" s="30" t="s">
        <v>152</v>
      </c>
      <c r="G18" s="33">
        <v>1</v>
      </c>
      <c r="H18" s="35">
        <v>24</v>
      </c>
      <c r="I18" s="7">
        <v>4000</v>
      </c>
      <c r="J18" s="14">
        <v>2914</v>
      </c>
      <c r="K18" s="15">
        <f>L18+3060+2914</f>
        <v>5974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0.30989583333333331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180</v>
      </c>
      <c r="G19" s="33">
        <v>1</v>
      </c>
      <c r="H19" s="35">
        <v>24</v>
      </c>
      <c r="I19" s="7">
        <v>40000</v>
      </c>
      <c r="J19" s="14">
        <v>5530</v>
      </c>
      <c r="K19" s="15">
        <f>L19+4203+5242+5070</f>
        <v>20045</v>
      </c>
      <c r="L19" s="15">
        <f>2877+2653</f>
        <v>5530</v>
      </c>
      <c r="M19" s="15">
        <f t="shared" si="0"/>
        <v>5530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0.30989583333333331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34" t="s">
        <v>119</v>
      </c>
      <c r="D20" s="52" t="s">
        <v>115</v>
      </c>
      <c r="E20" s="53" t="s">
        <v>326</v>
      </c>
      <c r="F20" s="30" t="s">
        <v>122</v>
      </c>
      <c r="G20" s="12">
        <v>4</v>
      </c>
      <c r="H20" s="13">
        <v>28</v>
      </c>
      <c r="I20" s="31">
        <v>8000</v>
      </c>
      <c r="J20" s="5">
        <v>8544</v>
      </c>
      <c r="K20" s="15">
        <f>L20</f>
        <v>8544</v>
      </c>
      <c r="L20" s="15">
        <f>2136*4</f>
        <v>8544</v>
      </c>
      <c r="M20" s="15">
        <f t="shared" si="0"/>
        <v>8544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/>
      <c r="T20" s="16">
        <v>10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>AC20*AB20*(1-O20)</f>
        <v>0.58333333333333337</v>
      </c>
      <c r="AE20" s="36">
        <f t="shared" si="7"/>
        <v>0.30989583333333331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0.30989583333333331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768750</v>
      </c>
      <c r="J22" s="19">
        <f t="shared" si="9"/>
        <v>97500</v>
      </c>
      <c r="K22" s="20">
        <f t="shared" si="9"/>
        <v>758898</v>
      </c>
      <c r="L22" s="21">
        <f t="shared" si="9"/>
        <v>32310</v>
      </c>
      <c r="M22" s="20">
        <f t="shared" si="9"/>
        <v>32310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119</v>
      </c>
      <c r="Q22" s="43">
        <f t="shared" si="10"/>
        <v>265</v>
      </c>
      <c r="R22" s="23">
        <f t="shared" si="10"/>
        <v>0</v>
      </c>
      <c r="S22" s="24">
        <f t="shared" si="10"/>
        <v>55</v>
      </c>
      <c r="T22" s="24">
        <f t="shared" si="10"/>
        <v>18</v>
      </c>
      <c r="U22" s="24">
        <f t="shared" si="10"/>
        <v>0</v>
      </c>
      <c r="V22" s="25">
        <f t="shared" si="10"/>
        <v>24</v>
      </c>
      <c r="W22" s="26">
        <f t="shared" si="10"/>
        <v>96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0.4</v>
      </c>
      <c r="AC22" s="4">
        <f>AVERAGE(AC6:AC21)</f>
        <v>0.30989583333333331</v>
      </c>
      <c r="AD22" s="4">
        <f>AVERAGE(AD6:AD21)</f>
        <v>0.30989583333333331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188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189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90" t="s">
        <v>46</v>
      </c>
      <c r="D51" s="290" t="s">
        <v>47</v>
      </c>
      <c r="E51" s="290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290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291" t="s">
        <v>243</v>
      </c>
      <c r="D52" s="291" t="s">
        <v>135</v>
      </c>
      <c r="E52" s="293" t="s">
        <v>146</v>
      </c>
      <c r="F52" s="418" t="s">
        <v>153</v>
      </c>
      <c r="G52" s="419"/>
      <c r="H52" s="419"/>
      <c r="I52" s="419"/>
      <c r="J52" s="419"/>
      <c r="K52" s="419"/>
      <c r="L52" s="419"/>
      <c r="M52" s="420"/>
      <c r="N52" s="292" t="s">
        <v>121</v>
      </c>
      <c r="O52" s="298" t="s">
        <v>177</v>
      </c>
      <c r="P52" s="432"/>
      <c r="Q52" s="433"/>
      <c r="R52" s="432" t="s">
        <v>169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119</v>
      </c>
      <c r="B53" s="431"/>
      <c r="C53" s="291" t="s">
        <v>143</v>
      </c>
      <c r="D53" s="291" t="s">
        <v>185</v>
      </c>
      <c r="E53" s="293" t="s">
        <v>461</v>
      </c>
      <c r="F53" s="418" t="s">
        <v>133</v>
      </c>
      <c r="G53" s="419"/>
      <c r="H53" s="419"/>
      <c r="I53" s="419"/>
      <c r="J53" s="419"/>
      <c r="K53" s="419"/>
      <c r="L53" s="419"/>
      <c r="M53" s="420"/>
      <c r="N53" s="292" t="s">
        <v>118</v>
      </c>
      <c r="O53" s="298" t="s">
        <v>143</v>
      </c>
      <c r="P53" s="432" t="s">
        <v>135</v>
      </c>
      <c r="Q53" s="433"/>
      <c r="R53" s="432" t="s">
        <v>290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112</v>
      </c>
      <c r="B54" s="431"/>
      <c r="C54" s="291" t="s">
        <v>247</v>
      </c>
      <c r="D54" s="291" t="s">
        <v>115</v>
      </c>
      <c r="E54" s="293" t="s">
        <v>400</v>
      </c>
      <c r="F54" s="418" t="s">
        <v>462</v>
      </c>
      <c r="G54" s="419"/>
      <c r="H54" s="419"/>
      <c r="I54" s="419"/>
      <c r="J54" s="419"/>
      <c r="K54" s="419"/>
      <c r="L54" s="419"/>
      <c r="M54" s="420"/>
      <c r="N54" s="292" t="s">
        <v>119</v>
      </c>
      <c r="O54" s="298" t="s">
        <v>243</v>
      </c>
      <c r="P54" s="432" t="s">
        <v>135</v>
      </c>
      <c r="Q54" s="433"/>
      <c r="R54" s="432" t="s">
        <v>146</v>
      </c>
      <c r="S54" s="434"/>
      <c r="T54" s="434"/>
      <c r="U54" s="433"/>
      <c r="V54" s="405" t="s">
        <v>129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119</v>
      </c>
      <c r="B55" s="431"/>
      <c r="C55" s="291" t="s">
        <v>149</v>
      </c>
      <c r="D55" s="291" t="s">
        <v>115</v>
      </c>
      <c r="E55" s="293" t="s">
        <v>326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292" t="s">
        <v>121</v>
      </c>
      <c r="O55" s="298" t="s">
        <v>171</v>
      </c>
      <c r="P55" s="432"/>
      <c r="Q55" s="433"/>
      <c r="R55" s="432" t="s">
        <v>429</v>
      </c>
      <c r="S55" s="434"/>
      <c r="T55" s="434"/>
      <c r="U55" s="433"/>
      <c r="V55" s="405" t="s">
        <v>453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/>
      <c r="B56" s="431"/>
      <c r="C56" s="291"/>
      <c r="D56" s="291"/>
      <c r="E56" s="293"/>
      <c r="F56" s="418"/>
      <c r="G56" s="419"/>
      <c r="H56" s="419"/>
      <c r="I56" s="419"/>
      <c r="J56" s="419"/>
      <c r="K56" s="419"/>
      <c r="L56" s="419"/>
      <c r="M56" s="420"/>
      <c r="N56" s="292" t="s">
        <v>112</v>
      </c>
      <c r="O56" s="298" t="s">
        <v>247</v>
      </c>
      <c r="P56" s="432" t="s">
        <v>115</v>
      </c>
      <c r="Q56" s="433"/>
      <c r="R56" s="432" t="s">
        <v>400</v>
      </c>
      <c r="S56" s="434"/>
      <c r="T56" s="434"/>
      <c r="U56" s="433"/>
      <c r="V56" s="405" t="s">
        <v>129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293"/>
      <c r="D57" s="293"/>
      <c r="E57" s="293"/>
      <c r="F57" s="418"/>
      <c r="G57" s="419"/>
      <c r="H57" s="419"/>
      <c r="I57" s="419"/>
      <c r="J57" s="419"/>
      <c r="K57" s="419"/>
      <c r="L57" s="419"/>
      <c r="M57" s="420"/>
      <c r="N57" s="292"/>
      <c r="O57" s="298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291"/>
      <c r="D58" s="291"/>
      <c r="E58" s="293"/>
      <c r="F58" s="418"/>
      <c r="G58" s="419"/>
      <c r="H58" s="419"/>
      <c r="I58" s="419"/>
      <c r="J58" s="419"/>
      <c r="K58" s="419"/>
      <c r="L58" s="419"/>
      <c r="M58" s="420"/>
      <c r="N58" s="292"/>
      <c r="O58" s="298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291"/>
      <c r="D59" s="291"/>
      <c r="E59" s="293"/>
      <c r="F59" s="418"/>
      <c r="G59" s="419"/>
      <c r="H59" s="419"/>
      <c r="I59" s="419"/>
      <c r="J59" s="419"/>
      <c r="K59" s="419"/>
      <c r="L59" s="419"/>
      <c r="M59" s="420"/>
      <c r="N59" s="292"/>
      <c r="O59" s="298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293"/>
      <c r="D60" s="293"/>
      <c r="E60" s="293"/>
      <c r="F60" s="418"/>
      <c r="G60" s="419"/>
      <c r="H60" s="419"/>
      <c r="I60" s="419"/>
      <c r="J60" s="419"/>
      <c r="K60" s="419"/>
      <c r="L60" s="419"/>
      <c r="M60" s="420"/>
      <c r="N60" s="292"/>
      <c r="O60" s="298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294"/>
      <c r="D61" s="295"/>
      <c r="E61" s="295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190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296" t="s">
        <v>2</v>
      </c>
      <c r="D63" s="296" t="s">
        <v>37</v>
      </c>
      <c r="E63" s="296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296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300"/>
      <c r="E64" s="297" t="s">
        <v>251</v>
      </c>
      <c r="F64" s="406" t="s">
        <v>456</v>
      </c>
      <c r="G64" s="407"/>
      <c r="H64" s="407"/>
      <c r="I64" s="407"/>
      <c r="J64" s="408"/>
      <c r="K64" s="394" t="s">
        <v>152</v>
      </c>
      <c r="L64" s="394"/>
      <c r="M64" s="51" t="s">
        <v>339</v>
      </c>
      <c r="N64" s="403" t="s">
        <v>149</v>
      </c>
      <c r="O64" s="403"/>
      <c r="P64" s="404">
        <v>50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119</v>
      </c>
      <c r="D65" s="300"/>
      <c r="E65" s="297" t="s">
        <v>115</v>
      </c>
      <c r="F65" s="406" t="s">
        <v>447</v>
      </c>
      <c r="G65" s="407"/>
      <c r="H65" s="407"/>
      <c r="I65" s="407"/>
      <c r="J65" s="408"/>
      <c r="K65" s="394" t="s">
        <v>152</v>
      </c>
      <c r="L65" s="394"/>
      <c r="M65" s="51" t="s">
        <v>339</v>
      </c>
      <c r="N65" s="403" t="s">
        <v>134</v>
      </c>
      <c r="O65" s="403"/>
      <c r="P65" s="404">
        <v>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118</v>
      </c>
      <c r="D66" s="300"/>
      <c r="E66" s="297" t="s">
        <v>126</v>
      </c>
      <c r="F66" s="406" t="s">
        <v>463</v>
      </c>
      <c r="G66" s="407"/>
      <c r="H66" s="407"/>
      <c r="I66" s="407"/>
      <c r="J66" s="408"/>
      <c r="K66" s="394" t="s">
        <v>216</v>
      </c>
      <c r="L66" s="394"/>
      <c r="M66" s="51" t="s">
        <v>151</v>
      </c>
      <c r="N66" s="403" t="s">
        <v>132</v>
      </c>
      <c r="O66" s="403"/>
      <c r="P66" s="475">
        <v>50</v>
      </c>
      <c r="Q66" s="47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 t="s">
        <v>112</v>
      </c>
      <c r="D67" s="300"/>
      <c r="E67" s="297" t="s">
        <v>115</v>
      </c>
      <c r="F67" s="406" t="s">
        <v>444</v>
      </c>
      <c r="G67" s="407"/>
      <c r="H67" s="407"/>
      <c r="I67" s="407"/>
      <c r="J67" s="408"/>
      <c r="K67" s="394">
        <v>8301</v>
      </c>
      <c r="L67" s="394"/>
      <c r="M67" s="51" t="s">
        <v>156</v>
      </c>
      <c r="N67" s="403" t="s">
        <v>157</v>
      </c>
      <c r="O67" s="403"/>
      <c r="P67" s="475">
        <v>10</v>
      </c>
      <c r="Q67" s="475"/>
      <c r="R67" s="405" t="s">
        <v>464</v>
      </c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 t="s">
        <v>121</v>
      </c>
      <c r="D68" s="300"/>
      <c r="E68" s="297"/>
      <c r="F68" s="406" t="s">
        <v>199</v>
      </c>
      <c r="G68" s="407"/>
      <c r="H68" s="407"/>
      <c r="I68" s="407"/>
      <c r="J68" s="408"/>
      <c r="K68" s="394" t="s">
        <v>144</v>
      </c>
      <c r="L68" s="394"/>
      <c r="M68" s="51" t="s">
        <v>156</v>
      </c>
      <c r="N68" s="403" t="s">
        <v>166</v>
      </c>
      <c r="O68" s="403"/>
      <c r="P68" s="404">
        <v>50</v>
      </c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300"/>
      <c r="E69" s="297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300"/>
      <c r="E70" s="297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300"/>
      <c r="E71" s="297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300"/>
      <c r="E72" s="297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300"/>
      <c r="E73" s="297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192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299" t="s">
        <v>2</v>
      </c>
      <c r="D75" s="299" t="s">
        <v>37</v>
      </c>
      <c r="E75" s="299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301" t="s">
        <v>112</v>
      </c>
      <c r="D76" s="301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300"/>
      <c r="D77" s="300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300"/>
      <c r="D78" s="300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300"/>
      <c r="D79" s="300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300"/>
      <c r="D80" s="300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300"/>
      <c r="D81" s="300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300"/>
      <c r="D82" s="300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193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3A1E-C59E-415E-B3B7-3C755BCA69E0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466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314" t="s">
        <v>17</v>
      </c>
      <c r="L5" s="314" t="s">
        <v>18</v>
      </c>
      <c r="M5" s="314" t="s">
        <v>19</v>
      </c>
      <c r="N5" s="31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</f>
        <v>24314</v>
      </c>
      <c r="L6" s="15">
        <f>555+1629</f>
        <v>2184</v>
      </c>
      <c r="M6" s="15">
        <f t="shared" ref="M6:M21" si="0">L6-N6</f>
        <v>2184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12</v>
      </c>
      <c r="Q6" s="40">
        <f t="shared" ref="Q6:Q21" si="3">SUM(R6:AA6)</f>
        <v>12</v>
      </c>
      <c r="R6" s="7"/>
      <c r="S6" s="6">
        <v>4</v>
      </c>
      <c r="T6" s="16"/>
      <c r="U6" s="16"/>
      <c r="V6" s="17"/>
      <c r="W6" s="5">
        <v>8</v>
      </c>
      <c r="X6" s="16"/>
      <c r="Y6" s="16"/>
      <c r="Z6" s="16"/>
      <c r="AA6" s="18"/>
      <c r="AB6" s="8">
        <f t="shared" ref="AB6:AB21" si="4">IF(J6=0,"0",(L6/J6))</f>
        <v>0.77611940298507465</v>
      </c>
      <c r="AC6" s="9">
        <f t="shared" ref="AC6:AC21" si="5">IF(P6=0,"0",(P6/24))</f>
        <v>0.5</v>
      </c>
      <c r="AD6" s="10">
        <f t="shared" ref="AD6:AD21" si="6">AC6*AB6*(1-O6)</f>
        <v>0.38805970149253732</v>
      </c>
      <c r="AE6" s="36">
        <f t="shared" ref="AE6:AE21" si="7">$AD$22</f>
        <v>0.42269123134328351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/>
      <c r="E7" s="53" t="s">
        <v>351</v>
      </c>
      <c r="F7" s="12" t="s">
        <v>363</v>
      </c>
      <c r="G7" s="12">
        <v>5</v>
      </c>
      <c r="H7" s="13">
        <v>24</v>
      </c>
      <c r="I7" s="31">
        <v>100000</v>
      </c>
      <c r="J7" s="14">
        <v>29830</v>
      </c>
      <c r="K7" s="15">
        <f>L7+27610+30250+31645+61455+29830</f>
        <v>180790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0.42269123134328351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169</v>
      </c>
      <c r="F8" s="30" t="s">
        <v>152</v>
      </c>
      <c r="G8" s="33">
        <v>1</v>
      </c>
      <c r="H8" s="35">
        <v>24</v>
      </c>
      <c r="I8" s="7">
        <v>8000</v>
      </c>
      <c r="J8" s="5">
        <v>889</v>
      </c>
      <c r="K8" s="15">
        <f>L8+1745+5257</f>
        <v>7891</v>
      </c>
      <c r="L8" s="15">
        <f>494+395</f>
        <v>889</v>
      </c>
      <c r="M8" s="15">
        <f t="shared" si="0"/>
        <v>889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>
        <v>19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0.42269123134328351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467</v>
      </c>
      <c r="F9" s="30" t="s">
        <v>122</v>
      </c>
      <c r="G9" s="33">
        <v>2</v>
      </c>
      <c r="H9" s="35">
        <v>24</v>
      </c>
      <c r="I9" s="7">
        <v>15000</v>
      </c>
      <c r="J9" s="5">
        <v>5762</v>
      </c>
      <c r="K9" s="15">
        <f>L9</f>
        <v>5762</v>
      </c>
      <c r="L9" s="15">
        <f>275*2+2606*2</f>
        <v>5762</v>
      </c>
      <c r="M9" s="15">
        <f t="shared" si="0"/>
        <v>5762</v>
      </c>
      <c r="N9" s="15">
        <v>0</v>
      </c>
      <c r="O9" s="58">
        <f t="shared" si="1"/>
        <v>0</v>
      </c>
      <c r="P9" s="39">
        <f t="shared" si="2"/>
        <v>16</v>
      </c>
      <c r="Q9" s="40">
        <f t="shared" si="3"/>
        <v>8</v>
      </c>
      <c r="R9" s="7"/>
      <c r="S9" s="6"/>
      <c r="T9" s="16">
        <v>8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0.66666666666666663</v>
      </c>
      <c r="AD9" s="10">
        <f t="shared" si="6"/>
        <v>0.66666666666666663</v>
      </c>
      <c r="AE9" s="36">
        <f t="shared" si="7"/>
        <v>0.42269123134328351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120000</v>
      </c>
      <c r="J10" s="14">
        <v>6656</v>
      </c>
      <c r="K10" s="15">
        <f>L10+5217+6628+5843+6693+6633+6764+6273+6588+6637+6651+6854+6281+6605+6597+6699+6628+6905+6905</f>
        <v>124057</v>
      </c>
      <c r="L10" s="15">
        <f>3339+3317</f>
        <v>6656</v>
      </c>
      <c r="M10" s="15">
        <f t="shared" si="0"/>
        <v>6656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0.42269123134328351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/>
      <c r="E11" s="53" t="s">
        <v>429</v>
      </c>
      <c r="F11" s="30" t="s">
        <v>137</v>
      </c>
      <c r="G11" s="33">
        <v>1</v>
      </c>
      <c r="H11" s="35">
        <v>24</v>
      </c>
      <c r="I11" s="7">
        <v>10000</v>
      </c>
      <c r="J11" s="14">
        <v>4460</v>
      </c>
      <c r="K11" s="15">
        <f>L11</f>
        <v>4460</v>
      </c>
      <c r="L11" s="15">
        <f>1751+2709</f>
        <v>4460</v>
      </c>
      <c r="M11" s="15">
        <f t="shared" si="0"/>
        <v>4460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6">
        <f t="shared" si="7"/>
        <v>0.42269123134328351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90000</v>
      </c>
      <c r="J12" s="5">
        <v>5041</v>
      </c>
      <c r="K12" s="15">
        <f>L12+3980+4963+4857+4991+5052+5074+5369+4402+4760+5003+4109+5018+5406+4902</f>
        <v>72927</v>
      </c>
      <c r="L12" s="15">
        <f>2531+2510</f>
        <v>5041</v>
      </c>
      <c r="M12" s="15">
        <f t="shared" si="0"/>
        <v>5041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0.42269123134328351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0.42269123134328351</v>
      </c>
      <c r="AF13" s="84">
        <f t="shared" si="8"/>
        <v>8</v>
      </c>
    </row>
    <row r="14" spans="1:32" ht="27" customHeight="1">
      <c r="A14" s="105">
        <v>9</v>
      </c>
      <c r="B14" s="11" t="s">
        <v>465</v>
      </c>
      <c r="C14" s="34" t="s">
        <v>112</v>
      </c>
      <c r="D14" s="52" t="s">
        <v>115</v>
      </c>
      <c r="E14" s="53" t="s">
        <v>444</v>
      </c>
      <c r="F14" s="30" t="s">
        <v>183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0.42269123134328351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0.42269123134328351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414</v>
      </c>
      <c r="F16" s="30" t="s">
        <v>152</v>
      </c>
      <c r="G16" s="12">
        <v>1</v>
      </c>
      <c r="H16" s="13">
        <v>24</v>
      </c>
      <c r="I16" s="7">
        <v>52000</v>
      </c>
      <c r="J16" s="14">
        <v>3267</v>
      </c>
      <c r="K16" s="15">
        <f>L16+2928+5476+5823+3267</f>
        <v>17494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0.42269123134328351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409</v>
      </c>
      <c r="E17" s="53" t="s">
        <v>421</v>
      </c>
      <c r="F17" s="30" t="s">
        <v>136</v>
      </c>
      <c r="G17" s="12">
        <v>1</v>
      </c>
      <c r="H17" s="13">
        <v>24</v>
      </c>
      <c r="I17" s="7">
        <v>12000</v>
      </c>
      <c r="J17" s="14">
        <v>3469</v>
      </c>
      <c r="K17" s="15">
        <f>L17</f>
        <v>3469</v>
      </c>
      <c r="L17" s="15">
        <f>348+3121</f>
        <v>3469</v>
      </c>
      <c r="M17" s="15">
        <f t="shared" si="0"/>
        <v>3469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/>
      <c r="T17" s="16">
        <v>8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0.42269123134328351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447</v>
      </c>
      <c r="F18" s="30" t="s">
        <v>152</v>
      </c>
      <c r="G18" s="33">
        <v>1</v>
      </c>
      <c r="H18" s="35">
        <v>24</v>
      </c>
      <c r="I18" s="7">
        <v>12000</v>
      </c>
      <c r="J18" s="14">
        <v>1601</v>
      </c>
      <c r="K18" s="15">
        <f>L18</f>
        <v>1601</v>
      </c>
      <c r="L18" s="15">
        <f>331+1270</f>
        <v>1601</v>
      </c>
      <c r="M18" s="15">
        <f t="shared" si="0"/>
        <v>1601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8</v>
      </c>
      <c r="T18" s="16">
        <v>8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0.42269123134328351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180</v>
      </c>
      <c r="G19" s="33">
        <v>1</v>
      </c>
      <c r="H19" s="35">
        <v>24</v>
      </c>
      <c r="I19" s="7">
        <v>40000</v>
      </c>
      <c r="J19" s="14">
        <v>4390</v>
      </c>
      <c r="K19" s="15">
        <f>L19+4203+5242+5070+5530</f>
        <v>24435</v>
      </c>
      <c r="L19" s="15">
        <f>2171+2219</f>
        <v>4390</v>
      </c>
      <c r="M19" s="15">
        <f t="shared" si="0"/>
        <v>4390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0.42269123134328351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414</v>
      </c>
      <c r="F20" s="30" t="s">
        <v>152</v>
      </c>
      <c r="G20" s="12">
        <v>1</v>
      </c>
      <c r="H20" s="13">
        <v>24</v>
      </c>
      <c r="I20" s="7">
        <v>52000</v>
      </c>
      <c r="J20" s="14">
        <v>3626</v>
      </c>
      <c r="K20" s="15">
        <f>L20+2928+5476+5823+3267</f>
        <v>21120</v>
      </c>
      <c r="L20" s="15">
        <f>2829+797</f>
        <v>3626</v>
      </c>
      <c r="M20" s="15">
        <f t="shared" ref="M20" si="9">L20-N20</f>
        <v>3626</v>
      </c>
      <c r="N20" s="15">
        <v>0</v>
      </c>
      <c r="O20" s="58">
        <f t="shared" ref="O20" si="10">IF(L20=0,"0",N20/L20)</f>
        <v>0</v>
      </c>
      <c r="P20" s="39">
        <f t="shared" ref="P20" si="11">IF(L20=0,"0",(24-Q20))</f>
        <v>18</v>
      </c>
      <c r="Q20" s="40">
        <f t="shared" ref="Q20" si="12">SUM(R20:AA20)</f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ref="AB20" si="13">IF(J20=0,"0",(L20/J20))</f>
        <v>1</v>
      </c>
      <c r="AC20" s="9">
        <f t="shared" ref="AC20" si="14">IF(P20=0,"0",(P20/24))</f>
        <v>0.75</v>
      </c>
      <c r="AD20" s="10">
        <f t="shared" ref="AD20" si="15">AC20*AB20*(1-O20)</f>
        <v>0.75</v>
      </c>
      <c r="AE20" s="36">
        <f t="shared" si="7"/>
        <v>0.42269123134328351</v>
      </c>
      <c r="AF20" s="84">
        <f t="shared" ref="AF20" si="16">A20</f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0.42269123134328351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7">SUM(I6:I21)</f>
        <v>838750</v>
      </c>
      <c r="J22" s="19">
        <f t="shared" si="17"/>
        <v>86131</v>
      </c>
      <c r="K22" s="20">
        <f t="shared" si="17"/>
        <v>772361</v>
      </c>
      <c r="L22" s="21">
        <f t="shared" si="17"/>
        <v>38078</v>
      </c>
      <c r="M22" s="20">
        <f t="shared" si="17"/>
        <v>38078</v>
      </c>
      <c r="N22" s="21">
        <f t="shared" si="17"/>
        <v>0</v>
      </c>
      <c r="O22" s="41">
        <f t="shared" si="1"/>
        <v>0</v>
      </c>
      <c r="P22" s="42">
        <f t="shared" ref="P22:AA22" si="18">SUM(P6:P21)</f>
        <v>165</v>
      </c>
      <c r="Q22" s="43">
        <f t="shared" si="18"/>
        <v>219</v>
      </c>
      <c r="R22" s="23">
        <f t="shared" si="18"/>
        <v>0</v>
      </c>
      <c r="S22" s="24">
        <f t="shared" si="18"/>
        <v>65</v>
      </c>
      <c r="T22" s="24">
        <f t="shared" si="18"/>
        <v>26</v>
      </c>
      <c r="U22" s="24">
        <f t="shared" si="18"/>
        <v>0</v>
      </c>
      <c r="V22" s="25">
        <f t="shared" si="18"/>
        <v>24</v>
      </c>
      <c r="W22" s="26">
        <f t="shared" si="18"/>
        <v>80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24</v>
      </c>
      <c r="AB22" s="28">
        <f>AVERAGE(AB6:AB21)</f>
        <v>0.65174129353233823</v>
      </c>
      <c r="AC22" s="4">
        <f>AVERAGE(AC6:AC21)</f>
        <v>0.42968749999999994</v>
      </c>
      <c r="AD22" s="4">
        <f>AVERAGE(AD6:AD21)</f>
        <v>0.42269123134328351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468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470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313" t="s">
        <v>46</v>
      </c>
      <c r="D51" s="313" t="s">
        <v>47</v>
      </c>
      <c r="E51" s="313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313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312" t="s">
        <v>243</v>
      </c>
      <c r="D52" s="312" t="s">
        <v>135</v>
      </c>
      <c r="E52" s="309" t="s">
        <v>146</v>
      </c>
      <c r="F52" s="418" t="s">
        <v>129</v>
      </c>
      <c r="G52" s="419"/>
      <c r="H52" s="419"/>
      <c r="I52" s="419"/>
      <c r="J52" s="419"/>
      <c r="K52" s="419"/>
      <c r="L52" s="419"/>
      <c r="M52" s="420"/>
      <c r="N52" s="308" t="s">
        <v>121</v>
      </c>
      <c r="O52" s="306" t="s">
        <v>177</v>
      </c>
      <c r="P52" s="432"/>
      <c r="Q52" s="433"/>
      <c r="R52" s="432" t="s">
        <v>169</v>
      </c>
      <c r="S52" s="434"/>
      <c r="T52" s="434"/>
      <c r="U52" s="433"/>
      <c r="V52" s="405" t="s">
        <v>129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121</v>
      </c>
      <c r="B53" s="431"/>
      <c r="C53" s="312" t="s">
        <v>177</v>
      </c>
      <c r="D53" s="312"/>
      <c r="E53" s="309" t="s">
        <v>169</v>
      </c>
      <c r="F53" s="418" t="s">
        <v>287</v>
      </c>
      <c r="G53" s="419"/>
      <c r="H53" s="419"/>
      <c r="I53" s="419"/>
      <c r="J53" s="419"/>
      <c r="K53" s="419"/>
      <c r="L53" s="419"/>
      <c r="M53" s="420"/>
      <c r="N53" s="308" t="s">
        <v>119</v>
      </c>
      <c r="O53" s="306" t="s">
        <v>134</v>
      </c>
      <c r="P53" s="432" t="s">
        <v>115</v>
      </c>
      <c r="Q53" s="433"/>
      <c r="R53" s="432" t="s">
        <v>447</v>
      </c>
      <c r="S53" s="434"/>
      <c r="T53" s="434"/>
      <c r="U53" s="433"/>
      <c r="V53" s="405" t="s">
        <v>129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119</v>
      </c>
      <c r="B54" s="431"/>
      <c r="C54" s="312" t="s">
        <v>143</v>
      </c>
      <c r="D54" s="312" t="s">
        <v>115</v>
      </c>
      <c r="E54" s="309" t="s">
        <v>467</v>
      </c>
      <c r="F54" s="418" t="s">
        <v>133</v>
      </c>
      <c r="G54" s="419"/>
      <c r="H54" s="419"/>
      <c r="I54" s="419"/>
      <c r="J54" s="419"/>
      <c r="K54" s="419"/>
      <c r="L54" s="419"/>
      <c r="M54" s="420"/>
      <c r="N54" s="308" t="s">
        <v>118</v>
      </c>
      <c r="O54" s="306" t="s">
        <v>243</v>
      </c>
      <c r="P54" s="432" t="s">
        <v>126</v>
      </c>
      <c r="Q54" s="433"/>
      <c r="R54" s="432" t="s">
        <v>463</v>
      </c>
      <c r="S54" s="434"/>
      <c r="T54" s="434"/>
      <c r="U54" s="433"/>
      <c r="V54" s="405" t="s">
        <v>453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121</v>
      </c>
      <c r="B55" s="431"/>
      <c r="C55" s="312" t="s">
        <v>171</v>
      </c>
      <c r="D55" s="312"/>
      <c r="E55" s="309" t="s">
        <v>429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308" t="s">
        <v>119</v>
      </c>
      <c r="O55" s="306" t="s">
        <v>132</v>
      </c>
      <c r="P55" s="432" t="s">
        <v>135</v>
      </c>
      <c r="Q55" s="433"/>
      <c r="R55" s="432" t="s">
        <v>293</v>
      </c>
      <c r="S55" s="434"/>
      <c r="T55" s="434"/>
      <c r="U55" s="433"/>
      <c r="V55" s="405" t="s">
        <v>453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119</v>
      </c>
      <c r="B56" s="431"/>
      <c r="C56" s="312" t="s">
        <v>172</v>
      </c>
      <c r="D56" s="312" t="s">
        <v>409</v>
      </c>
      <c r="E56" s="309" t="s">
        <v>421</v>
      </c>
      <c r="F56" s="418" t="s">
        <v>133</v>
      </c>
      <c r="G56" s="419"/>
      <c r="H56" s="419"/>
      <c r="I56" s="419"/>
      <c r="J56" s="419"/>
      <c r="K56" s="419"/>
      <c r="L56" s="419"/>
      <c r="M56" s="420"/>
      <c r="N56" s="308"/>
      <c r="O56" s="306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 t="s">
        <v>119</v>
      </c>
      <c r="B57" s="417"/>
      <c r="C57" s="309" t="s">
        <v>134</v>
      </c>
      <c r="D57" s="309" t="s">
        <v>115</v>
      </c>
      <c r="E57" s="309" t="s">
        <v>447</v>
      </c>
      <c r="F57" s="418" t="s">
        <v>469</v>
      </c>
      <c r="G57" s="419"/>
      <c r="H57" s="419"/>
      <c r="I57" s="419"/>
      <c r="J57" s="419"/>
      <c r="K57" s="419"/>
      <c r="L57" s="419"/>
      <c r="M57" s="420"/>
      <c r="N57" s="308"/>
      <c r="O57" s="306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 t="s">
        <v>112</v>
      </c>
      <c r="B58" s="431"/>
      <c r="C58" s="312" t="s">
        <v>140</v>
      </c>
      <c r="D58" s="312" t="s">
        <v>155</v>
      </c>
      <c r="E58" s="309" t="s">
        <v>263</v>
      </c>
      <c r="F58" s="418" t="s">
        <v>161</v>
      </c>
      <c r="G58" s="419"/>
      <c r="H58" s="419"/>
      <c r="I58" s="419"/>
      <c r="J58" s="419"/>
      <c r="K58" s="419"/>
      <c r="L58" s="419"/>
      <c r="M58" s="420"/>
      <c r="N58" s="308"/>
      <c r="O58" s="306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 t="s">
        <v>112</v>
      </c>
      <c r="B59" s="431"/>
      <c r="C59" s="312" t="s">
        <v>149</v>
      </c>
      <c r="D59" s="312" t="s">
        <v>115</v>
      </c>
      <c r="E59" s="309" t="s">
        <v>400</v>
      </c>
      <c r="F59" s="418" t="s">
        <v>129</v>
      </c>
      <c r="G59" s="419"/>
      <c r="H59" s="419"/>
      <c r="I59" s="419"/>
      <c r="J59" s="419"/>
      <c r="K59" s="419"/>
      <c r="L59" s="419"/>
      <c r="M59" s="420"/>
      <c r="N59" s="308"/>
      <c r="O59" s="306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309"/>
      <c r="D60" s="309"/>
      <c r="E60" s="309"/>
      <c r="F60" s="418"/>
      <c r="G60" s="419"/>
      <c r="H60" s="419"/>
      <c r="I60" s="419"/>
      <c r="J60" s="419"/>
      <c r="K60" s="419"/>
      <c r="L60" s="419"/>
      <c r="M60" s="420"/>
      <c r="N60" s="308"/>
      <c r="O60" s="306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310"/>
      <c r="D61" s="311"/>
      <c r="E61" s="311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471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307" t="s">
        <v>2</v>
      </c>
      <c r="D63" s="307" t="s">
        <v>37</v>
      </c>
      <c r="E63" s="307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307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119</v>
      </c>
      <c r="D64" s="302"/>
      <c r="E64" s="305" t="s">
        <v>135</v>
      </c>
      <c r="F64" s="406" t="s">
        <v>293</v>
      </c>
      <c r="G64" s="407"/>
      <c r="H64" s="407"/>
      <c r="I64" s="407"/>
      <c r="J64" s="408"/>
      <c r="K64" s="394" t="s">
        <v>136</v>
      </c>
      <c r="L64" s="394"/>
      <c r="M64" s="51" t="s">
        <v>151</v>
      </c>
      <c r="N64" s="403" t="s">
        <v>132</v>
      </c>
      <c r="O64" s="403"/>
      <c r="P64" s="404">
        <v>200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118</v>
      </c>
      <c r="D65" s="302"/>
      <c r="E65" s="305" t="s">
        <v>185</v>
      </c>
      <c r="F65" s="406" t="s">
        <v>405</v>
      </c>
      <c r="G65" s="407"/>
      <c r="H65" s="407"/>
      <c r="I65" s="407"/>
      <c r="J65" s="408"/>
      <c r="K65" s="394" t="s">
        <v>176</v>
      </c>
      <c r="L65" s="394"/>
      <c r="M65" s="51" t="s">
        <v>151</v>
      </c>
      <c r="N65" s="403" t="s">
        <v>141</v>
      </c>
      <c r="O65" s="403"/>
      <c r="P65" s="404">
        <v>160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 t="s">
        <v>118</v>
      </c>
      <c r="D66" s="302"/>
      <c r="E66" s="305" t="s">
        <v>126</v>
      </c>
      <c r="F66" s="406" t="s">
        <v>265</v>
      </c>
      <c r="G66" s="407"/>
      <c r="H66" s="407"/>
      <c r="I66" s="407"/>
      <c r="J66" s="408"/>
      <c r="K66" s="394" t="s">
        <v>130</v>
      </c>
      <c r="L66" s="394"/>
      <c r="M66" s="51" t="s">
        <v>151</v>
      </c>
      <c r="N66" s="403" t="s">
        <v>141</v>
      </c>
      <c r="O66" s="403"/>
      <c r="P66" s="404">
        <v>50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302"/>
      <c r="E67" s="305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75"/>
      <c r="Q67" s="475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302"/>
      <c r="E68" s="305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302"/>
      <c r="E69" s="305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302"/>
      <c r="E70" s="305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302"/>
      <c r="E71" s="305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302"/>
      <c r="E72" s="305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302"/>
      <c r="E73" s="305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472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304" t="s">
        <v>2</v>
      </c>
      <c r="D75" s="304" t="s">
        <v>37</v>
      </c>
      <c r="E75" s="304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303" t="s">
        <v>112</v>
      </c>
      <c r="D76" s="303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302"/>
      <c r="D77" s="302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9">A77+1</f>
        <v>3</v>
      </c>
      <c r="B78" s="362"/>
      <c r="C78" s="302"/>
      <c r="D78" s="302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9"/>
        <v>4</v>
      </c>
      <c r="B79" s="362"/>
      <c r="C79" s="302"/>
      <c r="D79" s="302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9"/>
        <v>5</v>
      </c>
      <c r="B80" s="362"/>
      <c r="C80" s="302"/>
      <c r="D80" s="302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9"/>
        <v>6</v>
      </c>
      <c r="B81" s="362"/>
      <c r="C81" s="302"/>
      <c r="D81" s="302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9"/>
        <v>7</v>
      </c>
      <c r="B82" s="362"/>
      <c r="C82" s="302"/>
      <c r="D82" s="302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473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E8D2-ABF3-4922-A881-4BDF7C5F4CF0}">
  <dimension ref="A1:AF87"/>
  <sheetViews>
    <sheetView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474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L6+4797+2971+5466+4155+4741+2184</f>
        <v>24314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0.58854166666666674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135</v>
      </c>
      <c r="E7" s="53" t="s">
        <v>293</v>
      </c>
      <c r="F7" s="12" t="s">
        <v>136</v>
      </c>
      <c r="G7" s="12">
        <v>4</v>
      </c>
      <c r="H7" s="13">
        <v>24</v>
      </c>
      <c r="I7" s="31">
        <v>8000</v>
      </c>
      <c r="J7" s="14">
        <v>9368</v>
      </c>
      <c r="K7" s="15">
        <f>L7</f>
        <v>9368</v>
      </c>
      <c r="L7" s="15">
        <f>2342*4</f>
        <v>9368</v>
      </c>
      <c r="M7" s="15">
        <f t="shared" si="0"/>
        <v>9368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/>
      <c r="T7" s="16"/>
      <c r="U7" s="16"/>
      <c r="V7" s="17"/>
      <c r="W7" s="5">
        <v>10</v>
      </c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0.58854166666666674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169</v>
      </c>
      <c r="F8" s="30" t="s">
        <v>152</v>
      </c>
      <c r="G8" s="33">
        <v>1</v>
      </c>
      <c r="H8" s="35">
        <v>24</v>
      </c>
      <c r="I8" s="7">
        <v>8000</v>
      </c>
      <c r="J8" s="5">
        <v>4537</v>
      </c>
      <c r="K8" s="15">
        <f>L8+1745+5257+889</f>
        <v>12428</v>
      </c>
      <c r="L8" s="15">
        <f>1763+2774</f>
        <v>4537</v>
      </c>
      <c r="M8" s="15">
        <f t="shared" si="0"/>
        <v>4537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 t="shared" si="7"/>
        <v>0.58854166666666674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467</v>
      </c>
      <c r="F9" s="30" t="s">
        <v>122</v>
      </c>
      <c r="G9" s="33">
        <v>2</v>
      </c>
      <c r="H9" s="35">
        <v>24</v>
      </c>
      <c r="I9" s="7">
        <v>15000</v>
      </c>
      <c r="J9" s="5">
        <v>10146</v>
      </c>
      <c r="K9" s="15">
        <f>L9+5762</f>
        <v>15908</v>
      </c>
      <c r="L9" s="15">
        <f>2432*2+2641*2</f>
        <v>10146</v>
      </c>
      <c r="M9" s="15">
        <f t="shared" si="0"/>
        <v>10146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0.58854166666666674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128</v>
      </c>
      <c r="E10" s="53" t="s">
        <v>148</v>
      </c>
      <c r="F10" s="30" t="s">
        <v>145</v>
      </c>
      <c r="G10" s="33">
        <v>1</v>
      </c>
      <c r="H10" s="35">
        <v>24</v>
      </c>
      <c r="I10" s="7">
        <v>120000</v>
      </c>
      <c r="J10" s="14">
        <v>6626</v>
      </c>
      <c r="K10" s="15">
        <f>L10+5217+6628+5843+6693+6633+6764+6273+6588+6637+6651+6854+6281+6605+6597+6699+6628+6905+6905+6656</f>
        <v>130683</v>
      </c>
      <c r="L10" s="15">
        <f>3241+3385</f>
        <v>6626</v>
      </c>
      <c r="M10" s="15">
        <f t="shared" si="0"/>
        <v>6626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0.58854166666666674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/>
      <c r="E11" s="53" t="s">
        <v>429</v>
      </c>
      <c r="F11" s="30" t="s">
        <v>137</v>
      </c>
      <c r="G11" s="33">
        <v>1</v>
      </c>
      <c r="H11" s="35">
        <v>24</v>
      </c>
      <c r="I11" s="7">
        <v>10000</v>
      </c>
      <c r="J11" s="14">
        <v>5359</v>
      </c>
      <c r="K11" s="15">
        <f>L11+4460</f>
        <v>9819</v>
      </c>
      <c r="L11" s="15">
        <f>2628+2731</f>
        <v>5359</v>
      </c>
      <c r="M11" s="15">
        <f t="shared" si="0"/>
        <v>5359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0.58854166666666674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269</v>
      </c>
      <c r="F12" s="30" t="s">
        <v>152</v>
      </c>
      <c r="G12" s="12">
        <v>1</v>
      </c>
      <c r="H12" s="13">
        <v>22</v>
      </c>
      <c r="I12" s="31">
        <v>90000</v>
      </c>
      <c r="J12" s="5">
        <v>5019</v>
      </c>
      <c r="K12" s="15">
        <f>L12+3980+4963+4857+4991+5052+5074+5369+4402+4760+5003+4109+5018+5406+4902+5041</f>
        <v>77946</v>
      </c>
      <c r="L12" s="15">
        <f>2466+2553</f>
        <v>5019</v>
      </c>
      <c r="M12" s="15">
        <f t="shared" si="0"/>
        <v>5019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0.58854166666666674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256</v>
      </c>
      <c r="E13" s="53" t="s">
        <v>361</v>
      </c>
      <c r="F13" s="30" t="s">
        <v>176</v>
      </c>
      <c r="G13" s="12">
        <v>2</v>
      </c>
      <c r="H13" s="13">
        <v>24</v>
      </c>
      <c r="I13" s="31">
        <v>1200</v>
      </c>
      <c r="J13" s="14">
        <v>5108</v>
      </c>
      <c r="K13" s="15">
        <f>L13+5108</f>
        <v>5108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0.58854166666666674</v>
      </c>
      <c r="AF13" s="84">
        <f t="shared" si="8"/>
        <v>8</v>
      </c>
    </row>
    <row r="14" spans="1:32" ht="27" customHeight="1">
      <c r="A14" s="105">
        <v>9</v>
      </c>
      <c r="B14" s="11" t="s">
        <v>465</v>
      </c>
      <c r="C14" s="34" t="s">
        <v>112</v>
      </c>
      <c r="D14" s="52" t="s">
        <v>115</v>
      </c>
      <c r="E14" s="53" t="s">
        <v>444</v>
      </c>
      <c r="F14" s="30" t="s">
        <v>183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0.58854166666666674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126</v>
      </c>
      <c r="E15" s="53" t="s">
        <v>401</v>
      </c>
      <c r="F15" s="12" t="s">
        <v>144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0.58854166666666674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128</v>
      </c>
      <c r="E16" s="53" t="s">
        <v>475</v>
      </c>
      <c r="F16" s="30" t="s">
        <v>127</v>
      </c>
      <c r="G16" s="12">
        <v>1</v>
      </c>
      <c r="H16" s="13">
        <v>24</v>
      </c>
      <c r="I16" s="7">
        <v>100</v>
      </c>
      <c r="J16" s="14">
        <v>206</v>
      </c>
      <c r="K16" s="15">
        <f>L16</f>
        <v>206</v>
      </c>
      <c r="L16" s="15">
        <v>206</v>
      </c>
      <c r="M16" s="15">
        <f t="shared" si="0"/>
        <v>206</v>
      </c>
      <c r="N16" s="15">
        <v>0</v>
      </c>
      <c r="O16" s="58">
        <f t="shared" si="1"/>
        <v>0</v>
      </c>
      <c r="P16" s="39">
        <f t="shared" si="2"/>
        <v>3</v>
      </c>
      <c r="Q16" s="40">
        <f t="shared" si="3"/>
        <v>21</v>
      </c>
      <c r="R16" s="7"/>
      <c r="S16" s="6"/>
      <c r="T16" s="16"/>
      <c r="U16" s="16"/>
      <c r="V16" s="17"/>
      <c r="W16" s="5">
        <v>21</v>
      </c>
      <c r="X16" s="16"/>
      <c r="Y16" s="16"/>
      <c r="Z16" s="16"/>
      <c r="AA16" s="18"/>
      <c r="AB16" s="8">
        <f t="shared" si="4"/>
        <v>1</v>
      </c>
      <c r="AC16" s="9">
        <f t="shared" si="5"/>
        <v>0.125</v>
      </c>
      <c r="AD16" s="10">
        <f t="shared" si="6"/>
        <v>0.125</v>
      </c>
      <c r="AE16" s="36">
        <f t="shared" si="7"/>
        <v>0.58854166666666674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409</v>
      </c>
      <c r="E17" s="53" t="s">
        <v>421</v>
      </c>
      <c r="F17" s="30" t="s">
        <v>136</v>
      </c>
      <c r="G17" s="12">
        <v>1</v>
      </c>
      <c r="H17" s="13">
        <v>24</v>
      </c>
      <c r="I17" s="7">
        <v>12000</v>
      </c>
      <c r="J17" s="14">
        <v>6157</v>
      </c>
      <c r="K17" s="15">
        <f>L17+3469</f>
        <v>9626</v>
      </c>
      <c r="L17" s="15">
        <f>3027+3130</f>
        <v>6157</v>
      </c>
      <c r="M17" s="15">
        <f t="shared" si="0"/>
        <v>6157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0.58854166666666674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447</v>
      </c>
      <c r="F18" s="30" t="s">
        <v>152</v>
      </c>
      <c r="G18" s="33">
        <v>1</v>
      </c>
      <c r="H18" s="35">
        <v>24</v>
      </c>
      <c r="I18" s="7">
        <v>12000</v>
      </c>
      <c r="J18" s="14">
        <v>4558</v>
      </c>
      <c r="K18" s="15">
        <f>L18+1601</f>
        <v>6159</v>
      </c>
      <c r="L18" s="15">
        <f>1713+2845</f>
        <v>4558</v>
      </c>
      <c r="M18" s="15">
        <f t="shared" si="0"/>
        <v>4558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0.58854166666666674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155</v>
      </c>
      <c r="E19" s="53" t="s">
        <v>263</v>
      </c>
      <c r="F19" s="30" t="s">
        <v>180</v>
      </c>
      <c r="G19" s="33">
        <v>1</v>
      </c>
      <c r="H19" s="35">
        <v>24</v>
      </c>
      <c r="I19" s="7">
        <v>40000</v>
      </c>
      <c r="J19" s="14">
        <v>5642</v>
      </c>
      <c r="K19" s="15">
        <f>L19+4203+5242+5070+5530+4390</f>
        <v>30077</v>
      </c>
      <c r="L19" s="15">
        <f>2771+2871</f>
        <v>5642</v>
      </c>
      <c r="M19" s="15">
        <f t="shared" si="0"/>
        <v>5642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0.58854166666666674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414</v>
      </c>
      <c r="F20" s="30" t="s">
        <v>152</v>
      </c>
      <c r="G20" s="12">
        <v>1</v>
      </c>
      <c r="H20" s="13">
        <v>24</v>
      </c>
      <c r="I20" s="7">
        <v>52000</v>
      </c>
      <c r="J20" s="14">
        <v>5491</v>
      </c>
      <c r="K20" s="15">
        <f>L20+2928+5476+5823+3267+3626</f>
        <v>26611</v>
      </c>
      <c r="L20" s="15">
        <f>2800+2691</f>
        <v>5491</v>
      </c>
      <c r="M20" s="15">
        <f t="shared" si="0"/>
        <v>5491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0.58854166666666674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147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0.58854166666666674</v>
      </c>
      <c r="AF21" s="84">
        <f t="shared" si="8"/>
        <v>16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9">SUM(I6:I21)</f>
        <v>694850</v>
      </c>
      <c r="J22" s="19">
        <f t="shared" si="9"/>
        <v>80249</v>
      </c>
      <c r="K22" s="20">
        <f t="shared" si="9"/>
        <v>637186</v>
      </c>
      <c r="L22" s="21">
        <f t="shared" si="9"/>
        <v>63109</v>
      </c>
      <c r="M22" s="20">
        <f t="shared" si="9"/>
        <v>63109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226</v>
      </c>
      <c r="Q22" s="43">
        <f t="shared" si="10"/>
        <v>158</v>
      </c>
      <c r="R22" s="23">
        <f t="shared" si="10"/>
        <v>0</v>
      </c>
      <c r="S22" s="24">
        <f t="shared" si="10"/>
        <v>7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103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0.73333333333333328</v>
      </c>
      <c r="AC22" s="4">
        <f>AVERAGE(AC6:AC21)</f>
        <v>0.58854166666666674</v>
      </c>
      <c r="AD22" s="4">
        <f>AVERAGE(AD6:AD21)</f>
        <v>0.58854166666666674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476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478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316" t="s">
        <v>46</v>
      </c>
      <c r="D51" s="316" t="s">
        <v>47</v>
      </c>
      <c r="E51" s="316" t="s">
        <v>107</v>
      </c>
      <c r="F51" s="449" t="s">
        <v>106</v>
      </c>
      <c r="G51" s="450"/>
      <c r="H51" s="450"/>
      <c r="I51" s="450"/>
      <c r="J51" s="450"/>
      <c r="K51" s="450"/>
      <c r="L51" s="450"/>
      <c r="M51" s="451"/>
      <c r="N51" s="67" t="s">
        <v>110</v>
      </c>
      <c r="O51" s="316" t="s">
        <v>46</v>
      </c>
      <c r="P51" s="449" t="s">
        <v>47</v>
      </c>
      <c r="Q51" s="452"/>
      <c r="R51" s="449" t="s">
        <v>38</v>
      </c>
      <c r="S51" s="450"/>
      <c r="T51" s="450"/>
      <c r="U51" s="452"/>
      <c r="V51" s="449" t="s">
        <v>48</v>
      </c>
      <c r="W51" s="450"/>
      <c r="X51" s="450"/>
      <c r="Y51" s="450"/>
      <c r="Z51" s="450"/>
      <c r="AA51" s="450"/>
      <c r="AB51" s="450"/>
      <c r="AC51" s="450"/>
      <c r="AD51" s="451"/>
    </row>
    <row r="52" spans="1:32" ht="27" customHeight="1">
      <c r="A52" s="430" t="s">
        <v>119</v>
      </c>
      <c r="B52" s="431"/>
      <c r="C52" s="317" t="s">
        <v>132</v>
      </c>
      <c r="D52" s="317" t="s">
        <v>135</v>
      </c>
      <c r="E52" s="318" t="s">
        <v>293</v>
      </c>
      <c r="F52" s="418" t="s">
        <v>133</v>
      </c>
      <c r="G52" s="419"/>
      <c r="H52" s="419"/>
      <c r="I52" s="419"/>
      <c r="J52" s="419"/>
      <c r="K52" s="419"/>
      <c r="L52" s="419"/>
      <c r="M52" s="420"/>
      <c r="N52" s="319" t="s">
        <v>119</v>
      </c>
      <c r="O52" s="324" t="s">
        <v>132</v>
      </c>
      <c r="P52" s="432" t="s">
        <v>135</v>
      </c>
      <c r="Q52" s="433"/>
      <c r="R52" s="432" t="s">
        <v>479</v>
      </c>
      <c r="S52" s="434"/>
      <c r="T52" s="434"/>
      <c r="U52" s="433"/>
      <c r="V52" s="405" t="s">
        <v>480</v>
      </c>
      <c r="W52" s="405"/>
      <c r="X52" s="405"/>
      <c r="Y52" s="405"/>
      <c r="Z52" s="405"/>
      <c r="AA52" s="405"/>
      <c r="AB52" s="405"/>
      <c r="AC52" s="405"/>
      <c r="AD52" s="421"/>
    </row>
    <row r="53" spans="1:32" ht="27" customHeight="1">
      <c r="A53" s="430" t="s">
        <v>121</v>
      </c>
      <c r="B53" s="431"/>
      <c r="C53" s="317" t="s">
        <v>177</v>
      </c>
      <c r="D53" s="317"/>
      <c r="E53" s="318" t="s">
        <v>169</v>
      </c>
      <c r="F53" s="418" t="s">
        <v>129</v>
      </c>
      <c r="G53" s="419"/>
      <c r="H53" s="419"/>
      <c r="I53" s="419"/>
      <c r="J53" s="419"/>
      <c r="K53" s="419"/>
      <c r="L53" s="419"/>
      <c r="M53" s="420"/>
      <c r="N53" s="319" t="s">
        <v>119</v>
      </c>
      <c r="O53" s="324" t="s">
        <v>247</v>
      </c>
      <c r="P53" s="432" t="s">
        <v>251</v>
      </c>
      <c r="Q53" s="433"/>
      <c r="R53" s="432" t="s">
        <v>456</v>
      </c>
      <c r="S53" s="434"/>
      <c r="T53" s="434"/>
      <c r="U53" s="433"/>
      <c r="V53" s="405" t="s">
        <v>480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16" t="s">
        <v>119</v>
      </c>
      <c r="B54" s="417"/>
      <c r="C54" s="318" t="s">
        <v>134</v>
      </c>
      <c r="D54" s="318" t="s">
        <v>115</v>
      </c>
      <c r="E54" s="318" t="s">
        <v>447</v>
      </c>
      <c r="F54" s="418" t="s">
        <v>477</v>
      </c>
      <c r="G54" s="419"/>
      <c r="H54" s="419"/>
      <c r="I54" s="419"/>
      <c r="J54" s="419"/>
      <c r="K54" s="419"/>
      <c r="L54" s="419"/>
      <c r="M54" s="420"/>
      <c r="N54" s="319"/>
      <c r="O54" s="324"/>
      <c r="P54" s="432"/>
      <c r="Q54" s="433"/>
      <c r="R54" s="432"/>
      <c r="S54" s="434"/>
      <c r="T54" s="434"/>
      <c r="U54" s="433"/>
      <c r="V54" s="405"/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112</v>
      </c>
      <c r="B55" s="431"/>
      <c r="C55" s="317" t="s">
        <v>247</v>
      </c>
      <c r="D55" s="317" t="s">
        <v>128</v>
      </c>
      <c r="E55" s="318" t="s">
        <v>475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319"/>
      <c r="O55" s="324"/>
      <c r="P55" s="432"/>
      <c r="Q55" s="433"/>
      <c r="R55" s="432"/>
      <c r="S55" s="434"/>
      <c r="T55" s="434"/>
      <c r="U55" s="433"/>
      <c r="V55" s="405"/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/>
      <c r="B56" s="431"/>
      <c r="C56" s="317"/>
      <c r="D56" s="317"/>
      <c r="E56" s="318"/>
      <c r="F56" s="418"/>
      <c r="G56" s="419"/>
      <c r="H56" s="419"/>
      <c r="I56" s="419"/>
      <c r="J56" s="419"/>
      <c r="K56" s="419"/>
      <c r="L56" s="419"/>
      <c r="M56" s="420"/>
      <c r="N56" s="319"/>
      <c r="O56" s="324"/>
      <c r="P56" s="432"/>
      <c r="Q56" s="433"/>
      <c r="R56" s="432"/>
      <c r="S56" s="434"/>
      <c r="T56" s="434"/>
      <c r="U56" s="433"/>
      <c r="V56" s="405"/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16"/>
      <c r="B57" s="417"/>
      <c r="C57" s="318"/>
      <c r="D57" s="318"/>
      <c r="E57" s="318"/>
      <c r="F57" s="418"/>
      <c r="G57" s="419"/>
      <c r="H57" s="419"/>
      <c r="I57" s="419"/>
      <c r="J57" s="419"/>
      <c r="K57" s="419"/>
      <c r="L57" s="419"/>
      <c r="M57" s="420"/>
      <c r="N57" s="319"/>
      <c r="O57" s="324"/>
      <c r="P57" s="432"/>
      <c r="Q57" s="433"/>
      <c r="R57" s="432"/>
      <c r="S57" s="434"/>
      <c r="T57" s="434"/>
      <c r="U57" s="433"/>
      <c r="V57" s="405"/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/>
      <c r="B58" s="431"/>
      <c r="C58" s="317"/>
      <c r="D58" s="317"/>
      <c r="E58" s="318"/>
      <c r="F58" s="418"/>
      <c r="G58" s="419"/>
      <c r="H58" s="419"/>
      <c r="I58" s="419"/>
      <c r="J58" s="419"/>
      <c r="K58" s="419"/>
      <c r="L58" s="419"/>
      <c r="M58" s="420"/>
      <c r="N58" s="319"/>
      <c r="O58" s="324"/>
      <c r="P58" s="432"/>
      <c r="Q58" s="433"/>
      <c r="R58" s="432"/>
      <c r="S58" s="434"/>
      <c r="T58" s="434"/>
      <c r="U58" s="433"/>
      <c r="V58" s="405"/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/>
      <c r="B59" s="431"/>
      <c r="C59" s="317"/>
      <c r="D59" s="317"/>
      <c r="E59" s="318"/>
      <c r="F59" s="418"/>
      <c r="G59" s="419"/>
      <c r="H59" s="419"/>
      <c r="I59" s="419"/>
      <c r="J59" s="419"/>
      <c r="K59" s="419"/>
      <c r="L59" s="419"/>
      <c r="M59" s="420"/>
      <c r="N59" s="319"/>
      <c r="O59" s="324"/>
      <c r="P59" s="432"/>
      <c r="Q59" s="433"/>
      <c r="R59" s="417"/>
      <c r="S59" s="417"/>
      <c r="T59" s="417"/>
      <c r="U59" s="417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16"/>
      <c r="B60" s="417"/>
      <c r="C60" s="318"/>
      <c r="D60" s="318"/>
      <c r="E60" s="318"/>
      <c r="F60" s="418"/>
      <c r="G60" s="419"/>
      <c r="H60" s="419"/>
      <c r="I60" s="419"/>
      <c r="J60" s="419"/>
      <c r="K60" s="419"/>
      <c r="L60" s="419"/>
      <c r="M60" s="420"/>
      <c r="N60" s="319"/>
      <c r="O60" s="324"/>
      <c r="P60" s="417"/>
      <c r="Q60" s="417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  <c r="AF60" s="84">
        <f>8*3000</f>
        <v>24000</v>
      </c>
    </row>
    <row r="61" spans="1:32" ht="27" customHeight="1" thickBot="1">
      <c r="A61" s="422"/>
      <c r="B61" s="423"/>
      <c r="C61" s="320"/>
      <c r="D61" s="321"/>
      <c r="E61" s="321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14" t="s">
        <v>481</v>
      </c>
      <c r="B62" s="414"/>
      <c r="C62" s="414"/>
      <c r="D62" s="414"/>
      <c r="E62" s="414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15" t="s">
        <v>111</v>
      </c>
      <c r="B63" s="412"/>
      <c r="C63" s="322" t="s">
        <v>2</v>
      </c>
      <c r="D63" s="322" t="s">
        <v>37</v>
      </c>
      <c r="E63" s="322" t="s">
        <v>3</v>
      </c>
      <c r="F63" s="412" t="s">
        <v>109</v>
      </c>
      <c r="G63" s="412"/>
      <c r="H63" s="412"/>
      <c r="I63" s="412"/>
      <c r="J63" s="412"/>
      <c r="K63" s="412" t="s">
        <v>39</v>
      </c>
      <c r="L63" s="412"/>
      <c r="M63" s="322" t="s">
        <v>40</v>
      </c>
      <c r="N63" s="412" t="s">
        <v>41</v>
      </c>
      <c r="O63" s="412"/>
      <c r="P63" s="409" t="s">
        <v>42</v>
      </c>
      <c r="Q63" s="411"/>
      <c r="R63" s="409" t="s">
        <v>43</v>
      </c>
      <c r="S63" s="410"/>
      <c r="T63" s="410"/>
      <c r="U63" s="410"/>
      <c r="V63" s="410"/>
      <c r="W63" s="410"/>
      <c r="X63" s="410"/>
      <c r="Y63" s="410"/>
      <c r="Z63" s="410"/>
      <c r="AA63" s="411"/>
      <c r="AB63" s="412" t="s">
        <v>44</v>
      </c>
      <c r="AC63" s="412"/>
      <c r="AD63" s="413"/>
      <c r="AF63" s="84">
        <f>SUM(AF60:AF62)</f>
        <v>96000</v>
      </c>
    </row>
    <row r="64" spans="1:32" ht="25.5" customHeight="1">
      <c r="A64" s="400">
        <v>1</v>
      </c>
      <c r="B64" s="401"/>
      <c r="C64" s="104" t="s">
        <v>118</v>
      </c>
      <c r="D64" s="326"/>
      <c r="E64" s="323" t="s">
        <v>135</v>
      </c>
      <c r="F64" s="406" t="s">
        <v>406</v>
      </c>
      <c r="G64" s="407"/>
      <c r="H64" s="407"/>
      <c r="I64" s="407"/>
      <c r="J64" s="408"/>
      <c r="K64" s="394" t="s">
        <v>407</v>
      </c>
      <c r="L64" s="394"/>
      <c r="M64" s="51" t="s">
        <v>151</v>
      </c>
      <c r="N64" s="403" t="s">
        <v>243</v>
      </c>
      <c r="O64" s="403"/>
      <c r="P64" s="404">
        <v>200</v>
      </c>
      <c r="Q64" s="404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394"/>
      <c r="AC64" s="394"/>
      <c r="AD64" s="395"/>
      <c r="AF64" s="50"/>
    </row>
    <row r="65" spans="1:32" ht="25.5" customHeight="1">
      <c r="A65" s="400">
        <v>2</v>
      </c>
      <c r="B65" s="401"/>
      <c r="C65" s="104" t="s">
        <v>118</v>
      </c>
      <c r="D65" s="326"/>
      <c r="E65" s="323" t="s">
        <v>115</v>
      </c>
      <c r="F65" s="406" t="s">
        <v>410</v>
      </c>
      <c r="G65" s="407"/>
      <c r="H65" s="407"/>
      <c r="I65" s="407"/>
      <c r="J65" s="408"/>
      <c r="K65" s="394" t="s">
        <v>152</v>
      </c>
      <c r="L65" s="394"/>
      <c r="M65" s="51" t="s">
        <v>151</v>
      </c>
      <c r="N65" s="403" t="s">
        <v>141</v>
      </c>
      <c r="O65" s="403"/>
      <c r="P65" s="404">
        <v>40</v>
      </c>
      <c r="Q65" s="404"/>
      <c r="R65" s="405" t="s">
        <v>482</v>
      </c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3</v>
      </c>
      <c r="B66" s="401"/>
      <c r="C66" s="104"/>
      <c r="D66" s="326"/>
      <c r="E66" s="323"/>
      <c r="F66" s="406"/>
      <c r="G66" s="407"/>
      <c r="H66" s="407"/>
      <c r="I66" s="407"/>
      <c r="J66" s="408"/>
      <c r="K66" s="394"/>
      <c r="L66" s="394"/>
      <c r="M66" s="51"/>
      <c r="N66" s="403"/>
      <c r="O66" s="403"/>
      <c r="P66" s="404"/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4</v>
      </c>
      <c r="B67" s="401"/>
      <c r="C67" s="104"/>
      <c r="D67" s="326"/>
      <c r="E67" s="323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75"/>
      <c r="Q67" s="475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5</v>
      </c>
      <c r="B68" s="401"/>
      <c r="C68" s="104"/>
      <c r="D68" s="326"/>
      <c r="E68" s="323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6</v>
      </c>
      <c r="B69" s="401"/>
      <c r="C69" s="104"/>
      <c r="D69" s="326"/>
      <c r="E69" s="323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7</v>
      </c>
      <c r="B70" s="401"/>
      <c r="C70" s="104"/>
      <c r="D70" s="326"/>
      <c r="E70" s="323"/>
      <c r="F70" s="402"/>
      <c r="G70" s="394"/>
      <c r="H70" s="394"/>
      <c r="I70" s="394"/>
      <c r="J70" s="394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8</v>
      </c>
      <c r="B71" s="401"/>
      <c r="C71" s="104"/>
      <c r="D71" s="326"/>
      <c r="E71" s="323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9</v>
      </c>
      <c r="B72" s="401"/>
      <c r="C72" s="104"/>
      <c r="D72" s="326"/>
      <c r="E72" s="323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10</v>
      </c>
      <c r="B73" s="401"/>
      <c r="C73" s="104"/>
      <c r="D73" s="326"/>
      <c r="E73" s="323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6.25" customHeight="1" thickBot="1">
      <c r="A74" s="374" t="s">
        <v>483</v>
      </c>
      <c r="B74" s="374"/>
      <c r="C74" s="374"/>
      <c r="D74" s="374"/>
      <c r="E74" s="374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75" t="s">
        <v>139</v>
      </c>
      <c r="B75" s="376"/>
      <c r="C75" s="325" t="s">
        <v>2</v>
      </c>
      <c r="D75" s="325" t="s">
        <v>37</v>
      </c>
      <c r="E75" s="325" t="s">
        <v>131</v>
      </c>
      <c r="F75" s="376" t="s">
        <v>38</v>
      </c>
      <c r="G75" s="376"/>
      <c r="H75" s="376"/>
      <c r="I75" s="376"/>
      <c r="J75" s="376"/>
      <c r="K75" s="396" t="s">
        <v>58</v>
      </c>
      <c r="L75" s="397"/>
      <c r="M75" s="397"/>
      <c r="N75" s="397"/>
      <c r="O75" s="397"/>
      <c r="P75" s="397"/>
      <c r="Q75" s="397"/>
      <c r="R75" s="397"/>
      <c r="S75" s="398"/>
      <c r="T75" s="376" t="s">
        <v>49</v>
      </c>
      <c r="U75" s="376"/>
      <c r="V75" s="396" t="s">
        <v>50</v>
      </c>
      <c r="W75" s="398"/>
      <c r="X75" s="397" t="s">
        <v>51</v>
      </c>
      <c r="Y75" s="397"/>
      <c r="Z75" s="397"/>
      <c r="AA75" s="397"/>
      <c r="AB75" s="397"/>
      <c r="AC75" s="397"/>
      <c r="AD75" s="399"/>
      <c r="AF75" s="50"/>
    </row>
    <row r="76" spans="1:32" ht="33.75" customHeight="1">
      <c r="A76" s="368">
        <v>1</v>
      </c>
      <c r="B76" s="369"/>
      <c r="C76" s="327" t="s">
        <v>112</v>
      </c>
      <c r="D76" s="327"/>
      <c r="E76" s="65" t="s">
        <v>117</v>
      </c>
      <c r="F76" s="383" t="s">
        <v>116</v>
      </c>
      <c r="G76" s="384"/>
      <c r="H76" s="384"/>
      <c r="I76" s="384"/>
      <c r="J76" s="385"/>
      <c r="K76" s="386" t="s">
        <v>120</v>
      </c>
      <c r="L76" s="387"/>
      <c r="M76" s="387"/>
      <c r="N76" s="387"/>
      <c r="O76" s="387"/>
      <c r="P76" s="387"/>
      <c r="Q76" s="387"/>
      <c r="R76" s="387"/>
      <c r="S76" s="388"/>
      <c r="T76" s="389">
        <v>44118</v>
      </c>
      <c r="U76" s="390"/>
      <c r="V76" s="391"/>
      <c r="W76" s="391"/>
      <c r="X76" s="392"/>
      <c r="Y76" s="392"/>
      <c r="Z76" s="392"/>
      <c r="AA76" s="392"/>
      <c r="AB76" s="392"/>
      <c r="AC76" s="392"/>
      <c r="AD76" s="393"/>
      <c r="AF76" s="50"/>
    </row>
    <row r="77" spans="1:32" ht="30" customHeight="1">
      <c r="A77" s="361">
        <f>A76+1</f>
        <v>2</v>
      </c>
      <c r="B77" s="362"/>
      <c r="C77" s="326"/>
      <c r="D77" s="326"/>
      <c r="E77" s="32"/>
      <c r="F77" s="362"/>
      <c r="G77" s="362"/>
      <c r="H77" s="362"/>
      <c r="I77" s="362"/>
      <c r="J77" s="362"/>
      <c r="K77" s="377"/>
      <c r="L77" s="378"/>
      <c r="M77" s="378"/>
      <c r="N77" s="378"/>
      <c r="O77" s="378"/>
      <c r="P77" s="378"/>
      <c r="Q77" s="378"/>
      <c r="R77" s="378"/>
      <c r="S77" s="379"/>
      <c r="T77" s="380"/>
      <c r="U77" s="380"/>
      <c r="V77" s="380"/>
      <c r="W77" s="380"/>
      <c r="X77" s="381"/>
      <c r="Y77" s="381"/>
      <c r="Z77" s="381"/>
      <c r="AA77" s="381"/>
      <c r="AB77" s="381"/>
      <c r="AC77" s="381"/>
      <c r="AD77" s="382"/>
      <c r="AF77" s="50"/>
    </row>
    <row r="78" spans="1:32" ht="30" customHeight="1">
      <c r="A78" s="361">
        <f t="shared" ref="A78:A82" si="11">A77+1</f>
        <v>3</v>
      </c>
      <c r="B78" s="362"/>
      <c r="C78" s="326"/>
      <c r="D78" s="326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si="11"/>
        <v>4</v>
      </c>
      <c r="B79" s="362"/>
      <c r="C79" s="326"/>
      <c r="D79" s="326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1"/>
        <v>5</v>
      </c>
      <c r="B80" s="362"/>
      <c r="C80" s="326"/>
      <c r="D80" s="326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1"/>
        <v>6</v>
      </c>
      <c r="B81" s="362"/>
      <c r="C81" s="326"/>
      <c r="D81" s="326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1"/>
        <v>7</v>
      </c>
      <c r="B82" s="362"/>
      <c r="C82" s="326"/>
      <c r="D82" s="326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6" thickBot="1">
      <c r="A83" s="374" t="s">
        <v>484</v>
      </c>
      <c r="B83" s="374"/>
      <c r="C83" s="374"/>
      <c r="D83" s="374"/>
      <c r="E83" s="374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75" t="s">
        <v>111</v>
      </c>
      <c r="B84" s="376"/>
      <c r="C84" s="366" t="s">
        <v>52</v>
      </c>
      <c r="D84" s="366"/>
      <c r="E84" s="366" t="s">
        <v>53</v>
      </c>
      <c r="F84" s="366"/>
      <c r="G84" s="366"/>
      <c r="H84" s="366"/>
      <c r="I84" s="366"/>
      <c r="J84" s="366"/>
      <c r="K84" s="366" t="s">
        <v>54</v>
      </c>
      <c r="L84" s="366"/>
      <c r="M84" s="366"/>
      <c r="N84" s="366"/>
      <c r="O84" s="366"/>
      <c r="P84" s="366"/>
      <c r="Q84" s="366"/>
      <c r="R84" s="366"/>
      <c r="S84" s="366"/>
      <c r="T84" s="366" t="s">
        <v>55</v>
      </c>
      <c r="U84" s="366"/>
      <c r="V84" s="366" t="s">
        <v>56</v>
      </c>
      <c r="W84" s="366"/>
      <c r="X84" s="366"/>
      <c r="Y84" s="366" t="s">
        <v>51</v>
      </c>
      <c r="Z84" s="366"/>
      <c r="AA84" s="366"/>
      <c r="AB84" s="366"/>
      <c r="AC84" s="366"/>
      <c r="AD84" s="367"/>
      <c r="AF84" s="50"/>
    </row>
    <row r="85" spans="1:32" ht="30.75" customHeight="1">
      <c r="A85" s="368">
        <v>1</v>
      </c>
      <c r="B85" s="369"/>
      <c r="C85" s="370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1"/>
      <c r="W85" s="371"/>
      <c r="X85" s="371"/>
      <c r="Y85" s="372"/>
      <c r="Z85" s="372"/>
      <c r="AA85" s="372"/>
      <c r="AB85" s="372"/>
      <c r="AC85" s="372"/>
      <c r="AD85" s="373"/>
      <c r="AF85" s="50"/>
    </row>
    <row r="86" spans="1:32" ht="30.75" customHeight="1">
      <c r="A86" s="361">
        <v>2</v>
      </c>
      <c r="B86" s="362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4"/>
      <c r="U86" s="364"/>
      <c r="V86" s="365"/>
      <c r="W86" s="365"/>
      <c r="X86" s="365"/>
      <c r="Y86" s="354"/>
      <c r="Z86" s="354"/>
      <c r="AA86" s="354"/>
      <c r="AB86" s="354"/>
      <c r="AC86" s="354"/>
      <c r="AD86" s="355"/>
      <c r="AF86" s="50"/>
    </row>
    <row r="87" spans="1:32" ht="30.75" customHeight="1" thickBot="1">
      <c r="A87" s="356">
        <v>3</v>
      </c>
      <c r="B87" s="357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9"/>
      <c r="Z87" s="359"/>
      <c r="AA87" s="359"/>
      <c r="AB87" s="359"/>
      <c r="AC87" s="359"/>
      <c r="AD87" s="360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3F5E-F481-4FB9-A88E-338890A99AC1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485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340" t="s">
        <v>17</v>
      </c>
      <c r="L5" s="340" t="s">
        <v>18</v>
      </c>
      <c r="M5" s="340" t="s">
        <v>19</v>
      </c>
      <c r="N5" s="34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L6+4797+2971+5466+4155+4741+2184</f>
        <v>24314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0.40740740740740738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135</v>
      </c>
      <c r="E7" s="53" t="s">
        <v>293</v>
      </c>
      <c r="F7" s="12" t="s">
        <v>136</v>
      </c>
      <c r="G7" s="12">
        <v>4</v>
      </c>
      <c r="H7" s="13">
        <v>24</v>
      </c>
      <c r="I7" s="31">
        <v>8000</v>
      </c>
      <c r="J7" s="14">
        <v>9368</v>
      </c>
      <c r="K7" s="15">
        <f>L7+9368</f>
        <v>9368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0.40740740740740738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169</v>
      </c>
      <c r="F8" s="30" t="s">
        <v>152</v>
      </c>
      <c r="G8" s="33">
        <v>1</v>
      </c>
      <c r="H8" s="35">
        <v>24</v>
      </c>
      <c r="I8" s="7">
        <v>8000</v>
      </c>
      <c r="J8" s="5">
        <v>5006</v>
      </c>
      <c r="K8" s="15">
        <f>L8+1745+5257+889+4537</f>
        <v>17434</v>
      </c>
      <c r="L8" s="15">
        <f>2298+2708</f>
        <v>5006</v>
      </c>
      <c r="M8" s="15">
        <f t="shared" si="0"/>
        <v>5006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0.40740740740740738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467</v>
      </c>
      <c r="F9" s="30" t="s">
        <v>122</v>
      </c>
      <c r="G9" s="33">
        <v>2</v>
      </c>
      <c r="H9" s="35">
        <v>24</v>
      </c>
      <c r="I9" s="7">
        <v>15000</v>
      </c>
      <c r="J9" s="5">
        <v>10044</v>
      </c>
      <c r="K9" s="15">
        <f>L9+5762+10146</f>
        <v>25952</v>
      </c>
      <c r="L9" s="15">
        <f>2431*2+2591*2</f>
        <v>10044</v>
      </c>
      <c r="M9" s="15">
        <f t="shared" si="0"/>
        <v>10044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0.40740740740740738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167</v>
      </c>
      <c r="E10" s="53" t="s">
        <v>486</v>
      </c>
      <c r="F10" s="30" t="s">
        <v>130</v>
      </c>
      <c r="G10" s="33">
        <v>1</v>
      </c>
      <c r="H10" s="35">
        <v>24</v>
      </c>
      <c r="I10" s="7">
        <v>300</v>
      </c>
      <c r="J10" s="14">
        <v>330</v>
      </c>
      <c r="K10" s="15">
        <f>L10</f>
        <v>330</v>
      </c>
      <c r="L10" s="15">
        <f>330</f>
        <v>330</v>
      </c>
      <c r="M10" s="15">
        <f t="shared" ref="M10" si="9">L10-N10</f>
        <v>330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3</v>
      </c>
      <c r="Q10" s="40">
        <f t="shared" ref="Q10" si="12">SUM(R10:AA10)</f>
        <v>21</v>
      </c>
      <c r="R10" s="7"/>
      <c r="S10" s="6"/>
      <c r="T10" s="16"/>
      <c r="U10" s="16"/>
      <c r="V10" s="17"/>
      <c r="W10" s="5">
        <v>21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0.125</v>
      </c>
      <c r="AD10" s="10">
        <f t="shared" ref="AD10" si="15">AC10*AB10*(1-O10)</f>
        <v>0.125</v>
      </c>
      <c r="AE10" s="36">
        <f t="shared" si="7"/>
        <v>0.40740740740740738</v>
      </c>
      <c r="AF10" s="84">
        <f t="shared" ref="AF10" si="16">A10</f>
        <v>5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256</v>
      </c>
      <c r="E11" s="53" t="s">
        <v>487</v>
      </c>
      <c r="F11" s="30" t="s">
        <v>130</v>
      </c>
      <c r="G11" s="33">
        <v>1</v>
      </c>
      <c r="H11" s="35">
        <v>24</v>
      </c>
      <c r="I11" s="7">
        <v>300</v>
      </c>
      <c r="J11" s="14">
        <v>400</v>
      </c>
      <c r="K11" s="15">
        <f>L11</f>
        <v>400</v>
      </c>
      <c r="L11" s="15">
        <v>400</v>
      </c>
      <c r="M11" s="15">
        <f t="shared" ref="M11" si="17">L11-N11</f>
        <v>400</v>
      </c>
      <c r="N11" s="15">
        <v>0</v>
      </c>
      <c r="O11" s="58">
        <f t="shared" ref="O11" si="18">IF(L11=0,"0",N11/L11)</f>
        <v>0</v>
      </c>
      <c r="P11" s="39">
        <f t="shared" ref="P11" si="19">IF(L11=0,"0",(24-Q11))</f>
        <v>3</v>
      </c>
      <c r="Q11" s="40">
        <f t="shared" ref="Q11" si="20">SUM(R11:AA11)</f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ref="AB11" si="21">IF(J11=0,"0",(L11/J11))</f>
        <v>1</v>
      </c>
      <c r="AC11" s="9">
        <f t="shared" ref="AC11" si="22">IF(P11=0,"0",(P11/24))</f>
        <v>0.125</v>
      </c>
      <c r="AD11" s="10">
        <f t="shared" ref="AD11" si="23">AC11*AB11*(1-O11)</f>
        <v>0.125</v>
      </c>
      <c r="AE11" s="36">
        <f t="shared" si="7"/>
        <v>0.40740740740740738</v>
      </c>
      <c r="AF11" s="84">
        <f t="shared" ref="AF11" si="24">A11</f>
        <v>5</v>
      </c>
    </row>
    <row r="12" spans="1:32" ht="27" customHeight="1">
      <c r="A12" s="96">
        <v>6</v>
      </c>
      <c r="B12" s="11" t="s">
        <v>57</v>
      </c>
      <c r="C12" s="11" t="s">
        <v>121</v>
      </c>
      <c r="D12" s="52"/>
      <c r="E12" s="53" t="s">
        <v>429</v>
      </c>
      <c r="F12" s="30" t="s">
        <v>137</v>
      </c>
      <c r="G12" s="33">
        <v>1</v>
      </c>
      <c r="H12" s="35">
        <v>24</v>
      </c>
      <c r="I12" s="7">
        <v>10000</v>
      </c>
      <c r="J12" s="14">
        <v>2057</v>
      </c>
      <c r="K12" s="15">
        <f>L12+4460+5359</f>
        <v>11876</v>
      </c>
      <c r="L12" s="15">
        <v>2057</v>
      </c>
      <c r="M12" s="15">
        <f t="shared" si="0"/>
        <v>2057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/>
      <c r="W12" s="5">
        <v>14</v>
      </c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6">
        <f t="shared" si="7"/>
        <v>0.40740740740740738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269</v>
      </c>
      <c r="F13" s="30" t="s">
        <v>152</v>
      </c>
      <c r="G13" s="12">
        <v>1</v>
      </c>
      <c r="H13" s="13">
        <v>22</v>
      </c>
      <c r="I13" s="31">
        <v>90000</v>
      </c>
      <c r="J13" s="5">
        <v>5033</v>
      </c>
      <c r="K13" s="15">
        <f>L13+3980+4963+4857+4991+5052+5074+5369+4402+4760+5003+4109+5018+5406+4902+5041+5019</f>
        <v>82979</v>
      </c>
      <c r="L13" s="15">
        <f>2527+2506</f>
        <v>5033</v>
      </c>
      <c r="M13" s="15">
        <f t="shared" si="0"/>
        <v>5033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0.40740740740740738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118</v>
      </c>
      <c r="D14" s="52" t="s">
        <v>135</v>
      </c>
      <c r="E14" s="53" t="s">
        <v>335</v>
      </c>
      <c r="F14" s="30" t="s">
        <v>130</v>
      </c>
      <c r="G14" s="12">
        <v>1</v>
      </c>
      <c r="H14" s="13">
        <v>24</v>
      </c>
      <c r="I14" s="31">
        <v>300</v>
      </c>
      <c r="J14" s="14">
        <v>350</v>
      </c>
      <c r="K14" s="15">
        <f>L14</f>
        <v>350</v>
      </c>
      <c r="L14" s="15">
        <v>350</v>
      </c>
      <c r="M14" s="15">
        <f t="shared" ref="M14" si="25">L14-N14</f>
        <v>350</v>
      </c>
      <c r="N14" s="15">
        <v>0</v>
      </c>
      <c r="O14" s="58">
        <f t="shared" ref="O14" si="26">IF(L14=0,"0",N14/L14)</f>
        <v>0</v>
      </c>
      <c r="P14" s="39">
        <f t="shared" ref="P14" si="27">IF(L14=0,"0",(24-Q14))</f>
        <v>3</v>
      </c>
      <c r="Q14" s="40">
        <f t="shared" ref="Q14" si="28">SUM(R14:AA14)</f>
        <v>21</v>
      </c>
      <c r="R14" s="7"/>
      <c r="S14" s="6"/>
      <c r="T14" s="16"/>
      <c r="U14" s="16"/>
      <c r="V14" s="17"/>
      <c r="W14" s="5">
        <v>21</v>
      </c>
      <c r="X14" s="16"/>
      <c r="Y14" s="16"/>
      <c r="Z14" s="16"/>
      <c r="AA14" s="18"/>
      <c r="AB14" s="8">
        <f t="shared" ref="AB14" si="29">IF(J14=0,"0",(L14/J14))</f>
        <v>1</v>
      </c>
      <c r="AC14" s="9">
        <f t="shared" ref="AC14" si="30">IF(P14=0,"0",(P14/24))</f>
        <v>0.125</v>
      </c>
      <c r="AD14" s="10">
        <f>AC14*AB14*(1-O14)</f>
        <v>0.125</v>
      </c>
      <c r="AE14" s="36">
        <f t="shared" si="7"/>
        <v>0.40740740740740738</v>
      </c>
      <c r="AF14" s="84">
        <f t="shared" ref="AF14" si="31">A14</f>
        <v>8</v>
      </c>
    </row>
    <row r="15" spans="1:32" ht="27" customHeight="1">
      <c r="A15" s="96">
        <v>8</v>
      </c>
      <c r="B15" s="11" t="s">
        <v>57</v>
      </c>
      <c r="C15" s="34" t="s">
        <v>118</v>
      </c>
      <c r="D15" s="52" t="s">
        <v>115</v>
      </c>
      <c r="E15" s="53" t="s">
        <v>488</v>
      </c>
      <c r="F15" s="30" t="s">
        <v>130</v>
      </c>
      <c r="G15" s="12">
        <v>1</v>
      </c>
      <c r="H15" s="13">
        <v>24</v>
      </c>
      <c r="I15" s="31">
        <v>300</v>
      </c>
      <c r="J15" s="14">
        <v>400</v>
      </c>
      <c r="K15" s="15">
        <f>L15</f>
        <v>400</v>
      </c>
      <c r="L15" s="15">
        <v>400</v>
      </c>
      <c r="M15" s="15">
        <f t="shared" si="0"/>
        <v>400</v>
      </c>
      <c r="N15" s="15">
        <v>0</v>
      </c>
      <c r="O15" s="58">
        <f t="shared" si="1"/>
        <v>0</v>
      </c>
      <c r="P15" s="39">
        <f t="shared" si="2"/>
        <v>3</v>
      </c>
      <c r="Q15" s="40">
        <f t="shared" si="3"/>
        <v>21</v>
      </c>
      <c r="R15" s="7"/>
      <c r="S15" s="6"/>
      <c r="T15" s="16"/>
      <c r="U15" s="16"/>
      <c r="V15" s="17"/>
      <c r="W15" s="5">
        <v>21</v>
      </c>
      <c r="X15" s="16"/>
      <c r="Y15" s="16"/>
      <c r="Z15" s="16"/>
      <c r="AA15" s="18"/>
      <c r="AB15" s="8">
        <f t="shared" si="4"/>
        <v>1</v>
      </c>
      <c r="AC15" s="9">
        <f t="shared" si="5"/>
        <v>0.125</v>
      </c>
      <c r="AD15" s="10">
        <f>AC15*AB15*(1-O15)</f>
        <v>0.125</v>
      </c>
      <c r="AE15" s="36">
        <f t="shared" si="7"/>
        <v>0.40740740740740738</v>
      </c>
      <c r="AF15" s="84">
        <f t="shared" si="8"/>
        <v>8</v>
      </c>
    </row>
    <row r="16" spans="1:32" ht="27" customHeight="1">
      <c r="A16" s="105">
        <v>9</v>
      </c>
      <c r="B16" s="11" t="s">
        <v>465</v>
      </c>
      <c r="C16" s="34" t="s">
        <v>112</v>
      </c>
      <c r="D16" s="52" t="s">
        <v>115</v>
      </c>
      <c r="E16" s="53" t="s">
        <v>444</v>
      </c>
      <c r="F16" s="30" t="s">
        <v>183</v>
      </c>
      <c r="G16" s="33">
        <v>1</v>
      </c>
      <c r="H16" s="35">
        <v>50</v>
      </c>
      <c r="I16" s="7">
        <v>50</v>
      </c>
      <c r="J16" s="5"/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 t="str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0.40740740740740738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121</v>
      </c>
      <c r="D17" s="52" t="s">
        <v>126</v>
      </c>
      <c r="E17" s="53" t="s">
        <v>401</v>
      </c>
      <c r="F17" s="12" t="s">
        <v>144</v>
      </c>
      <c r="G17" s="12">
        <v>1</v>
      </c>
      <c r="H17" s="13">
        <v>24</v>
      </c>
      <c r="I17" s="31">
        <v>6500</v>
      </c>
      <c r="J17" s="14">
        <v>5214</v>
      </c>
      <c r="K17" s="15">
        <f>L17+2059+5272+5214</f>
        <v>12545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0.40740740740740738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119</v>
      </c>
      <c r="D18" s="52" t="s">
        <v>251</v>
      </c>
      <c r="E18" s="53" t="s">
        <v>456</v>
      </c>
      <c r="F18" s="30" t="s">
        <v>152</v>
      </c>
      <c r="G18" s="12">
        <v>1</v>
      </c>
      <c r="H18" s="13">
        <v>24</v>
      </c>
      <c r="I18" s="7">
        <v>12000</v>
      </c>
      <c r="J18" s="14">
        <v>206</v>
      </c>
      <c r="K18" s="15">
        <f>L18</f>
        <v>0</v>
      </c>
      <c r="L18" s="15">
        <f>0</f>
        <v>0</v>
      </c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0.40740740740740738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119</v>
      </c>
      <c r="D19" s="52" t="s">
        <v>409</v>
      </c>
      <c r="E19" s="53" t="s">
        <v>421</v>
      </c>
      <c r="F19" s="30" t="s">
        <v>136</v>
      </c>
      <c r="G19" s="12">
        <v>1</v>
      </c>
      <c r="H19" s="13">
        <v>24</v>
      </c>
      <c r="I19" s="7">
        <v>12000</v>
      </c>
      <c r="J19" s="14">
        <v>2774</v>
      </c>
      <c r="K19" s="15">
        <f>L19+3469+6157</f>
        <v>12400</v>
      </c>
      <c r="L19" s="15">
        <f>2774</f>
        <v>2774</v>
      </c>
      <c r="M19" s="15">
        <f t="shared" si="0"/>
        <v>2774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/>
      <c r="T19" s="16"/>
      <c r="U19" s="16"/>
      <c r="V19" s="17"/>
      <c r="W19" s="5">
        <v>11</v>
      </c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0.40740740740740738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119</v>
      </c>
      <c r="D20" s="52" t="s">
        <v>115</v>
      </c>
      <c r="E20" s="53" t="s">
        <v>447</v>
      </c>
      <c r="F20" s="30" t="s">
        <v>152</v>
      </c>
      <c r="G20" s="33">
        <v>1</v>
      </c>
      <c r="H20" s="35">
        <v>24</v>
      </c>
      <c r="I20" s="7">
        <v>12000</v>
      </c>
      <c r="J20" s="14">
        <v>5644</v>
      </c>
      <c r="K20" s="15">
        <f>L20+1601+4558</f>
        <v>11803</v>
      </c>
      <c r="L20" s="15">
        <f>2815+2829</f>
        <v>5644</v>
      </c>
      <c r="M20" s="15">
        <f t="shared" si="0"/>
        <v>5644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0.40740740740740738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155</v>
      </c>
      <c r="E21" s="53" t="s">
        <v>263</v>
      </c>
      <c r="F21" s="30" t="s">
        <v>180</v>
      </c>
      <c r="G21" s="33">
        <v>1</v>
      </c>
      <c r="H21" s="35">
        <v>24</v>
      </c>
      <c r="I21" s="7">
        <v>40000</v>
      </c>
      <c r="J21" s="14">
        <v>4687</v>
      </c>
      <c r="K21" s="15">
        <f>L21+4203+5242+5070+5530+4390+5642</f>
        <v>34764</v>
      </c>
      <c r="L21" s="15">
        <f>2849+1838</f>
        <v>4687</v>
      </c>
      <c r="M21" s="15">
        <f t="shared" si="0"/>
        <v>4687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0.40740740740740738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414</v>
      </c>
      <c r="F22" s="30" t="s">
        <v>152</v>
      </c>
      <c r="G22" s="12">
        <v>1</v>
      </c>
      <c r="H22" s="13">
        <v>24</v>
      </c>
      <c r="I22" s="7">
        <v>52000</v>
      </c>
      <c r="J22" s="14">
        <v>5401</v>
      </c>
      <c r="K22" s="15">
        <f>L22+2928+5476+5823+3267+3626+5491</f>
        <v>32012</v>
      </c>
      <c r="L22" s="15">
        <f>2898+2503</f>
        <v>5401</v>
      </c>
      <c r="M22" s="15">
        <f t="shared" si="0"/>
        <v>5401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0.40740740740740738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147</v>
      </c>
      <c r="F23" s="12" t="s">
        <v>114</v>
      </c>
      <c r="G23" s="12">
        <v>4</v>
      </c>
      <c r="H23" s="35">
        <v>20</v>
      </c>
      <c r="I23" s="7">
        <v>300000</v>
      </c>
      <c r="J23" s="14">
        <v>4004</v>
      </c>
      <c r="K23" s="15">
        <f>30816+34860+35212+34672+33032+29240+28664+35888+4004</f>
        <v>266388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0.40740740740740738</v>
      </c>
      <c r="AF23" s="84">
        <f t="shared" si="8"/>
        <v>16</v>
      </c>
    </row>
    <row r="24" spans="1:32" ht="31.5" customHeight="1" thickBot="1">
      <c r="A24" s="437" t="s">
        <v>34</v>
      </c>
      <c r="B24" s="438"/>
      <c r="C24" s="438"/>
      <c r="D24" s="438"/>
      <c r="E24" s="438"/>
      <c r="F24" s="438"/>
      <c r="G24" s="438"/>
      <c r="H24" s="439"/>
      <c r="I24" s="22">
        <f t="shared" ref="I24:N24" si="32">SUM(I6:I23)</f>
        <v>586750</v>
      </c>
      <c r="J24" s="19">
        <f t="shared" si="32"/>
        <v>63732</v>
      </c>
      <c r="K24" s="20">
        <f t="shared" si="32"/>
        <v>543315</v>
      </c>
      <c r="L24" s="21">
        <f t="shared" si="32"/>
        <v>42126</v>
      </c>
      <c r="M24" s="20">
        <f t="shared" si="32"/>
        <v>42126</v>
      </c>
      <c r="N24" s="21">
        <f t="shared" si="32"/>
        <v>0</v>
      </c>
      <c r="O24" s="41">
        <f t="shared" si="1"/>
        <v>0</v>
      </c>
      <c r="P24" s="42">
        <f t="shared" ref="P24:AA24" si="33">SUM(P6:P23)</f>
        <v>176</v>
      </c>
      <c r="Q24" s="43">
        <f t="shared" si="33"/>
        <v>256</v>
      </c>
      <c r="R24" s="23">
        <f t="shared" si="33"/>
        <v>0</v>
      </c>
      <c r="S24" s="24">
        <f t="shared" si="33"/>
        <v>27</v>
      </c>
      <c r="T24" s="24">
        <f t="shared" si="33"/>
        <v>0</v>
      </c>
      <c r="U24" s="24">
        <f t="shared" si="33"/>
        <v>0</v>
      </c>
      <c r="V24" s="25">
        <f t="shared" si="33"/>
        <v>24</v>
      </c>
      <c r="W24" s="26">
        <f t="shared" si="33"/>
        <v>205</v>
      </c>
      <c r="X24" s="27">
        <f t="shared" si="33"/>
        <v>0</v>
      </c>
      <c r="Y24" s="27">
        <f t="shared" si="33"/>
        <v>0</v>
      </c>
      <c r="Z24" s="27">
        <f t="shared" si="33"/>
        <v>0</v>
      </c>
      <c r="AA24" s="27">
        <f t="shared" si="33"/>
        <v>0</v>
      </c>
      <c r="AB24" s="28">
        <f>AVERAGE(AB6:AB23)</f>
        <v>0.70588235294117652</v>
      </c>
      <c r="AC24" s="4">
        <f>AVERAGE(AC6:AC23)</f>
        <v>0.40740740740740738</v>
      </c>
      <c r="AD24" s="4">
        <f>AVERAGE(AD6:AD23)</f>
        <v>0.40740740740740738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0" t="s">
        <v>45</v>
      </c>
      <c r="B51" s="440"/>
      <c r="C51" s="440"/>
      <c r="D51" s="440"/>
      <c r="E51" s="440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1" t="s">
        <v>489</v>
      </c>
      <c r="B52" s="442"/>
      <c r="C52" s="442"/>
      <c r="D52" s="442"/>
      <c r="E52" s="442"/>
      <c r="F52" s="442"/>
      <c r="G52" s="442"/>
      <c r="H52" s="442"/>
      <c r="I52" s="442"/>
      <c r="J52" s="442"/>
      <c r="K52" s="442"/>
      <c r="L52" s="442"/>
      <c r="M52" s="443"/>
      <c r="N52" s="444" t="s">
        <v>492</v>
      </c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7" t="s">
        <v>2</v>
      </c>
      <c r="B53" s="448"/>
      <c r="C53" s="339" t="s">
        <v>46</v>
      </c>
      <c r="D53" s="339" t="s">
        <v>47</v>
      </c>
      <c r="E53" s="339" t="s">
        <v>107</v>
      </c>
      <c r="F53" s="449" t="s">
        <v>106</v>
      </c>
      <c r="G53" s="450"/>
      <c r="H53" s="450"/>
      <c r="I53" s="450"/>
      <c r="J53" s="450"/>
      <c r="K53" s="450"/>
      <c r="L53" s="450"/>
      <c r="M53" s="451"/>
      <c r="N53" s="67" t="s">
        <v>110</v>
      </c>
      <c r="O53" s="339" t="s">
        <v>46</v>
      </c>
      <c r="P53" s="449" t="s">
        <v>47</v>
      </c>
      <c r="Q53" s="452"/>
      <c r="R53" s="449" t="s">
        <v>38</v>
      </c>
      <c r="S53" s="450"/>
      <c r="T53" s="450"/>
      <c r="U53" s="452"/>
      <c r="V53" s="449" t="s">
        <v>48</v>
      </c>
      <c r="W53" s="450"/>
      <c r="X53" s="450"/>
      <c r="Y53" s="450"/>
      <c r="Z53" s="450"/>
      <c r="AA53" s="450"/>
      <c r="AB53" s="450"/>
      <c r="AC53" s="450"/>
      <c r="AD53" s="451"/>
    </row>
    <row r="54" spans="1:32" ht="27" customHeight="1">
      <c r="A54" s="430" t="s">
        <v>118</v>
      </c>
      <c r="B54" s="431"/>
      <c r="C54" s="338" t="s">
        <v>170</v>
      </c>
      <c r="D54" s="338" t="s">
        <v>256</v>
      </c>
      <c r="E54" s="335" t="s">
        <v>487</v>
      </c>
      <c r="F54" s="418" t="s">
        <v>133</v>
      </c>
      <c r="G54" s="419"/>
      <c r="H54" s="419"/>
      <c r="I54" s="419"/>
      <c r="J54" s="419"/>
      <c r="K54" s="419"/>
      <c r="L54" s="419"/>
      <c r="M54" s="420"/>
      <c r="N54" s="334" t="s">
        <v>119</v>
      </c>
      <c r="O54" s="332" t="s">
        <v>172</v>
      </c>
      <c r="P54" s="432" t="s">
        <v>135</v>
      </c>
      <c r="Q54" s="433"/>
      <c r="R54" s="432" t="s">
        <v>479</v>
      </c>
      <c r="S54" s="434"/>
      <c r="T54" s="434"/>
      <c r="U54" s="433"/>
      <c r="V54" s="405" t="s">
        <v>480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30" t="s">
        <v>118</v>
      </c>
      <c r="B55" s="431"/>
      <c r="C55" s="338" t="s">
        <v>170</v>
      </c>
      <c r="D55" s="338" t="s">
        <v>167</v>
      </c>
      <c r="E55" s="335" t="s">
        <v>486</v>
      </c>
      <c r="F55" s="418" t="s">
        <v>133</v>
      </c>
      <c r="G55" s="419"/>
      <c r="H55" s="419"/>
      <c r="I55" s="419"/>
      <c r="J55" s="419"/>
      <c r="K55" s="419"/>
      <c r="L55" s="419"/>
      <c r="M55" s="420"/>
      <c r="N55" s="334" t="s">
        <v>119</v>
      </c>
      <c r="O55" s="332" t="s">
        <v>247</v>
      </c>
      <c r="P55" s="432" t="s">
        <v>251</v>
      </c>
      <c r="Q55" s="433"/>
      <c r="R55" s="432" t="s">
        <v>456</v>
      </c>
      <c r="S55" s="434"/>
      <c r="T55" s="434"/>
      <c r="U55" s="433"/>
      <c r="V55" s="405" t="s">
        <v>129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16" t="s">
        <v>119</v>
      </c>
      <c r="B56" s="417"/>
      <c r="C56" s="335" t="s">
        <v>247</v>
      </c>
      <c r="D56" s="335" t="s">
        <v>251</v>
      </c>
      <c r="E56" s="335" t="s">
        <v>456</v>
      </c>
      <c r="F56" s="418" t="s">
        <v>490</v>
      </c>
      <c r="G56" s="419"/>
      <c r="H56" s="419"/>
      <c r="I56" s="419"/>
      <c r="J56" s="419"/>
      <c r="K56" s="419"/>
      <c r="L56" s="419"/>
      <c r="M56" s="420"/>
      <c r="N56" s="334" t="s">
        <v>118</v>
      </c>
      <c r="O56" s="332" t="s">
        <v>247</v>
      </c>
      <c r="P56" s="432" t="s">
        <v>115</v>
      </c>
      <c r="Q56" s="433"/>
      <c r="R56" s="432" t="s">
        <v>493</v>
      </c>
      <c r="S56" s="434"/>
      <c r="T56" s="434"/>
      <c r="U56" s="433"/>
      <c r="V56" s="405" t="s">
        <v>133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30" t="s">
        <v>118</v>
      </c>
      <c r="B57" s="431"/>
      <c r="C57" s="338" t="s">
        <v>141</v>
      </c>
      <c r="D57" s="338" t="s">
        <v>135</v>
      </c>
      <c r="E57" s="335" t="s">
        <v>335</v>
      </c>
      <c r="F57" s="418" t="s">
        <v>133</v>
      </c>
      <c r="G57" s="419"/>
      <c r="H57" s="419"/>
      <c r="I57" s="419"/>
      <c r="J57" s="419"/>
      <c r="K57" s="419"/>
      <c r="L57" s="419"/>
      <c r="M57" s="420"/>
      <c r="N57" s="334" t="s">
        <v>494</v>
      </c>
      <c r="O57" s="332" t="s">
        <v>141</v>
      </c>
      <c r="P57" s="432" t="s">
        <v>495</v>
      </c>
      <c r="Q57" s="433"/>
      <c r="R57" s="432" t="s">
        <v>496</v>
      </c>
      <c r="S57" s="434"/>
      <c r="T57" s="434"/>
      <c r="U57" s="433"/>
      <c r="V57" s="405" t="s">
        <v>133</v>
      </c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30" t="s">
        <v>118</v>
      </c>
      <c r="B58" s="431"/>
      <c r="C58" s="338" t="s">
        <v>141</v>
      </c>
      <c r="D58" s="338" t="s">
        <v>115</v>
      </c>
      <c r="E58" s="335" t="s">
        <v>488</v>
      </c>
      <c r="F58" s="418" t="s">
        <v>133</v>
      </c>
      <c r="G58" s="419"/>
      <c r="H58" s="419"/>
      <c r="I58" s="419"/>
      <c r="J58" s="419"/>
      <c r="K58" s="419"/>
      <c r="L58" s="419"/>
      <c r="M58" s="420"/>
      <c r="N58" s="334" t="s">
        <v>119</v>
      </c>
      <c r="O58" s="332" t="s">
        <v>172</v>
      </c>
      <c r="P58" s="432" t="s">
        <v>135</v>
      </c>
      <c r="Q58" s="433"/>
      <c r="R58" s="432" t="s">
        <v>479</v>
      </c>
      <c r="S58" s="434"/>
      <c r="T58" s="434"/>
      <c r="U58" s="433"/>
      <c r="V58" s="405" t="s">
        <v>480</v>
      </c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16" t="s">
        <v>112</v>
      </c>
      <c r="B59" s="417"/>
      <c r="C59" s="335" t="s">
        <v>140</v>
      </c>
      <c r="D59" s="335" t="s">
        <v>155</v>
      </c>
      <c r="E59" s="335" t="s">
        <v>263</v>
      </c>
      <c r="F59" s="418" t="s">
        <v>491</v>
      </c>
      <c r="G59" s="419"/>
      <c r="H59" s="419"/>
      <c r="I59" s="419"/>
      <c r="J59" s="419"/>
      <c r="K59" s="419"/>
      <c r="L59" s="419"/>
      <c r="M59" s="420"/>
      <c r="N59" s="334"/>
      <c r="O59" s="332"/>
      <c r="P59" s="432"/>
      <c r="Q59" s="433"/>
      <c r="R59" s="432"/>
      <c r="S59" s="434"/>
      <c r="T59" s="434"/>
      <c r="U59" s="433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30"/>
      <c r="B60" s="431"/>
      <c r="C60" s="338"/>
      <c r="D60" s="338"/>
      <c r="E60" s="335"/>
      <c r="F60" s="418"/>
      <c r="G60" s="419"/>
      <c r="H60" s="419"/>
      <c r="I60" s="419"/>
      <c r="J60" s="419"/>
      <c r="K60" s="419"/>
      <c r="L60" s="419"/>
      <c r="M60" s="420"/>
      <c r="N60" s="334"/>
      <c r="O60" s="332"/>
      <c r="P60" s="432"/>
      <c r="Q60" s="433"/>
      <c r="R60" s="432"/>
      <c r="S60" s="434"/>
      <c r="T60" s="434"/>
      <c r="U60" s="433"/>
      <c r="V60" s="405"/>
      <c r="W60" s="405"/>
      <c r="X60" s="405"/>
      <c r="Y60" s="405"/>
      <c r="Z60" s="405"/>
      <c r="AA60" s="405"/>
      <c r="AB60" s="405"/>
      <c r="AC60" s="405"/>
      <c r="AD60" s="421"/>
    </row>
    <row r="61" spans="1:32" ht="27" customHeight="1">
      <c r="A61" s="430"/>
      <c r="B61" s="431"/>
      <c r="C61" s="338"/>
      <c r="D61" s="338"/>
      <c r="E61" s="335"/>
      <c r="F61" s="418"/>
      <c r="G61" s="419"/>
      <c r="H61" s="419"/>
      <c r="I61" s="419"/>
      <c r="J61" s="419"/>
      <c r="K61" s="419"/>
      <c r="L61" s="419"/>
      <c r="M61" s="420"/>
      <c r="N61" s="334"/>
      <c r="O61" s="332"/>
      <c r="P61" s="432"/>
      <c r="Q61" s="433"/>
      <c r="R61" s="417"/>
      <c r="S61" s="417"/>
      <c r="T61" s="417"/>
      <c r="U61" s="417"/>
      <c r="V61" s="405"/>
      <c r="W61" s="405"/>
      <c r="X61" s="405"/>
      <c r="Y61" s="405"/>
      <c r="Z61" s="405"/>
      <c r="AA61" s="405"/>
      <c r="AB61" s="405"/>
      <c r="AC61" s="405"/>
      <c r="AD61" s="421"/>
    </row>
    <row r="62" spans="1:32" ht="27" customHeight="1">
      <c r="A62" s="416"/>
      <c r="B62" s="417"/>
      <c r="C62" s="335"/>
      <c r="D62" s="335"/>
      <c r="E62" s="335"/>
      <c r="F62" s="418"/>
      <c r="G62" s="419"/>
      <c r="H62" s="419"/>
      <c r="I62" s="419"/>
      <c r="J62" s="419"/>
      <c r="K62" s="419"/>
      <c r="L62" s="419"/>
      <c r="M62" s="420"/>
      <c r="N62" s="334"/>
      <c r="O62" s="332"/>
      <c r="P62" s="417"/>
      <c r="Q62" s="417"/>
      <c r="R62" s="417"/>
      <c r="S62" s="417"/>
      <c r="T62" s="417"/>
      <c r="U62" s="417"/>
      <c r="V62" s="405"/>
      <c r="W62" s="405"/>
      <c r="X62" s="405"/>
      <c r="Y62" s="405"/>
      <c r="Z62" s="405"/>
      <c r="AA62" s="405"/>
      <c r="AB62" s="405"/>
      <c r="AC62" s="405"/>
      <c r="AD62" s="421"/>
      <c r="AF62" s="84">
        <f>8*3000</f>
        <v>24000</v>
      </c>
    </row>
    <row r="63" spans="1:32" ht="27" customHeight="1" thickBot="1">
      <c r="A63" s="422"/>
      <c r="B63" s="423"/>
      <c r="C63" s="336"/>
      <c r="D63" s="337"/>
      <c r="E63" s="337"/>
      <c r="F63" s="424"/>
      <c r="G63" s="425"/>
      <c r="H63" s="425"/>
      <c r="I63" s="425"/>
      <c r="J63" s="425"/>
      <c r="K63" s="425"/>
      <c r="L63" s="425"/>
      <c r="M63" s="426"/>
      <c r="N63" s="111"/>
      <c r="O63" s="103"/>
      <c r="P63" s="427"/>
      <c r="Q63" s="427"/>
      <c r="R63" s="427"/>
      <c r="S63" s="427"/>
      <c r="T63" s="427"/>
      <c r="U63" s="427"/>
      <c r="V63" s="428"/>
      <c r="W63" s="428"/>
      <c r="X63" s="428"/>
      <c r="Y63" s="428"/>
      <c r="Z63" s="428"/>
      <c r="AA63" s="428"/>
      <c r="AB63" s="428"/>
      <c r="AC63" s="428"/>
      <c r="AD63" s="429"/>
      <c r="AF63" s="84">
        <f>16*3000</f>
        <v>48000</v>
      </c>
    </row>
    <row r="64" spans="1:32" ht="27.75" thickBot="1">
      <c r="A64" s="414" t="s">
        <v>497</v>
      </c>
      <c r="B64" s="414"/>
      <c r="C64" s="414"/>
      <c r="D64" s="414"/>
      <c r="E64" s="414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15" t="s">
        <v>111</v>
      </c>
      <c r="B65" s="412"/>
      <c r="C65" s="333" t="s">
        <v>2</v>
      </c>
      <c r="D65" s="333" t="s">
        <v>37</v>
      </c>
      <c r="E65" s="333" t="s">
        <v>3</v>
      </c>
      <c r="F65" s="412" t="s">
        <v>109</v>
      </c>
      <c r="G65" s="412"/>
      <c r="H65" s="412"/>
      <c r="I65" s="412"/>
      <c r="J65" s="412"/>
      <c r="K65" s="412" t="s">
        <v>39</v>
      </c>
      <c r="L65" s="412"/>
      <c r="M65" s="333" t="s">
        <v>40</v>
      </c>
      <c r="N65" s="412" t="s">
        <v>41</v>
      </c>
      <c r="O65" s="412"/>
      <c r="P65" s="409" t="s">
        <v>42</v>
      </c>
      <c r="Q65" s="411"/>
      <c r="R65" s="409" t="s">
        <v>43</v>
      </c>
      <c r="S65" s="410"/>
      <c r="T65" s="410"/>
      <c r="U65" s="410"/>
      <c r="V65" s="410"/>
      <c r="W65" s="410"/>
      <c r="X65" s="410"/>
      <c r="Y65" s="410"/>
      <c r="Z65" s="410"/>
      <c r="AA65" s="411"/>
      <c r="AB65" s="412" t="s">
        <v>44</v>
      </c>
      <c r="AC65" s="412"/>
      <c r="AD65" s="413"/>
      <c r="AF65" s="84">
        <f>SUM(AF62:AF64)</f>
        <v>96000</v>
      </c>
    </row>
    <row r="66" spans="1:32" ht="25.5" customHeight="1">
      <c r="A66" s="400">
        <v>1</v>
      </c>
      <c r="B66" s="401"/>
      <c r="C66" s="104" t="s">
        <v>118</v>
      </c>
      <c r="D66" s="328"/>
      <c r="E66" s="331" t="s">
        <v>167</v>
      </c>
      <c r="F66" s="406" t="s">
        <v>498</v>
      </c>
      <c r="G66" s="407"/>
      <c r="H66" s="407"/>
      <c r="I66" s="407"/>
      <c r="J66" s="408"/>
      <c r="K66" s="394" t="s">
        <v>130</v>
      </c>
      <c r="L66" s="394"/>
      <c r="M66" s="51" t="s">
        <v>151</v>
      </c>
      <c r="N66" s="403" t="s">
        <v>141</v>
      </c>
      <c r="O66" s="403"/>
      <c r="P66" s="404">
        <v>200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2</v>
      </c>
      <c r="B67" s="401"/>
      <c r="C67" s="104" t="s">
        <v>118</v>
      </c>
      <c r="D67" s="328"/>
      <c r="E67" s="331" t="s">
        <v>251</v>
      </c>
      <c r="F67" s="406" t="s">
        <v>456</v>
      </c>
      <c r="G67" s="407"/>
      <c r="H67" s="407"/>
      <c r="I67" s="407"/>
      <c r="J67" s="408"/>
      <c r="K67" s="394" t="s">
        <v>152</v>
      </c>
      <c r="L67" s="394"/>
      <c r="M67" s="51" t="s">
        <v>151</v>
      </c>
      <c r="N67" s="403" t="s">
        <v>247</v>
      </c>
      <c r="O67" s="403"/>
      <c r="P67" s="404">
        <v>10</v>
      </c>
      <c r="Q67" s="404"/>
      <c r="R67" s="405" t="s">
        <v>499</v>
      </c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3</v>
      </c>
      <c r="B68" s="401"/>
      <c r="C68" s="104"/>
      <c r="D68" s="328"/>
      <c r="E68" s="331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04"/>
      <c r="Q68" s="404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4</v>
      </c>
      <c r="B69" s="401"/>
      <c r="C69" s="104"/>
      <c r="D69" s="328"/>
      <c r="E69" s="331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75"/>
      <c r="Q69" s="475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5</v>
      </c>
      <c r="B70" s="401"/>
      <c r="C70" s="104"/>
      <c r="D70" s="328"/>
      <c r="E70" s="331"/>
      <c r="F70" s="406"/>
      <c r="G70" s="407"/>
      <c r="H70" s="407"/>
      <c r="I70" s="407"/>
      <c r="J70" s="408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6</v>
      </c>
      <c r="B71" s="401"/>
      <c r="C71" s="104"/>
      <c r="D71" s="328"/>
      <c r="E71" s="331"/>
      <c r="F71" s="406"/>
      <c r="G71" s="407"/>
      <c r="H71" s="407"/>
      <c r="I71" s="407"/>
      <c r="J71" s="408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7</v>
      </c>
      <c r="B72" s="401"/>
      <c r="C72" s="104"/>
      <c r="D72" s="328"/>
      <c r="E72" s="331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8</v>
      </c>
      <c r="B73" s="401"/>
      <c r="C73" s="104"/>
      <c r="D73" s="328"/>
      <c r="E73" s="331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5.5" customHeight="1">
      <c r="A74" s="400">
        <v>9</v>
      </c>
      <c r="B74" s="401"/>
      <c r="C74" s="104"/>
      <c r="D74" s="328"/>
      <c r="E74" s="331"/>
      <c r="F74" s="402"/>
      <c r="G74" s="394"/>
      <c r="H74" s="394"/>
      <c r="I74" s="394"/>
      <c r="J74" s="394"/>
      <c r="K74" s="394"/>
      <c r="L74" s="394"/>
      <c r="M74" s="51"/>
      <c r="N74" s="403"/>
      <c r="O74" s="403"/>
      <c r="P74" s="404"/>
      <c r="Q74" s="404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394"/>
      <c r="AC74" s="394"/>
      <c r="AD74" s="395"/>
      <c r="AF74" s="50"/>
    </row>
    <row r="75" spans="1:32" ht="25.5" customHeight="1">
      <c r="A75" s="400">
        <v>10</v>
      </c>
      <c r="B75" s="401"/>
      <c r="C75" s="104"/>
      <c r="D75" s="328"/>
      <c r="E75" s="331"/>
      <c r="F75" s="402"/>
      <c r="G75" s="394"/>
      <c r="H75" s="394"/>
      <c r="I75" s="394"/>
      <c r="J75" s="394"/>
      <c r="K75" s="394"/>
      <c r="L75" s="394"/>
      <c r="M75" s="51"/>
      <c r="N75" s="403"/>
      <c r="O75" s="403"/>
      <c r="P75" s="404"/>
      <c r="Q75" s="404"/>
      <c r="R75" s="405"/>
      <c r="S75" s="405"/>
      <c r="T75" s="405"/>
      <c r="U75" s="405"/>
      <c r="V75" s="405"/>
      <c r="W75" s="405"/>
      <c r="X75" s="405"/>
      <c r="Y75" s="405"/>
      <c r="Z75" s="405"/>
      <c r="AA75" s="405"/>
      <c r="AB75" s="394"/>
      <c r="AC75" s="394"/>
      <c r="AD75" s="395"/>
      <c r="AF75" s="50"/>
    </row>
    <row r="76" spans="1:32" ht="26.25" customHeight="1" thickBot="1">
      <c r="A76" s="374" t="s">
        <v>500</v>
      </c>
      <c r="B76" s="374"/>
      <c r="C76" s="374"/>
      <c r="D76" s="374"/>
      <c r="E76" s="374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375" t="s">
        <v>139</v>
      </c>
      <c r="B77" s="376"/>
      <c r="C77" s="330" t="s">
        <v>2</v>
      </c>
      <c r="D77" s="330" t="s">
        <v>37</v>
      </c>
      <c r="E77" s="330" t="s">
        <v>131</v>
      </c>
      <c r="F77" s="376" t="s">
        <v>38</v>
      </c>
      <c r="G77" s="376"/>
      <c r="H77" s="376"/>
      <c r="I77" s="376"/>
      <c r="J77" s="376"/>
      <c r="K77" s="396" t="s">
        <v>58</v>
      </c>
      <c r="L77" s="397"/>
      <c r="M77" s="397"/>
      <c r="N77" s="397"/>
      <c r="O77" s="397"/>
      <c r="P77" s="397"/>
      <c r="Q77" s="397"/>
      <c r="R77" s="397"/>
      <c r="S77" s="398"/>
      <c r="T77" s="376" t="s">
        <v>49</v>
      </c>
      <c r="U77" s="376"/>
      <c r="V77" s="396" t="s">
        <v>50</v>
      </c>
      <c r="W77" s="398"/>
      <c r="X77" s="397" t="s">
        <v>51</v>
      </c>
      <c r="Y77" s="397"/>
      <c r="Z77" s="397"/>
      <c r="AA77" s="397"/>
      <c r="AB77" s="397"/>
      <c r="AC77" s="397"/>
      <c r="AD77" s="399"/>
      <c r="AF77" s="50"/>
    </row>
    <row r="78" spans="1:32" ht="33.75" customHeight="1">
      <c r="A78" s="368">
        <v>1</v>
      </c>
      <c r="B78" s="369"/>
      <c r="C78" s="329" t="s">
        <v>112</v>
      </c>
      <c r="D78" s="329"/>
      <c r="E78" s="65" t="s">
        <v>117</v>
      </c>
      <c r="F78" s="383" t="s">
        <v>116</v>
      </c>
      <c r="G78" s="384"/>
      <c r="H78" s="384"/>
      <c r="I78" s="384"/>
      <c r="J78" s="385"/>
      <c r="K78" s="386" t="s">
        <v>120</v>
      </c>
      <c r="L78" s="387"/>
      <c r="M78" s="387"/>
      <c r="N78" s="387"/>
      <c r="O78" s="387"/>
      <c r="P78" s="387"/>
      <c r="Q78" s="387"/>
      <c r="R78" s="387"/>
      <c r="S78" s="388"/>
      <c r="T78" s="389">
        <v>44118</v>
      </c>
      <c r="U78" s="390"/>
      <c r="V78" s="391"/>
      <c r="W78" s="391"/>
      <c r="X78" s="392"/>
      <c r="Y78" s="392"/>
      <c r="Z78" s="392"/>
      <c r="AA78" s="392"/>
      <c r="AB78" s="392"/>
      <c r="AC78" s="392"/>
      <c r="AD78" s="393"/>
      <c r="AF78" s="50"/>
    </row>
    <row r="79" spans="1:32" ht="30" customHeight="1">
      <c r="A79" s="361">
        <f>A78+1</f>
        <v>2</v>
      </c>
      <c r="B79" s="362"/>
      <c r="C79" s="328"/>
      <c r="D79" s="328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ref="A80:A84" si="34">A79+1</f>
        <v>3</v>
      </c>
      <c r="B80" s="362"/>
      <c r="C80" s="328"/>
      <c r="D80" s="328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34"/>
        <v>4</v>
      </c>
      <c r="B81" s="362"/>
      <c r="C81" s="328"/>
      <c r="D81" s="328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34"/>
        <v>5</v>
      </c>
      <c r="B82" s="362"/>
      <c r="C82" s="328"/>
      <c r="D82" s="328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0" customHeight="1">
      <c r="A83" s="361">
        <f t="shared" si="34"/>
        <v>6</v>
      </c>
      <c r="B83" s="362"/>
      <c r="C83" s="328"/>
      <c r="D83" s="328"/>
      <c r="E83" s="32"/>
      <c r="F83" s="362"/>
      <c r="G83" s="362"/>
      <c r="H83" s="362"/>
      <c r="I83" s="362"/>
      <c r="J83" s="362"/>
      <c r="K83" s="377"/>
      <c r="L83" s="378"/>
      <c r="M83" s="378"/>
      <c r="N83" s="378"/>
      <c r="O83" s="378"/>
      <c r="P83" s="378"/>
      <c r="Q83" s="378"/>
      <c r="R83" s="378"/>
      <c r="S83" s="379"/>
      <c r="T83" s="380"/>
      <c r="U83" s="380"/>
      <c r="V83" s="380"/>
      <c r="W83" s="380"/>
      <c r="X83" s="381"/>
      <c r="Y83" s="381"/>
      <c r="Z83" s="381"/>
      <c r="AA83" s="381"/>
      <c r="AB83" s="381"/>
      <c r="AC83" s="381"/>
      <c r="AD83" s="382"/>
      <c r="AF83" s="50"/>
    </row>
    <row r="84" spans="1:32" ht="30" customHeight="1">
      <c r="A84" s="361">
        <f t="shared" si="34"/>
        <v>7</v>
      </c>
      <c r="B84" s="362"/>
      <c r="C84" s="328"/>
      <c r="D84" s="328"/>
      <c r="E84" s="32"/>
      <c r="F84" s="362"/>
      <c r="G84" s="362"/>
      <c r="H84" s="362"/>
      <c r="I84" s="362"/>
      <c r="J84" s="362"/>
      <c r="K84" s="377"/>
      <c r="L84" s="378"/>
      <c r="M84" s="378"/>
      <c r="N84" s="378"/>
      <c r="O84" s="378"/>
      <c r="P84" s="378"/>
      <c r="Q84" s="378"/>
      <c r="R84" s="378"/>
      <c r="S84" s="379"/>
      <c r="T84" s="380"/>
      <c r="U84" s="380"/>
      <c r="V84" s="380"/>
      <c r="W84" s="380"/>
      <c r="X84" s="381"/>
      <c r="Y84" s="381"/>
      <c r="Z84" s="381"/>
      <c r="AA84" s="381"/>
      <c r="AB84" s="381"/>
      <c r="AC84" s="381"/>
      <c r="AD84" s="382"/>
      <c r="AF84" s="50"/>
    </row>
    <row r="85" spans="1:32" ht="36" thickBot="1">
      <c r="A85" s="374" t="s">
        <v>501</v>
      </c>
      <c r="B85" s="374"/>
      <c r="C85" s="374"/>
      <c r="D85" s="374"/>
      <c r="E85" s="374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375" t="s">
        <v>111</v>
      </c>
      <c r="B86" s="376"/>
      <c r="C86" s="366" t="s">
        <v>52</v>
      </c>
      <c r="D86" s="366"/>
      <c r="E86" s="366" t="s">
        <v>53</v>
      </c>
      <c r="F86" s="366"/>
      <c r="G86" s="366"/>
      <c r="H86" s="366"/>
      <c r="I86" s="366"/>
      <c r="J86" s="366"/>
      <c r="K86" s="366" t="s">
        <v>54</v>
      </c>
      <c r="L86" s="366"/>
      <c r="M86" s="366"/>
      <c r="N86" s="366"/>
      <c r="O86" s="366"/>
      <c r="P86" s="366"/>
      <c r="Q86" s="366"/>
      <c r="R86" s="366"/>
      <c r="S86" s="366"/>
      <c r="T86" s="366" t="s">
        <v>55</v>
      </c>
      <c r="U86" s="366"/>
      <c r="V86" s="366" t="s">
        <v>56</v>
      </c>
      <c r="W86" s="366"/>
      <c r="X86" s="366"/>
      <c r="Y86" s="366" t="s">
        <v>51</v>
      </c>
      <c r="Z86" s="366"/>
      <c r="AA86" s="366"/>
      <c r="AB86" s="366"/>
      <c r="AC86" s="366"/>
      <c r="AD86" s="367"/>
      <c r="AF86" s="50"/>
    </row>
    <row r="87" spans="1:32" ht="30.75" customHeight="1">
      <c r="A87" s="368">
        <v>1</v>
      </c>
      <c r="B87" s="369"/>
      <c r="C87" s="370"/>
      <c r="D87" s="370"/>
      <c r="E87" s="370"/>
      <c r="F87" s="370"/>
      <c r="G87" s="370"/>
      <c r="H87" s="370"/>
      <c r="I87" s="370"/>
      <c r="J87" s="370"/>
      <c r="K87" s="370"/>
      <c r="L87" s="370"/>
      <c r="M87" s="370"/>
      <c r="N87" s="370"/>
      <c r="O87" s="370"/>
      <c r="P87" s="370"/>
      <c r="Q87" s="370"/>
      <c r="R87" s="370"/>
      <c r="S87" s="370"/>
      <c r="T87" s="370"/>
      <c r="U87" s="370"/>
      <c r="V87" s="371"/>
      <c r="W87" s="371"/>
      <c r="X87" s="371"/>
      <c r="Y87" s="372"/>
      <c r="Z87" s="372"/>
      <c r="AA87" s="372"/>
      <c r="AB87" s="372"/>
      <c r="AC87" s="372"/>
      <c r="AD87" s="373"/>
      <c r="AF87" s="50"/>
    </row>
    <row r="88" spans="1:32" ht="30.75" customHeight="1">
      <c r="A88" s="361">
        <v>2</v>
      </c>
      <c r="B88" s="362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4"/>
      <c r="U88" s="364"/>
      <c r="V88" s="365"/>
      <c r="W88" s="365"/>
      <c r="X88" s="365"/>
      <c r="Y88" s="354"/>
      <c r="Z88" s="354"/>
      <c r="AA88" s="354"/>
      <c r="AB88" s="354"/>
      <c r="AC88" s="354"/>
      <c r="AD88" s="355"/>
      <c r="AF88" s="50"/>
    </row>
    <row r="89" spans="1:32" ht="30.75" customHeight="1" thickBot="1">
      <c r="A89" s="356">
        <v>3</v>
      </c>
      <c r="B89" s="357"/>
      <c r="C89" s="358"/>
      <c r="D89" s="358"/>
      <c r="E89" s="358"/>
      <c r="F89" s="358"/>
      <c r="G89" s="358"/>
      <c r="H89" s="358"/>
      <c r="I89" s="358"/>
      <c r="J89" s="358"/>
      <c r="K89" s="358"/>
      <c r="L89" s="358"/>
      <c r="M89" s="358"/>
      <c r="N89" s="358"/>
      <c r="O89" s="358"/>
      <c r="P89" s="358"/>
      <c r="Q89" s="358"/>
      <c r="R89" s="358"/>
      <c r="S89" s="358"/>
      <c r="T89" s="358"/>
      <c r="U89" s="358"/>
      <c r="V89" s="358"/>
      <c r="W89" s="358"/>
      <c r="X89" s="358"/>
      <c r="Y89" s="359"/>
      <c r="Z89" s="359"/>
      <c r="AA89" s="359"/>
      <c r="AB89" s="359"/>
      <c r="AC89" s="359"/>
      <c r="AD89" s="360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71A4-48F3-4CFB-BAA4-EAAF82E728B0}">
  <dimension ref="A1:AF88"/>
  <sheetViews>
    <sheetView tabSelected="1" view="pageBreakPreview" zoomScale="70" zoomScaleNormal="72" zoomScaleSheetLayoutView="70" workbookViewId="0">
      <selection activeCell="F82" sqref="F82:J8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63" t="s">
        <v>502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3"/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4"/>
      <c r="B3" s="464"/>
      <c r="C3" s="464"/>
      <c r="D3" s="464"/>
      <c r="E3" s="464"/>
      <c r="F3" s="464"/>
      <c r="G3" s="464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5" t="s">
        <v>0</v>
      </c>
      <c r="B4" s="467" t="s">
        <v>1</v>
      </c>
      <c r="C4" s="467" t="s">
        <v>2</v>
      </c>
      <c r="D4" s="470" t="s">
        <v>3</v>
      </c>
      <c r="E4" s="472" t="s">
        <v>4</v>
      </c>
      <c r="F4" s="470" t="s">
        <v>5</v>
      </c>
      <c r="G4" s="467" t="s">
        <v>6</v>
      </c>
      <c r="H4" s="473" t="s">
        <v>7</v>
      </c>
      <c r="I4" s="453" t="s">
        <v>8</v>
      </c>
      <c r="J4" s="454"/>
      <c r="K4" s="454"/>
      <c r="L4" s="454"/>
      <c r="M4" s="454"/>
      <c r="N4" s="454"/>
      <c r="O4" s="455"/>
      <c r="P4" s="456" t="s">
        <v>9</v>
      </c>
      <c r="Q4" s="457"/>
      <c r="R4" s="458" t="s">
        <v>10</v>
      </c>
      <c r="S4" s="458"/>
      <c r="T4" s="458"/>
      <c r="U4" s="458"/>
      <c r="V4" s="458"/>
      <c r="W4" s="459" t="s">
        <v>11</v>
      </c>
      <c r="X4" s="458"/>
      <c r="Y4" s="458"/>
      <c r="Z4" s="458"/>
      <c r="AA4" s="460"/>
      <c r="AB4" s="461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6"/>
      <c r="B5" s="468"/>
      <c r="C5" s="469"/>
      <c r="D5" s="471"/>
      <c r="E5" s="471"/>
      <c r="F5" s="471"/>
      <c r="G5" s="468"/>
      <c r="H5" s="474"/>
      <c r="I5" s="55" t="s">
        <v>15</v>
      </c>
      <c r="J5" s="56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2"/>
      <c r="AC5" s="436"/>
      <c r="AD5" s="436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135</v>
      </c>
      <c r="E6" s="53" t="s">
        <v>146</v>
      </c>
      <c r="F6" s="30" t="s">
        <v>137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L6+4797+2971+5466+4155+4741+2184</f>
        <v>24314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>$AD$23</f>
        <v>0.45833333333333331</v>
      </c>
      <c r="AF6" s="84">
        <f t="shared" ref="AF6:AF22" si="7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135</v>
      </c>
      <c r="E7" s="53" t="s">
        <v>293</v>
      </c>
      <c r="F7" s="12" t="s">
        <v>136</v>
      </c>
      <c r="G7" s="12">
        <v>4</v>
      </c>
      <c r="H7" s="13">
        <v>24</v>
      </c>
      <c r="I7" s="31">
        <v>8000</v>
      </c>
      <c r="J7" s="14">
        <v>9368</v>
      </c>
      <c r="K7" s="15">
        <f>L7+9368</f>
        <v>9368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>$AD$23</f>
        <v>0.45833333333333331</v>
      </c>
      <c r="AF7" s="84">
        <f t="shared" si="7"/>
        <v>2</v>
      </c>
    </row>
    <row r="8" spans="1:32" ht="27" customHeight="1">
      <c r="A8" s="96">
        <v>3</v>
      </c>
      <c r="B8" s="11" t="s">
        <v>57</v>
      </c>
      <c r="C8" s="34" t="s">
        <v>230</v>
      </c>
      <c r="D8" s="52"/>
      <c r="E8" s="53" t="s">
        <v>229</v>
      </c>
      <c r="F8" s="30" t="s">
        <v>376</v>
      </c>
      <c r="G8" s="33">
        <v>32</v>
      </c>
      <c r="H8" s="35">
        <v>24</v>
      </c>
      <c r="I8" s="7">
        <v>100000</v>
      </c>
      <c r="J8" s="5">
        <v>151456</v>
      </c>
      <c r="K8" s="15">
        <f>L8</f>
        <v>151456</v>
      </c>
      <c r="L8" s="15">
        <f>4733*32</f>
        <v>151456</v>
      </c>
      <c r="M8" s="15">
        <f t="shared" si="0"/>
        <v>151456</v>
      </c>
      <c r="N8" s="15">
        <v>0</v>
      </c>
      <c r="O8" s="58">
        <f t="shared" si="1"/>
        <v>0</v>
      </c>
      <c r="P8" s="39">
        <f t="shared" si="2"/>
        <v>12</v>
      </c>
      <c r="Q8" s="40">
        <f t="shared" si="3"/>
        <v>12</v>
      </c>
      <c r="R8" s="7"/>
      <c r="S8" s="6"/>
      <c r="T8" s="16"/>
      <c r="U8" s="16"/>
      <c r="V8" s="17"/>
      <c r="W8" s="5">
        <v>12</v>
      </c>
      <c r="X8" s="16"/>
      <c r="Y8" s="16"/>
      <c r="Z8" s="16"/>
      <c r="AA8" s="18"/>
      <c r="AB8" s="8">
        <f t="shared" si="4"/>
        <v>1</v>
      </c>
      <c r="AC8" s="9">
        <f t="shared" si="5"/>
        <v>0.5</v>
      </c>
      <c r="AD8" s="10">
        <f t="shared" si="6"/>
        <v>0.5</v>
      </c>
      <c r="AE8" s="36">
        <f>$AD$23</f>
        <v>0.45833333333333331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128</v>
      </c>
      <c r="E9" s="53" t="s">
        <v>493</v>
      </c>
      <c r="F9" s="30" t="s">
        <v>130</v>
      </c>
      <c r="G9" s="33">
        <v>1</v>
      </c>
      <c r="H9" s="35">
        <v>24</v>
      </c>
      <c r="I9" s="7">
        <v>300</v>
      </c>
      <c r="J9" s="5">
        <v>369</v>
      </c>
      <c r="K9" s="15">
        <f>L9</f>
        <v>369</v>
      </c>
      <c r="L9" s="15">
        <v>369</v>
      </c>
      <c r="M9" s="15">
        <f t="shared" si="0"/>
        <v>369</v>
      </c>
      <c r="N9" s="15">
        <v>0</v>
      </c>
      <c r="O9" s="58">
        <f t="shared" si="1"/>
        <v>0</v>
      </c>
      <c r="P9" s="39">
        <f t="shared" si="2"/>
        <v>3</v>
      </c>
      <c r="Q9" s="40">
        <f t="shared" si="3"/>
        <v>21</v>
      </c>
      <c r="R9" s="7"/>
      <c r="S9" s="6"/>
      <c r="T9" s="16"/>
      <c r="U9" s="16"/>
      <c r="V9" s="17"/>
      <c r="W9" s="5">
        <v>21</v>
      </c>
      <c r="X9" s="16"/>
      <c r="Y9" s="16"/>
      <c r="Z9" s="16"/>
      <c r="AA9" s="18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6">
        <f>$AD$23</f>
        <v>0.45833333333333331</v>
      </c>
      <c r="AF9" s="84">
        <f t="shared" si="7"/>
        <v>4</v>
      </c>
    </row>
    <row r="10" spans="1:32" ht="27" customHeight="1">
      <c r="A10" s="96">
        <v>4</v>
      </c>
      <c r="B10" s="11" t="s">
        <v>57</v>
      </c>
      <c r="C10" s="34" t="s">
        <v>112</v>
      </c>
      <c r="D10" s="52" t="s">
        <v>155</v>
      </c>
      <c r="E10" s="53" t="s">
        <v>503</v>
      </c>
      <c r="F10" s="30" t="s">
        <v>504</v>
      </c>
      <c r="G10" s="33">
        <v>1</v>
      </c>
      <c r="H10" s="35">
        <v>24</v>
      </c>
      <c r="I10" s="7">
        <v>300</v>
      </c>
      <c r="J10" s="5">
        <v>597</v>
      </c>
      <c r="K10" s="15">
        <f>L10</f>
        <v>597</v>
      </c>
      <c r="L10" s="15">
        <v>597</v>
      </c>
      <c r="M10" s="15">
        <f t="shared" ref="M10" si="8">L10-N10</f>
        <v>597</v>
      </c>
      <c r="N10" s="15">
        <v>0</v>
      </c>
      <c r="O10" s="58">
        <f t="shared" ref="O10" si="9">IF(L10=0,"0",N10/L10)</f>
        <v>0</v>
      </c>
      <c r="P10" s="39">
        <f t="shared" ref="P10" si="10">IF(L10=0,"0",(24-Q10))</f>
        <v>4</v>
      </c>
      <c r="Q10" s="40">
        <f t="shared" ref="Q10" si="11">SUM(R10:AA10)</f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ref="AB10" si="12">IF(J10=0,"0",(L10/J10))</f>
        <v>1</v>
      </c>
      <c r="AC10" s="9">
        <f t="shared" ref="AC10" si="13">IF(P10=0,"0",(P10/24))</f>
        <v>0.16666666666666666</v>
      </c>
      <c r="AD10" s="10">
        <f t="shared" ref="AD10" si="14">AC10*AB10*(1-O10)</f>
        <v>0.16666666666666666</v>
      </c>
      <c r="AE10" s="36">
        <f>$AD$23</f>
        <v>0.45833333333333331</v>
      </c>
      <c r="AF10" s="84">
        <f t="shared" ref="AF10" si="15">A10</f>
        <v>4</v>
      </c>
    </row>
    <row r="11" spans="1:32" ht="27" customHeight="1">
      <c r="A11" s="96">
        <v>5</v>
      </c>
      <c r="B11" s="11" t="s">
        <v>57</v>
      </c>
      <c r="C11" s="11" t="s">
        <v>119</v>
      </c>
      <c r="D11" s="52" t="s">
        <v>115</v>
      </c>
      <c r="E11" s="53" t="s">
        <v>505</v>
      </c>
      <c r="F11" s="30" t="s">
        <v>504</v>
      </c>
      <c r="G11" s="33">
        <v>4</v>
      </c>
      <c r="H11" s="35">
        <v>24</v>
      </c>
      <c r="I11" s="7">
        <v>40000</v>
      </c>
      <c r="J11" s="14">
        <v>7400</v>
      </c>
      <c r="K11" s="15">
        <f>L11</f>
        <v>7400</v>
      </c>
      <c r="L11" s="15">
        <f>392*4+1458*4</f>
        <v>7400</v>
      </c>
      <c r="M11" s="15">
        <f t="shared" si="0"/>
        <v>7400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6">
        <f>$AD$23</f>
        <v>0.45833333333333331</v>
      </c>
      <c r="AF11" s="84">
        <f t="shared" si="7"/>
        <v>5</v>
      </c>
    </row>
    <row r="12" spans="1:32" ht="27" customHeight="1">
      <c r="A12" s="96">
        <v>6</v>
      </c>
      <c r="B12" s="11" t="s">
        <v>57</v>
      </c>
      <c r="C12" s="11" t="s">
        <v>121</v>
      </c>
      <c r="D12" s="52"/>
      <c r="E12" s="53" t="s">
        <v>429</v>
      </c>
      <c r="F12" s="30" t="s">
        <v>137</v>
      </c>
      <c r="G12" s="33">
        <v>1</v>
      </c>
      <c r="H12" s="35">
        <v>24</v>
      </c>
      <c r="I12" s="7">
        <v>10000</v>
      </c>
      <c r="J12" s="14">
        <v>2057</v>
      </c>
      <c r="K12" s="15">
        <f>L12+4460+5359+2057</f>
        <v>11876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>$AD$23</f>
        <v>0.45833333333333331</v>
      </c>
      <c r="AF12" s="84">
        <f t="shared" si="7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269</v>
      </c>
      <c r="F13" s="30" t="s">
        <v>152</v>
      </c>
      <c r="G13" s="12">
        <v>1</v>
      </c>
      <c r="H13" s="13">
        <v>22</v>
      </c>
      <c r="I13" s="31">
        <v>100000</v>
      </c>
      <c r="J13" s="5">
        <v>5053</v>
      </c>
      <c r="K13" s="15">
        <f>L13+3980+4963+4857+4991+5052+5074+5369+4402+4760+5003+4109+5018+5406+4902+5041+5019+5033</f>
        <v>88032</v>
      </c>
      <c r="L13" s="15">
        <f>2505+2548</f>
        <v>5053</v>
      </c>
      <c r="M13" s="15">
        <f t="shared" si="0"/>
        <v>5053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>$AD$23</f>
        <v>0.45833333333333331</v>
      </c>
      <c r="AF13" s="84">
        <f t="shared" si="7"/>
        <v>7</v>
      </c>
    </row>
    <row r="14" spans="1:32" ht="27" customHeight="1">
      <c r="A14" s="96">
        <v>8</v>
      </c>
      <c r="B14" s="11" t="s">
        <v>57</v>
      </c>
      <c r="C14" s="34" t="s">
        <v>494</v>
      </c>
      <c r="D14" s="52" t="s">
        <v>506</v>
      </c>
      <c r="E14" s="53" t="s">
        <v>507</v>
      </c>
      <c r="F14" s="30" t="s">
        <v>508</v>
      </c>
      <c r="G14" s="12" t="s">
        <v>237</v>
      </c>
      <c r="H14" s="13">
        <v>24</v>
      </c>
      <c r="I14" s="31">
        <v>1000</v>
      </c>
      <c r="J14" s="14">
        <v>3915</v>
      </c>
      <c r="K14" s="15">
        <f>L14</f>
        <v>3915</v>
      </c>
      <c r="L14" s="15">
        <f>1699+2216</f>
        <v>3915</v>
      </c>
      <c r="M14" s="15">
        <f t="shared" si="0"/>
        <v>3915</v>
      </c>
      <c r="N14" s="15">
        <v>0</v>
      </c>
      <c r="O14" s="58">
        <f t="shared" si="1"/>
        <v>0</v>
      </c>
      <c r="P14" s="39">
        <f t="shared" si="2"/>
        <v>21</v>
      </c>
      <c r="Q14" s="40">
        <f t="shared" si="3"/>
        <v>3</v>
      </c>
      <c r="R14" s="7"/>
      <c r="S14" s="6">
        <v>3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0.875</v>
      </c>
      <c r="AD14" s="10">
        <f>AC14*AB14*(1-O14)</f>
        <v>0.875</v>
      </c>
      <c r="AE14" s="36">
        <f>$AD$23</f>
        <v>0.45833333333333331</v>
      </c>
      <c r="AF14" s="84">
        <f t="shared" si="7"/>
        <v>8</v>
      </c>
    </row>
    <row r="15" spans="1:32" ht="27" customHeight="1">
      <c r="A15" s="105">
        <v>9</v>
      </c>
      <c r="B15" s="11" t="s">
        <v>465</v>
      </c>
      <c r="C15" s="34" t="s">
        <v>112</v>
      </c>
      <c r="D15" s="52" t="s">
        <v>115</v>
      </c>
      <c r="E15" s="53" t="s">
        <v>444</v>
      </c>
      <c r="F15" s="30" t="s">
        <v>183</v>
      </c>
      <c r="G15" s="33">
        <v>1</v>
      </c>
      <c r="H15" s="35">
        <v>50</v>
      </c>
      <c r="I15" s="7">
        <v>50</v>
      </c>
      <c r="J15" s="5"/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4"/>
        <v>0</v>
      </c>
      <c r="AC15" s="9">
        <f t="shared" si="5"/>
        <v>0</v>
      </c>
      <c r="AD15" s="10">
        <f t="shared" si="6"/>
        <v>0</v>
      </c>
      <c r="AE15" s="36">
        <f>$AD$23</f>
        <v>0.45833333333333331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 t="s">
        <v>126</v>
      </c>
      <c r="E16" s="53" t="s">
        <v>401</v>
      </c>
      <c r="F16" s="12" t="s">
        <v>144</v>
      </c>
      <c r="G16" s="12">
        <v>1</v>
      </c>
      <c r="H16" s="13">
        <v>24</v>
      </c>
      <c r="I16" s="31">
        <v>6500</v>
      </c>
      <c r="J16" s="14">
        <v>5214</v>
      </c>
      <c r="K16" s="15">
        <f>L16+2059+5272+5214</f>
        <v>12545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>$AD$23</f>
        <v>0.45833333333333331</v>
      </c>
      <c r="AF16" s="84">
        <f t="shared" si="7"/>
        <v>10</v>
      </c>
    </row>
    <row r="17" spans="1:32" ht="30" customHeight="1">
      <c r="A17" s="112">
        <v>11</v>
      </c>
      <c r="B17" s="11" t="s">
        <v>57</v>
      </c>
      <c r="C17" s="34" t="s">
        <v>119</v>
      </c>
      <c r="D17" s="52" t="s">
        <v>251</v>
      </c>
      <c r="E17" s="53" t="s">
        <v>456</v>
      </c>
      <c r="F17" s="30" t="s">
        <v>152</v>
      </c>
      <c r="G17" s="12">
        <v>1</v>
      </c>
      <c r="H17" s="13">
        <v>24</v>
      </c>
      <c r="I17" s="7">
        <v>12000</v>
      </c>
      <c r="J17" s="14">
        <v>5165</v>
      </c>
      <c r="K17" s="15">
        <f>L17</f>
        <v>5165</v>
      </c>
      <c r="L17" s="15">
        <f>2021+3144</f>
        <v>5165</v>
      </c>
      <c r="M17" s="15">
        <f t="shared" si="0"/>
        <v>5165</v>
      </c>
      <c r="N17" s="15">
        <v>0</v>
      </c>
      <c r="O17" s="58">
        <f t="shared" si="1"/>
        <v>0</v>
      </c>
      <c r="P17" s="39">
        <f t="shared" si="2"/>
        <v>21</v>
      </c>
      <c r="Q17" s="40">
        <f t="shared" si="3"/>
        <v>3</v>
      </c>
      <c r="R17" s="7"/>
      <c r="S17" s="6">
        <v>3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0.875</v>
      </c>
      <c r="AD17" s="10">
        <f t="shared" si="6"/>
        <v>0.875</v>
      </c>
      <c r="AE17" s="36">
        <f>$AD$23</f>
        <v>0.45833333333333331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119</v>
      </c>
      <c r="D18" s="52" t="s">
        <v>135</v>
      </c>
      <c r="E18" s="53" t="s">
        <v>479</v>
      </c>
      <c r="F18" s="30" t="s">
        <v>136</v>
      </c>
      <c r="G18" s="12">
        <v>4</v>
      </c>
      <c r="H18" s="13">
        <v>24</v>
      </c>
      <c r="I18" s="7">
        <v>40000</v>
      </c>
      <c r="J18" s="14">
        <v>17212</v>
      </c>
      <c r="K18" s="15">
        <f>L18</f>
        <v>17212</v>
      </c>
      <c r="L18" s="15">
        <f>1236*4+3067*4</f>
        <v>17212</v>
      </c>
      <c r="M18" s="15">
        <f t="shared" si="0"/>
        <v>17212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>$AD$23</f>
        <v>0.45833333333333331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119</v>
      </c>
      <c r="D19" s="52" t="s">
        <v>115</v>
      </c>
      <c r="E19" s="53" t="s">
        <v>447</v>
      </c>
      <c r="F19" s="30" t="s">
        <v>152</v>
      </c>
      <c r="G19" s="33">
        <v>1</v>
      </c>
      <c r="H19" s="35">
        <v>24</v>
      </c>
      <c r="I19" s="7">
        <v>12000</v>
      </c>
      <c r="J19" s="14">
        <v>4089</v>
      </c>
      <c r="K19" s="15">
        <f>L19+1601+4558+5644</f>
        <v>15892</v>
      </c>
      <c r="L19" s="15">
        <f>2777+1312</f>
        <v>4089</v>
      </c>
      <c r="M19" s="15">
        <f t="shared" si="0"/>
        <v>4089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>$AD$23</f>
        <v>0.45833333333333331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155</v>
      </c>
      <c r="E20" s="53" t="s">
        <v>263</v>
      </c>
      <c r="F20" s="30" t="s">
        <v>180</v>
      </c>
      <c r="G20" s="33">
        <v>1</v>
      </c>
      <c r="H20" s="35">
        <v>24</v>
      </c>
      <c r="I20" s="7">
        <v>40000</v>
      </c>
      <c r="J20" s="14">
        <v>5432</v>
      </c>
      <c r="K20" s="15">
        <f>L20+4203+5242+5070+5530+4390+5642+4687</f>
        <v>40196</v>
      </c>
      <c r="L20" s="15">
        <f>2804+2628</f>
        <v>5432</v>
      </c>
      <c r="M20" s="15">
        <f t="shared" si="0"/>
        <v>5432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>$AD$23</f>
        <v>0.45833333333333331</v>
      </c>
      <c r="AF20" s="84">
        <f t="shared" si="7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414</v>
      </c>
      <c r="F21" s="30" t="s">
        <v>152</v>
      </c>
      <c r="G21" s="12">
        <v>1</v>
      </c>
      <c r="H21" s="13">
        <v>24</v>
      </c>
      <c r="I21" s="7">
        <v>52000</v>
      </c>
      <c r="J21" s="14">
        <v>5798</v>
      </c>
      <c r="K21" s="15">
        <f>L21+2928+5476+5823+3267+3626+5491+5401</f>
        <v>37810</v>
      </c>
      <c r="L21" s="15">
        <f>2867+2931</f>
        <v>5798</v>
      </c>
      <c r="M21" s="15">
        <f t="shared" si="0"/>
        <v>5798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>$AD$23</f>
        <v>0.45833333333333331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147</v>
      </c>
      <c r="F22" s="12" t="s">
        <v>114</v>
      </c>
      <c r="G22" s="12">
        <v>4</v>
      </c>
      <c r="H22" s="35">
        <v>20</v>
      </c>
      <c r="I22" s="7">
        <v>300000</v>
      </c>
      <c r="J22" s="14">
        <v>4004</v>
      </c>
      <c r="K22" s="15">
        <f>30816+34860+35212+34672+33032+29240+28664+35888+4004</f>
        <v>266388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>$AD$23</f>
        <v>0.45833333333333331</v>
      </c>
      <c r="AF22" s="84">
        <f t="shared" si="7"/>
        <v>16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>SUM(I6:I22)</f>
        <v>742150</v>
      </c>
      <c r="J23" s="19">
        <f>SUM(J6:J22)</f>
        <v>229943</v>
      </c>
      <c r="K23" s="20">
        <f>SUM(K6:K22)</f>
        <v>692535</v>
      </c>
      <c r="L23" s="21">
        <f>SUM(L6:L22)</f>
        <v>206486</v>
      </c>
      <c r="M23" s="20">
        <f>SUM(M6:M22)</f>
        <v>206486</v>
      </c>
      <c r="N23" s="21">
        <f>SUM(N6:N22)</f>
        <v>0</v>
      </c>
      <c r="O23" s="41">
        <f t="shared" si="1"/>
        <v>0</v>
      </c>
      <c r="P23" s="42">
        <f>SUM(P6:P22)</f>
        <v>187</v>
      </c>
      <c r="Q23" s="43">
        <f>SUM(Q6:Q22)</f>
        <v>221</v>
      </c>
      <c r="R23" s="23">
        <f>SUM(R6:R22)</f>
        <v>0</v>
      </c>
      <c r="S23" s="24">
        <f>SUM(S6:S22)</f>
        <v>24</v>
      </c>
      <c r="T23" s="24">
        <f>SUM(T6:T22)</f>
        <v>0</v>
      </c>
      <c r="U23" s="24">
        <f>SUM(U6:U22)</f>
        <v>0</v>
      </c>
      <c r="V23" s="25">
        <f>SUM(V6:V22)</f>
        <v>24</v>
      </c>
      <c r="W23" s="26">
        <f>SUM(W6:W22)</f>
        <v>173</v>
      </c>
      <c r="X23" s="27">
        <f>SUM(X6:X22)</f>
        <v>0</v>
      </c>
      <c r="Y23" s="27">
        <f>SUM(Y6:Y22)</f>
        <v>0</v>
      </c>
      <c r="Z23" s="27">
        <f>SUM(Z6:Z22)</f>
        <v>0</v>
      </c>
      <c r="AA23" s="27">
        <f>SUM(AA6:AA22)</f>
        <v>0</v>
      </c>
      <c r="AB23" s="28">
        <f>AVERAGE(AB6:AB22)</f>
        <v>0.6875</v>
      </c>
      <c r="AC23" s="4">
        <f>AVERAGE(AC6:AC22)</f>
        <v>0.45833333333333331</v>
      </c>
      <c r="AD23" s="4">
        <f>AVERAGE(AD6:AD22)</f>
        <v>0.45833333333333331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509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511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342" t="s">
        <v>46</v>
      </c>
      <c r="D52" s="342" t="s">
        <v>47</v>
      </c>
      <c r="E52" s="342" t="s">
        <v>107</v>
      </c>
      <c r="F52" s="449" t="s">
        <v>106</v>
      </c>
      <c r="G52" s="450"/>
      <c r="H52" s="450"/>
      <c r="I52" s="450"/>
      <c r="J52" s="450"/>
      <c r="K52" s="450"/>
      <c r="L52" s="450"/>
      <c r="M52" s="451"/>
      <c r="N52" s="67" t="s">
        <v>110</v>
      </c>
      <c r="O52" s="342" t="s">
        <v>46</v>
      </c>
      <c r="P52" s="449" t="s">
        <v>47</v>
      </c>
      <c r="Q52" s="452"/>
      <c r="R52" s="449" t="s">
        <v>38</v>
      </c>
      <c r="S52" s="450"/>
      <c r="T52" s="450"/>
      <c r="U52" s="452"/>
      <c r="V52" s="449" t="s">
        <v>48</v>
      </c>
      <c r="W52" s="450"/>
      <c r="X52" s="450"/>
      <c r="Y52" s="450"/>
      <c r="Z52" s="450"/>
      <c r="AA52" s="450"/>
      <c r="AB52" s="450"/>
      <c r="AC52" s="450"/>
      <c r="AD52" s="451"/>
    </row>
    <row r="53" spans="1:32" ht="27" customHeight="1">
      <c r="A53" s="430" t="s">
        <v>230</v>
      </c>
      <c r="B53" s="431"/>
      <c r="C53" s="343" t="s">
        <v>177</v>
      </c>
      <c r="D53" s="343"/>
      <c r="E53" s="344" t="s">
        <v>229</v>
      </c>
      <c r="F53" s="418" t="s">
        <v>133</v>
      </c>
      <c r="G53" s="419"/>
      <c r="H53" s="419"/>
      <c r="I53" s="419"/>
      <c r="J53" s="419"/>
      <c r="K53" s="419"/>
      <c r="L53" s="419"/>
      <c r="M53" s="420"/>
      <c r="N53" s="345" t="s">
        <v>119</v>
      </c>
      <c r="O53" s="350" t="s">
        <v>132</v>
      </c>
      <c r="P53" s="432" t="s">
        <v>256</v>
      </c>
      <c r="Q53" s="433"/>
      <c r="R53" s="432" t="s">
        <v>512</v>
      </c>
      <c r="S53" s="434"/>
      <c r="T53" s="434"/>
      <c r="U53" s="433"/>
      <c r="V53" s="405" t="s">
        <v>133</v>
      </c>
      <c r="W53" s="405"/>
      <c r="X53" s="405"/>
      <c r="Y53" s="405"/>
      <c r="Z53" s="405"/>
      <c r="AA53" s="405"/>
      <c r="AB53" s="405"/>
      <c r="AC53" s="405"/>
      <c r="AD53" s="421"/>
    </row>
    <row r="54" spans="1:32" ht="27" customHeight="1">
      <c r="A54" s="430" t="s">
        <v>118</v>
      </c>
      <c r="B54" s="431"/>
      <c r="C54" s="343" t="s">
        <v>143</v>
      </c>
      <c r="D54" s="343" t="s">
        <v>128</v>
      </c>
      <c r="E54" s="344" t="s">
        <v>493</v>
      </c>
      <c r="F54" s="418" t="s">
        <v>133</v>
      </c>
      <c r="G54" s="419"/>
      <c r="H54" s="419"/>
      <c r="I54" s="419"/>
      <c r="J54" s="419"/>
      <c r="K54" s="419"/>
      <c r="L54" s="419"/>
      <c r="M54" s="420"/>
      <c r="N54" s="345" t="s">
        <v>119</v>
      </c>
      <c r="O54" s="350" t="s">
        <v>177</v>
      </c>
      <c r="P54" s="432" t="s">
        <v>256</v>
      </c>
      <c r="Q54" s="433"/>
      <c r="R54" s="432" t="s">
        <v>513</v>
      </c>
      <c r="S54" s="434"/>
      <c r="T54" s="434"/>
      <c r="U54" s="433"/>
      <c r="V54" s="405" t="s">
        <v>133</v>
      </c>
      <c r="W54" s="405"/>
      <c r="X54" s="405"/>
      <c r="Y54" s="405"/>
      <c r="Z54" s="405"/>
      <c r="AA54" s="405"/>
      <c r="AB54" s="405"/>
      <c r="AC54" s="405"/>
      <c r="AD54" s="421"/>
    </row>
    <row r="55" spans="1:32" ht="27" customHeight="1">
      <c r="A55" s="416" t="s">
        <v>119</v>
      </c>
      <c r="B55" s="417"/>
      <c r="C55" s="344" t="s">
        <v>247</v>
      </c>
      <c r="D55" s="344" t="s">
        <v>251</v>
      </c>
      <c r="E55" s="344" t="s">
        <v>456</v>
      </c>
      <c r="F55" s="418" t="s">
        <v>129</v>
      </c>
      <c r="G55" s="419"/>
      <c r="H55" s="419"/>
      <c r="I55" s="419"/>
      <c r="J55" s="419"/>
      <c r="K55" s="419"/>
      <c r="L55" s="419"/>
      <c r="M55" s="420"/>
      <c r="N55" s="345" t="s">
        <v>118</v>
      </c>
      <c r="O55" s="350" t="s">
        <v>143</v>
      </c>
      <c r="P55" s="432" t="s">
        <v>126</v>
      </c>
      <c r="Q55" s="433"/>
      <c r="R55" s="432" t="s">
        <v>265</v>
      </c>
      <c r="S55" s="434"/>
      <c r="T55" s="434"/>
      <c r="U55" s="433"/>
      <c r="V55" s="405" t="s">
        <v>133</v>
      </c>
      <c r="W55" s="405"/>
      <c r="X55" s="405"/>
      <c r="Y55" s="405"/>
      <c r="Z55" s="405"/>
      <c r="AA55" s="405"/>
      <c r="AB55" s="405"/>
      <c r="AC55" s="405"/>
      <c r="AD55" s="421"/>
    </row>
    <row r="56" spans="1:32" ht="27" customHeight="1">
      <c r="A56" s="430" t="s">
        <v>112</v>
      </c>
      <c r="B56" s="431"/>
      <c r="C56" s="343" t="s">
        <v>143</v>
      </c>
      <c r="D56" s="343" t="s">
        <v>155</v>
      </c>
      <c r="E56" s="344" t="s">
        <v>503</v>
      </c>
      <c r="F56" s="418" t="s">
        <v>133</v>
      </c>
      <c r="G56" s="419"/>
      <c r="H56" s="419"/>
      <c r="I56" s="419"/>
      <c r="J56" s="419"/>
      <c r="K56" s="419"/>
      <c r="L56" s="419"/>
      <c r="M56" s="420"/>
      <c r="N56" s="345" t="s">
        <v>119</v>
      </c>
      <c r="O56" s="350" t="s">
        <v>170</v>
      </c>
      <c r="P56" s="432" t="s">
        <v>115</v>
      </c>
      <c r="Q56" s="433"/>
      <c r="R56" s="432" t="s">
        <v>505</v>
      </c>
      <c r="S56" s="434"/>
      <c r="T56" s="434"/>
      <c r="U56" s="433"/>
      <c r="V56" s="405" t="s">
        <v>129</v>
      </c>
      <c r="W56" s="405"/>
      <c r="X56" s="405"/>
      <c r="Y56" s="405"/>
      <c r="Z56" s="405"/>
      <c r="AA56" s="405"/>
      <c r="AB56" s="405"/>
      <c r="AC56" s="405"/>
      <c r="AD56" s="421"/>
    </row>
    <row r="57" spans="1:32" ht="27" customHeight="1">
      <c r="A57" s="430" t="s">
        <v>494</v>
      </c>
      <c r="B57" s="431"/>
      <c r="C57" s="343" t="s">
        <v>141</v>
      </c>
      <c r="D57" s="343" t="s">
        <v>506</v>
      </c>
      <c r="E57" s="344" t="s">
        <v>507</v>
      </c>
      <c r="F57" s="418" t="s">
        <v>133</v>
      </c>
      <c r="G57" s="419"/>
      <c r="H57" s="419"/>
      <c r="I57" s="419"/>
      <c r="J57" s="419"/>
      <c r="K57" s="419"/>
      <c r="L57" s="419"/>
      <c r="M57" s="420"/>
      <c r="N57" s="345" t="s">
        <v>112</v>
      </c>
      <c r="O57" s="350" t="s">
        <v>140</v>
      </c>
      <c r="P57" s="432" t="s">
        <v>115</v>
      </c>
      <c r="Q57" s="433"/>
      <c r="R57" s="432" t="s">
        <v>514</v>
      </c>
      <c r="S57" s="434"/>
      <c r="T57" s="434"/>
      <c r="U57" s="433"/>
      <c r="V57" s="405" t="s">
        <v>133</v>
      </c>
      <c r="W57" s="405"/>
      <c r="X57" s="405"/>
      <c r="Y57" s="405"/>
      <c r="Z57" s="405"/>
      <c r="AA57" s="405"/>
      <c r="AB57" s="405"/>
      <c r="AC57" s="405"/>
      <c r="AD57" s="421"/>
    </row>
    <row r="58" spans="1:32" ht="27" customHeight="1">
      <c r="A58" s="416" t="s">
        <v>119</v>
      </c>
      <c r="B58" s="417"/>
      <c r="C58" s="344" t="s">
        <v>172</v>
      </c>
      <c r="D58" s="344" t="s">
        <v>135</v>
      </c>
      <c r="E58" s="344" t="s">
        <v>479</v>
      </c>
      <c r="F58" s="418" t="s">
        <v>133</v>
      </c>
      <c r="G58" s="419"/>
      <c r="H58" s="419"/>
      <c r="I58" s="419"/>
      <c r="J58" s="419"/>
      <c r="K58" s="419"/>
      <c r="L58" s="419"/>
      <c r="M58" s="420"/>
      <c r="N58" s="345" t="s">
        <v>516</v>
      </c>
      <c r="O58" s="350" t="s">
        <v>141</v>
      </c>
      <c r="P58" s="432"/>
      <c r="Q58" s="433"/>
      <c r="R58" s="432" t="s">
        <v>515</v>
      </c>
      <c r="S58" s="434"/>
      <c r="T58" s="434"/>
      <c r="U58" s="433"/>
      <c r="V58" s="405" t="s">
        <v>133</v>
      </c>
      <c r="W58" s="405"/>
      <c r="X58" s="405"/>
      <c r="Y58" s="405"/>
      <c r="Z58" s="405"/>
      <c r="AA58" s="405"/>
      <c r="AB58" s="405"/>
      <c r="AC58" s="405"/>
      <c r="AD58" s="421"/>
    </row>
    <row r="59" spans="1:32" ht="27" customHeight="1">
      <c r="A59" s="430" t="s">
        <v>119</v>
      </c>
      <c r="B59" s="431"/>
      <c r="C59" s="343" t="s">
        <v>170</v>
      </c>
      <c r="D59" s="343" t="s">
        <v>115</v>
      </c>
      <c r="E59" s="344" t="s">
        <v>505</v>
      </c>
      <c r="F59" s="418" t="s">
        <v>510</v>
      </c>
      <c r="G59" s="419"/>
      <c r="H59" s="419"/>
      <c r="I59" s="419"/>
      <c r="J59" s="419"/>
      <c r="K59" s="419"/>
      <c r="L59" s="419"/>
      <c r="M59" s="420"/>
      <c r="N59" s="345"/>
      <c r="O59" s="350"/>
      <c r="P59" s="432"/>
      <c r="Q59" s="433"/>
      <c r="R59" s="432"/>
      <c r="S59" s="434"/>
      <c r="T59" s="434"/>
      <c r="U59" s="433"/>
      <c r="V59" s="405"/>
      <c r="W59" s="405"/>
      <c r="X59" s="405"/>
      <c r="Y59" s="405"/>
      <c r="Z59" s="405"/>
      <c r="AA59" s="405"/>
      <c r="AB59" s="405"/>
      <c r="AC59" s="405"/>
      <c r="AD59" s="421"/>
    </row>
    <row r="60" spans="1:32" ht="27" customHeight="1">
      <c r="A60" s="430"/>
      <c r="B60" s="431"/>
      <c r="C60" s="343"/>
      <c r="D60" s="343"/>
      <c r="E60" s="344"/>
      <c r="F60" s="418"/>
      <c r="G60" s="419"/>
      <c r="H60" s="419"/>
      <c r="I60" s="419"/>
      <c r="J60" s="419"/>
      <c r="K60" s="419"/>
      <c r="L60" s="419"/>
      <c r="M60" s="420"/>
      <c r="N60" s="345"/>
      <c r="O60" s="350"/>
      <c r="P60" s="432"/>
      <c r="Q60" s="433"/>
      <c r="R60" s="417"/>
      <c r="S60" s="417"/>
      <c r="T60" s="417"/>
      <c r="U60" s="417"/>
      <c r="V60" s="405"/>
      <c r="W60" s="405"/>
      <c r="X60" s="405"/>
      <c r="Y60" s="405"/>
      <c r="Z60" s="405"/>
      <c r="AA60" s="405"/>
      <c r="AB60" s="405"/>
      <c r="AC60" s="405"/>
      <c r="AD60" s="421"/>
    </row>
    <row r="61" spans="1:32" ht="27" customHeight="1">
      <c r="A61" s="416"/>
      <c r="B61" s="417"/>
      <c r="C61" s="344"/>
      <c r="D61" s="344"/>
      <c r="E61" s="344"/>
      <c r="F61" s="418"/>
      <c r="G61" s="419"/>
      <c r="H61" s="419"/>
      <c r="I61" s="419"/>
      <c r="J61" s="419"/>
      <c r="K61" s="419"/>
      <c r="L61" s="419"/>
      <c r="M61" s="420"/>
      <c r="N61" s="345"/>
      <c r="O61" s="350"/>
      <c r="P61" s="417"/>
      <c r="Q61" s="417"/>
      <c r="R61" s="417"/>
      <c r="S61" s="417"/>
      <c r="T61" s="417"/>
      <c r="U61" s="417"/>
      <c r="V61" s="405"/>
      <c r="W61" s="405"/>
      <c r="X61" s="405"/>
      <c r="Y61" s="405"/>
      <c r="Z61" s="405"/>
      <c r="AA61" s="405"/>
      <c r="AB61" s="405"/>
      <c r="AC61" s="405"/>
      <c r="AD61" s="421"/>
      <c r="AF61" s="84">
        <f>8*3000</f>
        <v>24000</v>
      </c>
    </row>
    <row r="62" spans="1:32" ht="27" customHeight="1" thickBot="1">
      <c r="A62" s="422"/>
      <c r="B62" s="423"/>
      <c r="C62" s="346"/>
      <c r="D62" s="347"/>
      <c r="E62" s="347"/>
      <c r="F62" s="424"/>
      <c r="G62" s="425"/>
      <c r="H62" s="425"/>
      <c r="I62" s="425"/>
      <c r="J62" s="425"/>
      <c r="K62" s="425"/>
      <c r="L62" s="425"/>
      <c r="M62" s="426"/>
      <c r="N62" s="111"/>
      <c r="O62" s="103"/>
      <c r="P62" s="427"/>
      <c r="Q62" s="427"/>
      <c r="R62" s="427"/>
      <c r="S62" s="427"/>
      <c r="T62" s="427"/>
      <c r="U62" s="427"/>
      <c r="V62" s="428"/>
      <c r="W62" s="428"/>
      <c r="X62" s="428"/>
      <c r="Y62" s="428"/>
      <c r="Z62" s="428"/>
      <c r="AA62" s="428"/>
      <c r="AB62" s="428"/>
      <c r="AC62" s="428"/>
      <c r="AD62" s="429"/>
      <c r="AF62" s="84">
        <f>16*3000</f>
        <v>48000</v>
      </c>
    </row>
    <row r="63" spans="1:32" ht="27.75" thickBot="1">
      <c r="A63" s="414" t="s">
        <v>517</v>
      </c>
      <c r="B63" s="414"/>
      <c r="C63" s="414"/>
      <c r="D63" s="414"/>
      <c r="E63" s="414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15" t="s">
        <v>111</v>
      </c>
      <c r="B64" s="412"/>
      <c r="C64" s="348" t="s">
        <v>2</v>
      </c>
      <c r="D64" s="348" t="s">
        <v>37</v>
      </c>
      <c r="E64" s="348" t="s">
        <v>3</v>
      </c>
      <c r="F64" s="412" t="s">
        <v>109</v>
      </c>
      <c r="G64" s="412"/>
      <c r="H64" s="412"/>
      <c r="I64" s="412"/>
      <c r="J64" s="412"/>
      <c r="K64" s="412" t="s">
        <v>39</v>
      </c>
      <c r="L64" s="412"/>
      <c r="M64" s="348" t="s">
        <v>40</v>
      </c>
      <c r="N64" s="412" t="s">
        <v>41</v>
      </c>
      <c r="O64" s="412"/>
      <c r="P64" s="409" t="s">
        <v>42</v>
      </c>
      <c r="Q64" s="411"/>
      <c r="R64" s="409" t="s">
        <v>43</v>
      </c>
      <c r="S64" s="410"/>
      <c r="T64" s="410"/>
      <c r="U64" s="410"/>
      <c r="V64" s="410"/>
      <c r="W64" s="410"/>
      <c r="X64" s="410"/>
      <c r="Y64" s="410"/>
      <c r="Z64" s="410"/>
      <c r="AA64" s="411"/>
      <c r="AB64" s="412" t="s">
        <v>44</v>
      </c>
      <c r="AC64" s="412"/>
      <c r="AD64" s="413"/>
      <c r="AF64" s="84">
        <f>SUM(AF61:AF63)</f>
        <v>96000</v>
      </c>
    </row>
    <row r="65" spans="1:32" ht="25.5" customHeight="1">
      <c r="A65" s="400">
        <v>1</v>
      </c>
      <c r="B65" s="401"/>
      <c r="C65" s="104" t="s">
        <v>118</v>
      </c>
      <c r="D65" s="352"/>
      <c r="E65" s="349" t="s">
        <v>126</v>
      </c>
      <c r="F65" s="406" t="s">
        <v>463</v>
      </c>
      <c r="G65" s="407"/>
      <c r="H65" s="407"/>
      <c r="I65" s="407"/>
      <c r="J65" s="408"/>
      <c r="K65" s="394" t="s">
        <v>216</v>
      </c>
      <c r="L65" s="394"/>
      <c r="M65" s="51" t="s">
        <v>151</v>
      </c>
      <c r="N65" s="403" t="s">
        <v>243</v>
      </c>
      <c r="O65" s="403"/>
      <c r="P65" s="404">
        <v>50</v>
      </c>
      <c r="Q65" s="404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394"/>
      <c r="AC65" s="394"/>
      <c r="AD65" s="395"/>
      <c r="AF65" s="50"/>
    </row>
    <row r="66" spans="1:32" ht="25.5" customHeight="1">
      <c r="A66" s="400">
        <v>2</v>
      </c>
      <c r="B66" s="401"/>
      <c r="C66" s="104" t="s">
        <v>112</v>
      </c>
      <c r="D66" s="352"/>
      <c r="E66" s="349" t="s">
        <v>409</v>
      </c>
      <c r="F66" s="406" t="s">
        <v>200</v>
      </c>
      <c r="G66" s="407"/>
      <c r="H66" s="407"/>
      <c r="I66" s="407"/>
      <c r="J66" s="408"/>
      <c r="K66" s="394">
        <v>8301</v>
      </c>
      <c r="L66" s="394"/>
      <c r="M66" s="51" t="s">
        <v>518</v>
      </c>
      <c r="N66" s="403" t="s">
        <v>132</v>
      </c>
      <c r="O66" s="403"/>
      <c r="P66" s="404">
        <v>30</v>
      </c>
      <c r="Q66" s="404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394"/>
      <c r="AC66" s="394"/>
      <c r="AD66" s="395"/>
      <c r="AF66" s="50"/>
    </row>
    <row r="67" spans="1:32" ht="25.5" customHeight="1">
      <c r="A67" s="400">
        <v>3</v>
      </c>
      <c r="B67" s="401"/>
      <c r="C67" s="104"/>
      <c r="D67" s="352"/>
      <c r="E67" s="349"/>
      <c r="F67" s="406"/>
      <c r="G67" s="407"/>
      <c r="H67" s="407"/>
      <c r="I67" s="407"/>
      <c r="J67" s="408"/>
      <c r="K67" s="394"/>
      <c r="L67" s="394"/>
      <c r="M67" s="51"/>
      <c r="N67" s="403"/>
      <c r="O67" s="403"/>
      <c r="P67" s="404"/>
      <c r="Q67" s="404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394"/>
      <c r="AC67" s="394"/>
      <c r="AD67" s="395"/>
      <c r="AF67" s="50"/>
    </row>
    <row r="68" spans="1:32" ht="25.5" customHeight="1">
      <c r="A68" s="400">
        <v>4</v>
      </c>
      <c r="B68" s="401"/>
      <c r="C68" s="104"/>
      <c r="D68" s="352"/>
      <c r="E68" s="349"/>
      <c r="F68" s="406"/>
      <c r="G68" s="407"/>
      <c r="H68" s="407"/>
      <c r="I68" s="407"/>
      <c r="J68" s="408"/>
      <c r="K68" s="394"/>
      <c r="L68" s="394"/>
      <c r="M68" s="51"/>
      <c r="N68" s="403"/>
      <c r="O68" s="403"/>
      <c r="P68" s="475"/>
      <c r="Q68" s="475"/>
      <c r="R68" s="405"/>
      <c r="S68" s="405"/>
      <c r="T68" s="405"/>
      <c r="U68" s="405"/>
      <c r="V68" s="405"/>
      <c r="W68" s="405"/>
      <c r="X68" s="405"/>
      <c r="Y68" s="405"/>
      <c r="Z68" s="405"/>
      <c r="AA68" s="405"/>
      <c r="AB68" s="394"/>
      <c r="AC68" s="394"/>
      <c r="AD68" s="395"/>
      <c r="AF68" s="50"/>
    </row>
    <row r="69" spans="1:32" ht="25.5" customHeight="1">
      <c r="A69" s="400">
        <v>5</v>
      </c>
      <c r="B69" s="401"/>
      <c r="C69" s="104"/>
      <c r="D69" s="352"/>
      <c r="E69" s="349"/>
      <c r="F69" s="406"/>
      <c r="G69" s="407"/>
      <c r="H69" s="407"/>
      <c r="I69" s="407"/>
      <c r="J69" s="408"/>
      <c r="K69" s="394"/>
      <c r="L69" s="394"/>
      <c r="M69" s="51"/>
      <c r="N69" s="403"/>
      <c r="O69" s="403"/>
      <c r="P69" s="404"/>
      <c r="Q69" s="404"/>
      <c r="R69" s="405"/>
      <c r="S69" s="405"/>
      <c r="T69" s="405"/>
      <c r="U69" s="405"/>
      <c r="V69" s="405"/>
      <c r="W69" s="405"/>
      <c r="X69" s="405"/>
      <c r="Y69" s="405"/>
      <c r="Z69" s="405"/>
      <c r="AA69" s="405"/>
      <c r="AB69" s="394"/>
      <c r="AC69" s="394"/>
      <c r="AD69" s="395"/>
      <c r="AF69" s="50"/>
    </row>
    <row r="70" spans="1:32" ht="25.5" customHeight="1">
      <c r="A70" s="400">
        <v>6</v>
      </c>
      <c r="B70" s="401"/>
      <c r="C70" s="104"/>
      <c r="D70" s="352"/>
      <c r="E70" s="349"/>
      <c r="F70" s="406"/>
      <c r="G70" s="407"/>
      <c r="H70" s="407"/>
      <c r="I70" s="407"/>
      <c r="J70" s="408"/>
      <c r="K70" s="394"/>
      <c r="L70" s="394"/>
      <c r="M70" s="51"/>
      <c r="N70" s="403"/>
      <c r="O70" s="403"/>
      <c r="P70" s="404"/>
      <c r="Q70" s="404"/>
      <c r="R70" s="405"/>
      <c r="S70" s="405"/>
      <c r="T70" s="405"/>
      <c r="U70" s="405"/>
      <c r="V70" s="405"/>
      <c r="W70" s="405"/>
      <c r="X70" s="405"/>
      <c r="Y70" s="405"/>
      <c r="Z70" s="405"/>
      <c r="AA70" s="405"/>
      <c r="AB70" s="394"/>
      <c r="AC70" s="394"/>
      <c r="AD70" s="395"/>
      <c r="AF70" s="50"/>
    </row>
    <row r="71" spans="1:32" ht="25.5" customHeight="1">
      <c r="A71" s="400">
        <v>7</v>
      </c>
      <c r="B71" s="401"/>
      <c r="C71" s="104"/>
      <c r="D71" s="352"/>
      <c r="E71" s="349"/>
      <c r="F71" s="402"/>
      <c r="G71" s="394"/>
      <c r="H71" s="394"/>
      <c r="I71" s="394"/>
      <c r="J71" s="394"/>
      <c r="K71" s="394"/>
      <c r="L71" s="394"/>
      <c r="M71" s="51"/>
      <c r="N71" s="403"/>
      <c r="O71" s="403"/>
      <c r="P71" s="404"/>
      <c r="Q71" s="404"/>
      <c r="R71" s="405"/>
      <c r="S71" s="405"/>
      <c r="T71" s="405"/>
      <c r="U71" s="405"/>
      <c r="V71" s="405"/>
      <c r="W71" s="405"/>
      <c r="X71" s="405"/>
      <c r="Y71" s="405"/>
      <c r="Z71" s="405"/>
      <c r="AA71" s="405"/>
      <c r="AB71" s="394"/>
      <c r="AC71" s="394"/>
      <c r="AD71" s="395"/>
      <c r="AF71" s="50"/>
    </row>
    <row r="72" spans="1:32" ht="25.5" customHeight="1">
      <c r="A72" s="400">
        <v>8</v>
      </c>
      <c r="B72" s="401"/>
      <c r="C72" s="104"/>
      <c r="D72" s="352"/>
      <c r="E72" s="349"/>
      <c r="F72" s="402"/>
      <c r="G72" s="394"/>
      <c r="H72" s="394"/>
      <c r="I72" s="394"/>
      <c r="J72" s="394"/>
      <c r="K72" s="394"/>
      <c r="L72" s="394"/>
      <c r="M72" s="51"/>
      <c r="N72" s="403"/>
      <c r="O72" s="403"/>
      <c r="P72" s="404"/>
      <c r="Q72" s="404"/>
      <c r="R72" s="405"/>
      <c r="S72" s="405"/>
      <c r="T72" s="405"/>
      <c r="U72" s="405"/>
      <c r="V72" s="405"/>
      <c r="W72" s="405"/>
      <c r="X72" s="405"/>
      <c r="Y72" s="405"/>
      <c r="Z72" s="405"/>
      <c r="AA72" s="405"/>
      <c r="AB72" s="394"/>
      <c r="AC72" s="394"/>
      <c r="AD72" s="395"/>
      <c r="AF72" s="50"/>
    </row>
    <row r="73" spans="1:32" ht="25.5" customHeight="1">
      <c r="A73" s="400">
        <v>9</v>
      </c>
      <c r="B73" s="401"/>
      <c r="C73" s="104"/>
      <c r="D73" s="352"/>
      <c r="E73" s="349"/>
      <c r="F73" s="402"/>
      <c r="G73" s="394"/>
      <c r="H73" s="394"/>
      <c r="I73" s="394"/>
      <c r="J73" s="394"/>
      <c r="K73" s="394"/>
      <c r="L73" s="394"/>
      <c r="M73" s="51"/>
      <c r="N73" s="403"/>
      <c r="O73" s="403"/>
      <c r="P73" s="404"/>
      <c r="Q73" s="404"/>
      <c r="R73" s="405"/>
      <c r="S73" s="405"/>
      <c r="T73" s="405"/>
      <c r="U73" s="405"/>
      <c r="V73" s="405"/>
      <c r="W73" s="405"/>
      <c r="X73" s="405"/>
      <c r="Y73" s="405"/>
      <c r="Z73" s="405"/>
      <c r="AA73" s="405"/>
      <c r="AB73" s="394"/>
      <c r="AC73" s="394"/>
      <c r="AD73" s="395"/>
      <c r="AF73" s="50"/>
    </row>
    <row r="74" spans="1:32" ht="25.5" customHeight="1">
      <c r="A74" s="400">
        <v>10</v>
      </c>
      <c r="B74" s="401"/>
      <c r="C74" s="104"/>
      <c r="D74" s="352"/>
      <c r="E74" s="349"/>
      <c r="F74" s="402"/>
      <c r="G74" s="394"/>
      <c r="H74" s="394"/>
      <c r="I74" s="394"/>
      <c r="J74" s="394"/>
      <c r="K74" s="394"/>
      <c r="L74" s="394"/>
      <c r="M74" s="51"/>
      <c r="N74" s="403"/>
      <c r="O74" s="403"/>
      <c r="P74" s="404"/>
      <c r="Q74" s="404"/>
      <c r="R74" s="405"/>
      <c r="S74" s="405"/>
      <c r="T74" s="405"/>
      <c r="U74" s="405"/>
      <c r="V74" s="405"/>
      <c r="W74" s="405"/>
      <c r="X74" s="405"/>
      <c r="Y74" s="405"/>
      <c r="Z74" s="405"/>
      <c r="AA74" s="405"/>
      <c r="AB74" s="394"/>
      <c r="AC74" s="394"/>
      <c r="AD74" s="395"/>
      <c r="AF74" s="50"/>
    </row>
    <row r="75" spans="1:32" ht="26.25" customHeight="1" thickBot="1">
      <c r="A75" s="374" t="s">
        <v>519</v>
      </c>
      <c r="B75" s="374"/>
      <c r="C75" s="374"/>
      <c r="D75" s="374"/>
      <c r="E75" s="374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375" t="s">
        <v>139</v>
      </c>
      <c r="B76" s="376"/>
      <c r="C76" s="351" t="s">
        <v>2</v>
      </c>
      <c r="D76" s="351" t="s">
        <v>37</v>
      </c>
      <c r="E76" s="351" t="s">
        <v>131</v>
      </c>
      <c r="F76" s="376" t="s">
        <v>38</v>
      </c>
      <c r="G76" s="376"/>
      <c r="H76" s="376"/>
      <c r="I76" s="376"/>
      <c r="J76" s="376"/>
      <c r="K76" s="396" t="s">
        <v>58</v>
      </c>
      <c r="L76" s="397"/>
      <c r="M76" s="397"/>
      <c r="N76" s="397"/>
      <c r="O76" s="397"/>
      <c r="P76" s="397"/>
      <c r="Q76" s="397"/>
      <c r="R76" s="397"/>
      <c r="S76" s="398"/>
      <c r="T76" s="376" t="s">
        <v>49</v>
      </c>
      <c r="U76" s="376"/>
      <c r="V76" s="396" t="s">
        <v>50</v>
      </c>
      <c r="W76" s="398"/>
      <c r="X76" s="397" t="s">
        <v>51</v>
      </c>
      <c r="Y76" s="397"/>
      <c r="Z76" s="397"/>
      <c r="AA76" s="397"/>
      <c r="AB76" s="397"/>
      <c r="AC76" s="397"/>
      <c r="AD76" s="399"/>
      <c r="AF76" s="50"/>
    </row>
    <row r="77" spans="1:32" ht="33.75" customHeight="1">
      <c r="A77" s="368">
        <v>1</v>
      </c>
      <c r="B77" s="369"/>
      <c r="C77" s="353" t="s">
        <v>112</v>
      </c>
      <c r="D77" s="353"/>
      <c r="E77" s="65" t="s">
        <v>117</v>
      </c>
      <c r="F77" s="383" t="s">
        <v>116</v>
      </c>
      <c r="G77" s="384"/>
      <c r="H77" s="384"/>
      <c r="I77" s="384"/>
      <c r="J77" s="385"/>
      <c r="K77" s="386" t="s">
        <v>120</v>
      </c>
      <c r="L77" s="387"/>
      <c r="M77" s="387"/>
      <c r="N77" s="387"/>
      <c r="O77" s="387"/>
      <c r="P77" s="387"/>
      <c r="Q77" s="387"/>
      <c r="R77" s="387"/>
      <c r="S77" s="388"/>
      <c r="T77" s="389">
        <v>44118</v>
      </c>
      <c r="U77" s="390"/>
      <c r="V77" s="391"/>
      <c r="W77" s="391"/>
      <c r="X77" s="392"/>
      <c r="Y77" s="392"/>
      <c r="Z77" s="392"/>
      <c r="AA77" s="392"/>
      <c r="AB77" s="392"/>
      <c r="AC77" s="392"/>
      <c r="AD77" s="393"/>
      <c r="AF77" s="50"/>
    </row>
    <row r="78" spans="1:32" ht="30" customHeight="1">
      <c r="A78" s="361">
        <f>A77+1</f>
        <v>2</v>
      </c>
      <c r="B78" s="362"/>
      <c r="C78" s="352"/>
      <c r="D78" s="352"/>
      <c r="E78" s="32"/>
      <c r="F78" s="362"/>
      <c r="G78" s="362"/>
      <c r="H78" s="362"/>
      <c r="I78" s="362"/>
      <c r="J78" s="362"/>
      <c r="K78" s="377"/>
      <c r="L78" s="378"/>
      <c r="M78" s="378"/>
      <c r="N78" s="378"/>
      <c r="O78" s="378"/>
      <c r="P78" s="378"/>
      <c r="Q78" s="378"/>
      <c r="R78" s="378"/>
      <c r="S78" s="379"/>
      <c r="T78" s="380"/>
      <c r="U78" s="380"/>
      <c r="V78" s="380"/>
      <c r="W78" s="380"/>
      <c r="X78" s="381"/>
      <c r="Y78" s="381"/>
      <c r="Z78" s="381"/>
      <c r="AA78" s="381"/>
      <c r="AB78" s="381"/>
      <c r="AC78" s="381"/>
      <c r="AD78" s="382"/>
      <c r="AF78" s="50"/>
    </row>
    <row r="79" spans="1:32" ht="30" customHeight="1">
      <c r="A79" s="361">
        <f t="shared" ref="A79:A83" si="16">A78+1</f>
        <v>3</v>
      </c>
      <c r="B79" s="362"/>
      <c r="C79" s="352"/>
      <c r="D79" s="352"/>
      <c r="E79" s="32"/>
      <c r="F79" s="362"/>
      <c r="G79" s="362"/>
      <c r="H79" s="362"/>
      <c r="I79" s="362"/>
      <c r="J79" s="362"/>
      <c r="K79" s="377"/>
      <c r="L79" s="378"/>
      <c r="M79" s="378"/>
      <c r="N79" s="378"/>
      <c r="O79" s="378"/>
      <c r="P79" s="378"/>
      <c r="Q79" s="378"/>
      <c r="R79" s="378"/>
      <c r="S79" s="379"/>
      <c r="T79" s="380"/>
      <c r="U79" s="380"/>
      <c r="V79" s="380"/>
      <c r="W79" s="380"/>
      <c r="X79" s="381"/>
      <c r="Y79" s="381"/>
      <c r="Z79" s="381"/>
      <c r="AA79" s="381"/>
      <c r="AB79" s="381"/>
      <c r="AC79" s="381"/>
      <c r="AD79" s="382"/>
      <c r="AF79" s="50"/>
    </row>
    <row r="80" spans="1:32" ht="30" customHeight="1">
      <c r="A80" s="361">
        <f t="shared" si="16"/>
        <v>4</v>
      </c>
      <c r="B80" s="362"/>
      <c r="C80" s="352"/>
      <c r="D80" s="352"/>
      <c r="E80" s="32"/>
      <c r="F80" s="362"/>
      <c r="G80" s="362"/>
      <c r="H80" s="362"/>
      <c r="I80" s="362"/>
      <c r="J80" s="362"/>
      <c r="K80" s="377"/>
      <c r="L80" s="378"/>
      <c r="M80" s="378"/>
      <c r="N80" s="378"/>
      <c r="O80" s="378"/>
      <c r="P80" s="378"/>
      <c r="Q80" s="378"/>
      <c r="R80" s="378"/>
      <c r="S80" s="379"/>
      <c r="T80" s="380"/>
      <c r="U80" s="380"/>
      <c r="V80" s="380"/>
      <c r="W80" s="380"/>
      <c r="X80" s="381"/>
      <c r="Y80" s="381"/>
      <c r="Z80" s="381"/>
      <c r="AA80" s="381"/>
      <c r="AB80" s="381"/>
      <c r="AC80" s="381"/>
      <c r="AD80" s="382"/>
      <c r="AF80" s="50"/>
    </row>
    <row r="81" spans="1:32" ht="30" customHeight="1">
      <c r="A81" s="361">
        <f t="shared" si="16"/>
        <v>5</v>
      </c>
      <c r="B81" s="362"/>
      <c r="C81" s="352"/>
      <c r="D81" s="352"/>
      <c r="E81" s="32"/>
      <c r="F81" s="362"/>
      <c r="G81" s="362"/>
      <c r="H81" s="362"/>
      <c r="I81" s="362"/>
      <c r="J81" s="362"/>
      <c r="K81" s="377"/>
      <c r="L81" s="378"/>
      <c r="M81" s="378"/>
      <c r="N81" s="378"/>
      <c r="O81" s="378"/>
      <c r="P81" s="378"/>
      <c r="Q81" s="378"/>
      <c r="R81" s="378"/>
      <c r="S81" s="379"/>
      <c r="T81" s="380"/>
      <c r="U81" s="380"/>
      <c r="V81" s="380"/>
      <c r="W81" s="380"/>
      <c r="X81" s="381"/>
      <c r="Y81" s="381"/>
      <c r="Z81" s="381"/>
      <c r="AA81" s="381"/>
      <c r="AB81" s="381"/>
      <c r="AC81" s="381"/>
      <c r="AD81" s="382"/>
      <c r="AF81" s="50"/>
    </row>
    <row r="82" spans="1:32" ht="30" customHeight="1">
      <c r="A82" s="361">
        <f t="shared" si="16"/>
        <v>6</v>
      </c>
      <c r="B82" s="362"/>
      <c r="C82" s="352"/>
      <c r="D82" s="352"/>
      <c r="E82" s="32"/>
      <c r="F82" s="362"/>
      <c r="G82" s="362"/>
      <c r="H82" s="362"/>
      <c r="I82" s="362"/>
      <c r="J82" s="362"/>
      <c r="K82" s="377"/>
      <c r="L82" s="378"/>
      <c r="M82" s="378"/>
      <c r="N82" s="378"/>
      <c r="O82" s="378"/>
      <c r="P82" s="378"/>
      <c r="Q82" s="378"/>
      <c r="R82" s="378"/>
      <c r="S82" s="379"/>
      <c r="T82" s="380"/>
      <c r="U82" s="380"/>
      <c r="V82" s="380"/>
      <c r="W82" s="380"/>
      <c r="X82" s="381"/>
      <c r="Y82" s="381"/>
      <c r="Z82" s="381"/>
      <c r="AA82" s="381"/>
      <c r="AB82" s="381"/>
      <c r="AC82" s="381"/>
      <c r="AD82" s="382"/>
      <c r="AF82" s="50"/>
    </row>
    <row r="83" spans="1:32" ht="30" customHeight="1">
      <c r="A83" s="361">
        <f t="shared" si="16"/>
        <v>7</v>
      </c>
      <c r="B83" s="362"/>
      <c r="C83" s="352"/>
      <c r="D83" s="352"/>
      <c r="E83" s="32"/>
      <c r="F83" s="362"/>
      <c r="G83" s="362"/>
      <c r="H83" s="362"/>
      <c r="I83" s="362"/>
      <c r="J83" s="362"/>
      <c r="K83" s="377"/>
      <c r="L83" s="378"/>
      <c r="M83" s="378"/>
      <c r="N83" s="378"/>
      <c r="O83" s="378"/>
      <c r="P83" s="378"/>
      <c r="Q83" s="378"/>
      <c r="R83" s="378"/>
      <c r="S83" s="379"/>
      <c r="T83" s="380"/>
      <c r="U83" s="380"/>
      <c r="V83" s="380"/>
      <c r="W83" s="380"/>
      <c r="X83" s="381"/>
      <c r="Y83" s="381"/>
      <c r="Z83" s="381"/>
      <c r="AA83" s="381"/>
      <c r="AB83" s="381"/>
      <c r="AC83" s="381"/>
      <c r="AD83" s="382"/>
      <c r="AF83" s="50"/>
    </row>
    <row r="84" spans="1:32" ht="36" thickBot="1">
      <c r="A84" s="374" t="s">
        <v>520</v>
      </c>
      <c r="B84" s="374"/>
      <c r="C84" s="374"/>
      <c r="D84" s="374"/>
      <c r="E84" s="374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75" t="s">
        <v>111</v>
      </c>
      <c r="B85" s="376"/>
      <c r="C85" s="366" t="s">
        <v>52</v>
      </c>
      <c r="D85" s="366"/>
      <c r="E85" s="366" t="s">
        <v>53</v>
      </c>
      <c r="F85" s="366"/>
      <c r="G85" s="366"/>
      <c r="H85" s="366"/>
      <c r="I85" s="366"/>
      <c r="J85" s="366"/>
      <c r="K85" s="366" t="s">
        <v>54</v>
      </c>
      <c r="L85" s="366"/>
      <c r="M85" s="366"/>
      <c r="N85" s="366"/>
      <c r="O85" s="366"/>
      <c r="P85" s="366"/>
      <c r="Q85" s="366"/>
      <c r="R85" s="366"/>
      <c r="S85" s="366"/>
      <c r="T85" s="366" t="s">
        <v>55</v>
      </c>
      <c r="U85" s="366"/>
      <c r="V85" s="366" t="s">
        <v>56</v>
      </c>
      <c r="W85" s="366"/>
      <c r="X85" s="366"/>
      <c r="Y85" s="366" t="s">
        <v>51</v>
      </c>
      <c r="Z85" s="366"/>
      <c r="AA85" s="366"/>
      <c r="AB85" s="366"/>
      <c r="AC85" s="366"/>
      <c r="AD85" s="367"/>
      <c r="AF85" s="50"/>
    </row>
    <row r="86" spans="1:32" ht="30.75" customHeight="1">
      <c r="A86" s="368">
        <v>1</v>
      </c>
      <c r="B86" s="369"/>
      <c r="C86" s="370"/>
      <c r="D86" s="370"/>
      <c r="E86" s="370"/>
      <c r="F86" s="370"/>
      <c r="G86" s="370"/>
      <c r="H86" s="370"/>
      <c r="I86" s="370"/>
      <c r="J86" s="370"/>
      <c r="K86" s="370"/>
      <c r="L86" s="370"/>
      <c r="M86" s="370"/>
      <c r="N86" s="370"/>
      <c r="O86" s="370"/>
      <c r="P86" s="370"/>
      <c r="Q86" s="370"/>
      <c r="R86" s="370"/>
      <c r="S86" s="370"/>
      <c r="T86" s="370"/>
      <c r="U86" s="370"/>
      <c r="V86" s="371"/>
      <c r="W86" s="371"/>
      <c r="X86" s="371"/>
      <c r="Y86" s="372"/>
      <c r="Z86" s="372"/>
      <c r="AA86" s="372"/>
      <c r="AB86" s="372"/>
      <c r="AC86" s="372"/>
      <c r="AD86" s="373"/>
      <c r="AF86" s="50"/>
    </row>
    <row r="87" spans="1:32" ht="30.75" customHeight="1">
      <c r="A87" s="361">
        <v>2</v>
      </c>
      <c r="B87" s="362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4"/>
      <c r="U87" s="364"/>
      <c r="V87" s="365"/>
      <c r="W87" s="365"/>
      <c r="X87" s="365"/>
      <c r="Y87" s="354"/>
      <c r="Z87" s="354"/>
      <c r="AA87" s="354"/>
      <c r="AB87" s="354"/>
      <c r="AC87" s="354"/>
      <c r="AD87" s="355"/>
      <c r="AF87" s="50"/>
    </row>
    <row r="88" spans="1:32" ht="30.75" customHeight="1" thickBot="1">
      <c r="A88" s="356">
        <v>3</v>
      </c>
      <c r="B88" s="357"/>
      <c r="C88" s="358"/>
      <c r="D88" s="358"/>
      <c r="E88" s="358"/>
      <c r="F88" s="358"/>
      <c r="G88" s="358"/>
      <c r="H88" s="358"/>
      <c r="I88" s="358"/>
      <c r="J88" s="358"/>
      <c r="K88" s="358"/>
      <c r="L88" s="358"/>
      <c r="M88" s="358"/>
      <c r="N88" s="358"/>
      <c r="O88" s="358"/>
      <c r="P88" s="358"/>
      <c r="Q88" s="358"/>
      <c r="R88" s="358"/>
      <c r="S88" s="358"/>
      <c r="T88" s="358"/>
      <c r="U88" s="358"/>
      <c r="V88" s="358"/>
      <c r="W88" s="358"/>
      <c r="X88" s="358"/>
      <c r="Y88" s="359"/>
      <c r="Z88" s="359"/>
      <c r="AA88" s="359"/>
      <c r="AB88" s="359"/>
      <c r="AC88" s="359"/>
      <c r="AD88" s="360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8" sqref="AE8:AE19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476" t="s">
        <v>214</v>
      </c>
      <c r="B1" s="476"/>
      <c r="C1" s="476"/>
      <c r="D1" s="476"/>
      <c r="E1" s="476"/>
      <c r="F1" s="476"/>
      <c r="G1" s="476"/>
      <c r="H1" s="476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/>
      <c r="C3" s="114"/>
      <c r="D3" s="115"/>
      <c r="E3" s="115"/>
      <c r="F3" s="115">
        <f>'05'!AD6</f>
        <v>0</v>
      </c>
      <c r="G3" s="115">
        <f>'06'!AD6</f>
        <v>0</v>
      </c>
      <c r="H3" s="115">
        <f>'07'!AD6</f>
        <v>0</v>
      </c>
      <c r="I3" s="115">
        <f>'08'!AD6</f>
        <v>0.95833333333333337</v>
      </c>
      <c r="J3" s="115">
        <f>'09'!AD6</f>
        <v>1</v>
      </c>
      <c r="K3" s="115">
        <f>'10'!AD6</f>
        <v>1</v>
      </c>
      <c r="L3" s="115"/>
      <c r="M3" s="115">
        <f>'12'!AD6</f>
        <v>1</v>
      </c>
      <c r="N3" s="116">
        <f>'13'!AD6</f>
        <v>0</v>
      </c>
      <c r="O3" s="115">
        <f>'14'!AD6</f>
        <v>0.875</v>
      </c>
      <c r="P3" s="115">
        <f>'15'!AD6</f>
        <v>1</v>
      </c>
      <c r="Q3" s="115">
        <f>'16'!AD6</f>
        <v>0.91666666666666663</v>
      </c>
      <c r="R3" s="115"/>
      <c r="S3" s="115"/>
      <c r="T3" s="115">
        <f>'19'!AD6</f>
        <v>0.95833333333333337</v>
      </c>
      <c r="U3" s="115">
        <f>'20'!AD6</f>
        <v>0.58333333333333337</v>
      </c>
      <c r="V3" s="115">
        <f>'21'!AD6</f>
        <v>0.95833333333333337</v>
      </c>
      <c r="W3" s="116">
        <f>'22'!AD6</f>
        <v>0.83333333333333337</v>
      </c>
      <c r="X3" s="115">
        <f>'23'!AD6</f>
        <v>0.91666666666666663</v>
      </c>
      <c r="Y3" s="115">
        <f>'24'!AD6</f>
        <v>0</v>
      </c>
      <c r="Z3" s="115"/>
      <c r="AA3" s="115">
        <f>'26'!AD6</f>
        <v>0</v>
      </c>
      <c r="AB3" s="115">
        <f>'27'!AD6</f>
        <v>0.38805970149253732</v>
      </c>
      <c r="AC3" s="115">
        <f>'28'!AD6</f>
        <v>0</v>
      </c>
      <c r="AD3" s="115">
        <f>'29'!AD6</f>
        <v>0</v>
      </c>
      <c r="AE3" s="115">
        <f>'30'!AD6</f>
        <v>0</v>
      </c>
      <c r="AF3" s="117"/>
      <c r="AG3" s="118">
        <f>SUM(B3:AF3)/31</f>
        <v>0.36735676456427546</v>
      </c>
    </row>
    <row r="4" spans="1:33" ht="21.75" customHeight="1">
      <c r="A4" s="101" t="s">
        <v>61</v>
      </c>
      <c r="B4" s="98"/>
      <c r="C4" s="98"/>
      <c r="D4" s="77"/>
      <c r="E4" s="77"/>
      <c r="F4" s="77">
        <f>'05'!AD7</f>
        <v>0.66666666666666663</v>
      </c>
      <c r="G4" s="77">
        <f>'06'!AD7</f>
        <v>0.25</v>
      </c>
      <c r="H4" s="77">
        <f>'07'!AD7</f>
        <v>0</v>
      </c>
      <c r="I4" s="77">
        <f>'08'!AD7</f>
        <v>0</v>
      </c>
      <c r="J4" s="77">
        <f>'09'!AD7</f>
        <v>0</v>
      </c>
      <c r="K4" s="77">
        <f>'10'!AD7</f>
        <v>0</v>
      </c>
      <c r="L4" s="77"/>
      <c r="M4" s="77">
        <f>'12'!AD7</f>
        <v>0.16666666666666666</v>
      </c>
      <c r="N4" s="77">
        <f>'13'!AD7</f>
        <v>0.375</v>
      </c>
      <c r="O4" s="77">
        <f>'14'!AD7</f>
        <v>0</v>
      </c>
      <c r="P4" s="77">
        <f>'15'!AD7</f>
        <v>0.58333333333333337</v>
      </c>
      <c r="Q4" s="77">
        <f>'16'!AD7</f>
        <v>0.875</v>
      </c>
      <c r="R4" s="77"/>
      <c r="S4" s="77"/>
      <c r="T4" s="77">
        <f>'19'!AD7</f>
        <v>1</v>
      </c>
      <c r="U4" s="77">
        <f>'20'!AD7</f>
        <v>1</v>
      </c>
      <c r="V4" s="77">
        <f>'21'!AD7</f>
        <v>1</v>
      </c>
      <c r="W4" s="77">
        <f>'22'!AD7</f>
        <v>0.41666666666666669</v>
      </c>
      <c r="X4" s="77">
        <f>'23'!AD7</f>
        <v>0</v>
      </c>
      <c r="Y4" s="77">
        <f>'24'!AD7</f>
        <v>0</v>
      </c>
      <c r="Z4" s="77"/>
      <c r="AA4" s="77">
        <f>'26'!AD7</f>
        <v>0</v>
      </c>
      <c r="AB4" s="77">
        <f>'27'!AD7</f>
        <v>0</v>
      </c>
      <c r="AC4" s="77">
        <f>'28'!AD7</f>
        <v>0.58333333333333337</v>
      </c>
      <c r="AD4" s="77">
        <f>'29'!AD7</f>
        <v>0</v>
      </c>
      <c r="AE4" s="77">
        <f>'30'!AD7</f>
        <v>0</v>
      </c>
      <c r="AF4" s="78"/>
      <c r="AG4" s="79">
        <f t="shared" ref="AG4:AG19" si="0">SUM(B4:AF4)/31</f>
        <v>0.22311827956989244</v>
      </c>
    </row>
    <row r="5" spans="1:33" ht="21.75" customHeight="1">
      <c r="A5" s="101" t="s">
        <v>62</v>
      </c>
      <c r="B5" s="98"/>
      <c r="C5" s="98"/>
      <c r="D5" s="77"/>
      <c r="E5" s="77"/>
      <c r="F5" s="77">
        <f>'05'!AD8</f>
        <v>0.45833333333333331</v>
      </c>
      <c r="G5" s="77">
        <f>'06'!AD8+'06'!AD9+'06'!AD10</f>
        <v>0.95833333333333326</v>
      </c>
      <c r="H5" s="77">
        <f>'07'!AD8</f>
        <v>0.79166666666666663</v>
      </c>
      <c r="I5" s="77">
        <f>'08'!AD8</f>
        <v>1</v>
      </c>
      <c r="J5" s="77">
        <f>'09'!AD8</f>
        <v>0.875</v>
      </c>
      <c r="K5" s="77">
        <f>'10'!AD8</f>
        <v>1</v>
      </c>
      <c r="L5" s="77"/>
      <c r="M5" s="77">
        <f>'12'!AD8</f>
        <v>1</v>
      </c>
      <c r="N5" s="77">
        <f>'13'!AD8</f>
        <v>1</v>
      </c>
      <c r="O5" s="77">
        <f>'14'!AD8</f>
        <v>0.625</v>
      </c>
      <c r="P5" s="77">
        <f>'15'!AD8</f>
        <v>0.875</v>
      </c>
      <c r="Q5" s="77">
        <f>'16'!AD8</f>
        <v>1</v>
      </c>
      <c r="R5" s="77"/>
      <c r="S5" s="77"/>
      <c r="T5" s="77">
        <f>'19'!AD8</f>
        <v>0</v>
      </c>
      <c r="U5" s="77">
        <f>'20'!AD8</f>
        <v>0.58333333333333337</v>
      </c>
      <c r="V5" s="77">
        <f>'21'!AD8</f>
        <v>0.95833333333333337</v>
      </c>
      <c r="W5" s="158">
        <f>'22'!AD8</f>
        <v>1</v>
      </c>
      <c r="X5" s="77">
        <f>'23'!AD8</f>
        <v>0.41666666666666669</v>
      </c>
      <c r="Y5" s="77">
        <f>'24'!AD8</f>
        <v>0.91666666666666663</v>
      </c>
      <c r="Z5" s="77"/>
      <c r="AA5" s="77">
        <f>'26'!AD8</f>
        <v>0</v>
      </c>
      <c r="AB5" s="77">
        <f>'27'!AD8</f>
        <v>0.20833333333333334</v>
      </c>
      <c r="AC5" s="77">
        <f>'28'!AD8</f>
        <v>0.83333333333333337</v>
      </c>
      <c r="AD5" s="77">
        <f>'29'!AD8</f>
        <v>1</v>
      </c>
      <c r="AE5" s="77">
        <f>'30'!AD8</f>
        <v>0.5</v>
      </c>
      <c r="AF5" s="78"/>
      <c r="AG5" s="79">
        <f t="shared" si="0"/>
        <v>0.5161290322580645</v>
      </c>
    </row>
    <row r="6" spans="1:33" ht="21.75" customHeight="1">
      <c r="A6" s="101" t="s">
        <v>63</v>
      </c>
      <c r="B6" s="98"/>
      <c r="C6" s="98"/>
      <c r="D6" s="77"/>
      <c r="E6" s="77"/>
      <c r="F6" s="77">
        <f>'05'!AD9</f>
        <v>0.25</v>
      </c>
      <c r="G6" s="77">
        <f>'06'!AD11</f>
        <v>0.70833333333333337</v>
      </c>
      <c r="H6" s="77">
        <f>'07'!AD9</f>
        <v>0.83333333333333337</v>
      </c>
      <c r="I6" s="77">
        <f>'08'!AD9+'08'!AD10+'08'!AD11</f>
        <v>1</v>
      </c>
      <c r="J6" s="77">
        <f>'09'!AD9</f>
        <v>0</v>
      </c>
      <c r="K6" s="77">
        <f>'10'!AD9</f>
        <v>0</v>
      </c>
      <c r="L6" s="77"/>
      <c r="M6" s="77">
        <f>'12'!AD9</f>
        <v>0</v>
      </c>
      <c r="N6" s="77">
        <f>'13'!AD9</f>
        <v>0.75</v>
      </c>
      <c r="O6" s="77">
        <f>'14'!AD9</f>
        <v>0.16666666666666666</v>
      </c>
      <c r="P6" s="77">
        <f>'15'!AD9</f>
        <v>0.66666666666666663</v>
      </c>
      <c r="Q6" s="77">
        <f>'16'!AD9</f>
        <v>0.625</v>
      </c>
      <c r="R6" s="77"/>
      <c r="S6" s="77"/>
      <c r="T6" s="77">
        <f>'19'!AD9</f>
        <v>0.20833333333333334</v>
      </c>
      <c r="U6" s="77">
        <f>'20'!AD9</f>
        <v>0.45833333333333331</v>
      </c>
      <c r="V6" s="77">
        <f>'21'!AD9</f>
        <v>0.83333333333333337</v>
      </c>
      <c r="W6" s="77">
        <f>'22'!AD9</f>
        <v>0.875</v>
      </c>
      <c r="X6" s="77">
        <f>'23'!AD9</f>
        <v>0.75</v>
      </c>
      <c r="Y6" s="77">
        <f>'24'!AD9</f>
        <v>0</v>
      </c>
      <c r="Z6" s="77"/>
      <c r="AA6" s="77">
        <f>'26'!AD9</f>
        <v>0.66666666666666663</v>
      </c>
      <c r="AB6" s="77">
        <f>'27'!AD9</f>
        <v>0.66666666666666663</v>
      </c>
      <c r="AC6" s="77">
        <f>'28'!AD9</f>
        <v>1</v>
      </c>
      <c r="AD6" s="77">
        <f>'29'!AD9</f>
        <v>1</v>
      </c>
      <c r="AE6" s="77">
        <f>'30'!AD9+'30'!AD10</f>
        <v>0.29166666666666663</v>
      </c>
      <c r="AF6" s="78"/>
      <c r="AG6" s="79">
        <f t="shared" si="0"/>
        <v>0.37903225806451607</v>
      </c>
    </row>
    <row r="7" spans="1:33" ht="21.75" customHeight="1">
      <c r="A7" s="101" t="s">
        <v>64</v>
      </c>
      <c r="B7" s="98"/>
      <c r="C7" s="98"/>
      <c r="D7" s="77"/>
      <c r="E7" s="77"/>
      <c r="F7" s="77">
        <f>'05'!AD10</f>
        <v>0.91666666666666663</v>
      </c>
      <c r="G7" s="77">
        <f>'06'!AD12</f>
        <v>1</v>
      </c>
      <c r="H7" s="77">
        <f>'07'!AD10</f>
        <v>0.91666666666666663</v>
      </c>
      <c r="I7" s="77">
        <f>'08'!AD12</f>
        <v>1</v>
      </c>
      <c r="J7" s="77">
        <f>'09'!AD10</f>
        <v>1</v>
      </c>
      <c r="K7" s="77">
        <f>'10'!AD10</f>
        <v>1</v>
      </c>
      <c r="L7" s="77"/>
      <c r="M7" s="77">
        <f>'12'!AD10</f>
        <v>1</v>
      </c>
      <c r="N7" s="77">
        <f>'13'!AD10</f>
        <v>1</v>
      </c>
      <c r="O7" s="77">
        <f>'14'!AD10</f>
        <v>1</v>
      </c>
      <c r="P7" s="77">
        <f>'15'!AD10</f>
        <v>1</v>
      </c>
      <c r="Q7" s="77">
        <f>'16'!AD10</f>
        <v>1</v>
      </c>
      <c r="R7" s="77"/>
      <c r="S7" s="77"/>
      <c r="T7" s="77">
        <f>'19'!AD10</f>
        <v>1</v>
      </c>
      <c r="U7" s="77">
        <f>'20'!AD10</f>
        <v>1</v>
      </c>
      <c r="V7" s="77">
        <f>'21'!AD10</f>
        <v>1</v>
      </c>
      <c r="W7" s="77">
        <f>'22'!AD10</f>
        <v>1</v>
      </c>
      <c r="X7" s="77">
        <f>'23'!AD10</f>
        <v>1</v>
      </c>
      <c r="Y7" s="77">
        <f>'24'!AD10</f>
        <v>1</v>
      </c>
      <c r="Z7" s="77"/>
      <c r="AA7" s="77">
        <f>'26'!AD10</f>
        <v>1</v>
      </c>
      <c r="AB7" s="77">
        <f>'27'!AD10</f>
        <v>1</v>
      </c>
      <c r="AC7" s="77">
        <f>'28'!AD10</f>
        <v>1</v>
      </c>
      <c r="AD7" s="77">
        <f>'29'!AD10+'29'!AD11</f>
        <v>0.25</v>
      </c>
      <c r="AE7" s="77">
        <f>'30'!AD11</f>
        <v>0.41666666666666669</v>
      </c>
      <c r="AF7" s="78"/>
      <c r="AG7" s="79">
        <f t="shared" si="0"/>
        <v>0.66129032258064513</v>
      </c>
    </row>
    <row r="8" spans="1:33" ht="21.75" customHeight="1">
      <c r="A8" s="101" t="s">
        <v>65</v>
      </c>
      <c r="B8" s="98"/>
      <c r="C8" s="98"/>
      <c r="D8" s="77"/>
      <c r="E8" s="77"/>
      <c r="F8" s="77">
        <f>'05'!AD11</f>
        <v>1</v>
      </c>
      <c r="G8" s="77">
        <f>'06'!AD13</f>
        <v>0.58333333333333337</v>
      </c>
      <c r="H8" s="77">
        <f>'07'!AD11</f>
        <v>0</v>
      </c>
      <c r="I8" s="77">
        <f>'08'!AD13</f>
        <v>0</v>
      </c>
      <c r="J8" s="77">
        <f>'09'!AD11</f>
        <v>0</v>
      </c>
      <c r="K8" s="77">
        <f>'10'!AD11</f>
        <v>0</v>
      </c>
      <c r="L8" s="77"/>
      <c r="M8" s="77">
        <f>'12'!AD11</f>
        <v>0</v>
      </c>
      <c r="N8" s="77">
        <f>'13'!AD11</f>
        <v>0</v>
      </c>
      <c r="O8" s="77">
        <f>'14'!AD11</f>
        <v>0</v>
      </c>
      <c r="P8" s="77">
        <f>'15'!AD11</f>
        <v>0</v>
      </c>
      <c r="Q8" s="77">
        <f>'16'!AD11</f>
        <v>0</v>
      </c>
      <c r="R8" s="77"/>
      <c r="S8" s="77"/>
      <c r="T8" s="77">
        <f>'19'!AD11</f>
        <v>0.5</v>
      </c>
      <c r="U8" s="77">
        <f>'20'!AD11</f>
        <v>0</v>
      </c>
      <c r="V8" s="77">
        <f>'21'!AD11</f>
        <v>0.125</v>
      </c>
      <c r="W8" s="77">
        <f>'22'!AD11</f>
        <v>0.58333333333333337</v>
      </c>
      <c r="X8" s="77">
        <f>'23'!AD11</f>
        <v>0</v>
      </c>
      <c r="Y8" s="77">
        <f>'24'!AD11</f>
        <v>0</v>
      </c>
      <c r="Z8" s="77"/>
      <c r="AA8" s="77">
        <f>'26'!AD11</f>
        <v>0</v>
      </c>
      <c r="AB8" s="77">
        <f>'27'!AD11</f>
        <v>0.91666666666666663</v>
      </c>
      <c r="AC8" s="77">
        <f>'28'!AD11</f>
        <v>1</v>
      </c>
      <c r="AD8" s="77">
        <f>'29'!AD12</f>
        <v>0.41666666666666669</v>
      </c>
      <c r="AE8" s="77">
        <f>'30'!AD12</f>
        <v>0</v>
      </c>
      <c r="AF8" s="78"/>
      <c r="AG8" s="79">
        <f t="shared" si="0"/>
        <v>0.16532258064516131</v>
      </c>
    </row>
    <row r="9" spans="1:33" ht="21.75" customHeight="1">
      <c r="A9" s="101" t="s">
        <v>66</v>
      </c>
      <c r="B9" s="98"/>
      <c r="C9" s="98"/>
      <c r="D9" s="77"/>
      <c r="E9" s="77"/>
      <c r="F9" s="77">
        <f>'05'!AD12</f>
        <v>0</v>
      </c>
      <c r="G9" s="77">
        <f>'06'!AD14</f>
        <v>0.91666666666666663</v>
      </c>
      <c r="H9" s="77">
        <f>'07'!AD12+'07'!AD13</f>
        <v>0.83333333333333337</v>
      </c>
      <c r="I9" s="77">
        <f>'08'!AD14</f>
        <v>0.29166666666666669</v>
      </c>
      <c r="J9" s="77">
        <f>'09'!AD12</f>
        <v>0.79166666666666663</v>
      </c>
      <c r="K9" s="77">
        <f>'10'!AD12</f>
        <v>1</v>
      </c>
      <c r="L9" s="77"/>
      <c r="M9" s="77">
        <f>'12'!AD12</f>
        <v>1</v>
      </c>
      <c r="N9" s="77">
        <f>'13'!AD12</f>
        <v>1</v>
      </c>
      <c r="O9" s="77">
        <f>'14'!AD12</f>
        <v>1</v>
      </c>
      <c r="P9" s="77">
        <f>'15'!AD12</f>
        <v>1</v>
      </c>
      <c r="Q9" s="77">
        <f>'16'!AD12</f>
        <v>1</v>
      </c>
      <c r="R9" s="77"/>
      <c r="S9" s="77"/>
      <c r="T9" s="77">
        <f>'19'!AD12</f>
        <v>0.875</v>
      </c>
      <c r="U9" s="77">
        <f>'20'!AD12</f>
        <v>1</v>
      </c>
      <c r="V9" s="77">
        <f>'21'!AD12</f>
        <v>1</v>
      </c>
      <c r="W9" s="77">
        <f>'22'!AD12</f>
        <v>0.875</v>
      </c>
      <c r="X9" s="77">
        <f>'23'!AD12</f>
        <v>1</v>
      </c>
      <c r="Y9" s="77">
        <f>'24'!AD12</f>
        <v>1</v>
      </c>
      <c r="Z9" s="77"/>
      <c r="AA9" s="77">
        <f>'26'!AD12</f>
        <v>1</v>
      </c>
      <c r="AB9" s="77">
        <f>'27'!AD12</f>
        <v>1</v>
      </c>
      <c r="AC9" s="77">
        <f>'28'!AD12</f>
        <v>1</v>
      </c>
      <c r="AD9" s="77">
        <f>'29'!AD13</f>
        <v>1</v>
      </c>
      <c r="AE9" s="77">
        <f>'30'!AD13</f>
        <v>1</v>
      </c>
      <c r="AF9" s="78"/>
      <c r="AG9" s="79">
        <f t="shared" si="0"/>
        <v>0.63172043010752688</v>
      </c>
    </row>
    <row r="10" spans="1:33" ht="21.75" customHeight="1">
      <c r="A10" s="101" t="s">
        <v>67</v>
      </c>
      <c r="B10" s="98"/>
      <c r="C10" s="98"/>
      <c r="D10" s="77"/>
      <c r="E10" s="77"/>
      <c r="F10" s="77">
        <f>'05'!AD13</f>
        <v>0</v>
      </c>
      <c r="G10" s="77">
        <f>'06'!AD15</f>
        <v>0</v>
      </c>
      <c r="H10" s="77">
        <f>'07'!AD14</f>
        <v>0</v>
      </c>
      <c r="I10" s="77">
        <f>'08'!AD15</f>
        <v>0.79166666666666663</v>
      </c>
      <c r="J10" s="77">
        <f>'09'!AD13</f>
        <v>0.45833333333333331</v>
      </c>
      <c r="K10" s="77">
        <f>'10'!AD13</f>
        <v>0</v>
      </c>
      <c r="L10" s="77"/>
      <c r="M10" s="77">
        <f>'12'!AD13</f>
        <v>0</v>
      </c>
      <c r="N10" s="77">
        <f>'13'!AD13</f>
        <v>0</v>
      </c>
      <c r="O10" s="77">
        <f>'14'!AD13</f>
        <v>0</v>
      </c>
      <c r="P10" s="77">
        <f>'15'!AD13</f>
        <v>0</v>
      </c>
      <c r="Q10" s="77">
        <f>'16'!AD13</f>
        <v>0</v>
      </c>
      <c r="R10" s="77"/>
      <c r="S10" s="77"/>
      <c r="T10" s="77">
        <f>'19'!AD13</f>
        <v>0.625</v>
      </c>
      <c r="U10" s="77">
        <f>'20'!AD13</f>
        <v>0</v>
      </c>
      <c r="V10" s="77">
        <f>'21'!AD13</f>
        <v>0</v>
      </c>
      <c r="W10" s="77">
        <f>'22'!AD13</f>
        <v>0</v>
      </c>
      <c r="X10" s="77">
        <f>'23'!AD13</f>
        <v>0</v>
      </c>
      <c r="Y10" s="77">
        <f>'24'!AD13</f>
        <v>0</v>
      </c>
      <c r="Z10" s="77"/>
      <c r="AA10" s="77">
        <f>'26'!AD13</f>
        <v>0</v>
      </c>
      <c r="AB10" s="77">
        <f>'27'!AD13</f>
        <v>0</v>
      </c>
      <c r="AC10" s="77">
        <f>'28'!AD13</f>
        <v>0</v>
      </c>
      <c r="AD10" s="77">
        <f>'29'!AD14+'29'!AD15</f>
        <v>0.25</v>
      </c>
      <c r="AE10" s="77">
        <f>'30'!AD14</f>
        <v>0.875</v>
      </c>
      <c r="AF10" s="78"/>
      <c r="AG10" s="79">
        <f t="shared" si="0"/>
        <v>9.6774193548387094E-2</v>
      </c>
    </row>
    <row r="11" spans="1:33" ht="21.75" customHeight="1">
      <c r="A11" s="106" t="s">
        <v>68</v>
      </c>
      <c r="B11" s="107"/>
      <c r="C11" s="107"/>
      <c r="D11" s="108"/>
      <c r="E11" s="108"/>
      <c r="F11" s="108">
        <f>'05'!AD14</f>
        <v>0</v>
      </c>
      <c r="G11" s="108">
        <f>'06'!AD16</f>
        <v>0</v>
      </c>
      <c r="H11" s="108">
        <f>'07'!AD15</f>
        <v>0</v>
      </c>
      <c r="I11" s="108">
        <f>'08'!AD16</f>
        <v>0</v>
      </c>
      <c r="J11" s="108">
        <f>'09'!AD14</f>
        <v>0</v>
      </c>
      <c r="K11" s="108">
        <f>'10'!AD14</f>
        <v>0</v>
      </c>
      <c r="L11" s="108"/>
      <c r="M11" s="108">
        <f>'12'!AD14</f>
        <v>0</v>
      </c>
      <c r="N11" s="108">
        <f>'13'!AD14</f>
        <v>0</v>
      </c>
      <c r="O11" s="108">
        <f>'14'!AD14</f>
        <v>0</v>
      </c>
      <c r="P11" s="108">
        <f>'15'!AD14</f>
        <v>0</v>
      </c>
      <c r="Q11" s="108">
        <f>'16'!AD14</f>
        <v>0</v>
      </c>
      <c r="R11" s="108"/>
      <c r="S11" s="108"/>
      <c r="T11" s="108">
        <f>'19'!AD14</f>
        <v>0</v>
      </c>
      <c r="U11" s="108">
        <f>'20'!AD14</f>
        <v>0</v>
      </c>
      <c r="V11" s="108">
        <f>'21'!AD14</f>
        <v>0</v>
      </c>
      <c r="W11" s="108">
        <f>'22'!AD14</f>
        <v>0</v>
      </c>
      <c r="X11" s="108">
        <f>'23'!AD14</f>
        <v>0</v>
      </c>
      <c r="Y11" s="108">
        <f>'24'!AD14</f>
        <v>0</v>
      </c>
      <c r="Z11" s="108"/>
      <c r="AA11" s="108">
        <f>'26'!AD14</f>
        <v>0</v>
      </c>
      <c r="AB11" s="108">
        <f>'27'!AD14</f>
        <v>0</v>
      </c>
      <c r="AC11" s="108">
        <f>'28'!AD14</f>
        <v>0</v>
      </c>
      <c r="AD11" s="108">
        <f>'29'!AD16</f>
        <v>0</v>
      </c>
      <c r="AE11" s="108">
        <f>'30'!AD15</f>
        <v>0</v>
      </c>
      <c r="AF11" s="109"/>
      <c r="AG11" s="110">
        <f t="shared" si="0"/>
        <v>0</v>
      </c>
    </row>
    <row r="12" spans="1:33" ht="21.75" customHeight="1">
      <c r="A12" s="100" t="s">
        <v>69</v>
      </c>
      <c r="B12" s="97"/>
      <c r="C12" s="97"/>
      <c r="D12" s="74"/>
      <c r="E12" s="74"/>
      <c r="F12" s="74">
        <f>'05'!AD15</f>
        <v>0</v>
      </c>
      <c r="G12" s="74">
        <f>'06'!AD17</f>
        <v>0</v>
      </c>
      <c r="H12" s="74">
        <f>'07'!AD16</f>
        <v>0</v>
      </c>
      <c r="I12" s="74">
        <f>'08'!AD17</f>
        <v>0</v>
      </c>
      <c r="J12" s="74">
        <f>'09'!AD15</f>
        <v>0</v>
      </c>
      <c r="K12" s="74">
        <f>'10'!AD15</f>
        <v>0</v>
      </c>
      <c r="L12" s="74"/>
      <c r="M12" s="74">
        <f>'12'!AD15</f>
        <v>0</v>
      </c>
      <c r="N12" s="74">
        <f>'13'!AD15</f>
        <v>0.70833333333333337</v>
      </c>
      <c r="O12" s="74">
        <f>'14'!AD15</f>
        <v>0.125</v>
      </c>
      <c r="P12" s="74">
        <f>'15'!AD15</f>
        <v>0</v>
      </c>
      <c r="Q12" s="74">
        <f>'16'!AD15</f>
        <v>0.25</v>
      </c>
      <c r="R12" s="74"/>
      <c r="S12" s="74"/>
      <c r="T12" s="74">
        <f>'19'!AD15</f>
        <v>0</v>
      </c>
      <c r="U12" s="74">
        <f>'20'!AD15</f>
        <v>0</v>
      </c>
      <c r="V12" s="74">
        <f>'21'!AD15</f>
        <v>0.5</v>
      </c>
      <c r="W12" s="74">
        <f>'22'!AD15</f>
        <v>1</v>
      </c>
      <c r="X12" s="74">
        <f>'23'!AD15</f>
        <v>1</v>
      </c>
      <c r="Y12" s="74">
        <f>'24'!AD15</f>
        <v>0</v>
      </c>
      <c r="Z12" s="74"/>
      <c r="AA12" s="74">
        <f>'26'!AD15</f>
        <v>0</v>
      </c>
      <c r="AB12" s="74">
        <f>'27'!AD15</f>
        <v>0</v>
      </c>
      <c r="AC12" s="74">
        <f>'28'!AD15</f>
        <v>0</v>
      </c>
      <c r="AD12" s="74">
        <f>'29'!AD17</f>
        <v>0</v>
      </c>
      <c r="AE12" s="74">
        <f>'30'!AD16</f>
        <v>0</v>
      </c>
      <c r="AF12" s="75"/>
      <c r="AG12" s="76">
        <f t="shared" si="0"/>
        <v>0.11559139784946237</v>
      </c>
    </row>
    <row r="13" spans="1:33" ht="21.75" customHeight="1">
      <c r="A13" s="101" t="s">
        <v>70</v>
      </c>
      <c r="B13" s="98"/>
      <c r="C13" s="98"/>
      <c r="D13" s="77"/>
      <c r="E13" s="77"/>
      <c r="F13" s="77">
        <f>'05'!AD16</f>
        <v>0.79166666666666663</v>
      </c>
      <c r="G13" s="77">
        <f>'06'!AD18</f>
        <v>1</v>
      </c>
      <c r="H13" s="77">
        <f>'07'!AD17</f>
        <v>1</v>
      </c>
      <c r="I13" s="77">
        <f>'08'!AD18+'08'!AD19</f>
        <v>0.91666666666666674</v>
      </c>
      <c r="J13" s="77">
        <f>'09'!AD16</f>
        <v>1</v>
      </c>
      <c r="K13" s="77">
        <f>'10'!AD16</f>
        <v>1</v>
      </c>
      <c r="L13" s="77"/>
      <c r="M13" s="77">
        <f>'12'!AD16</f>
        <v>1</v>
      </c>
      <c r="N13" s="77">
        <f>'13'!AD16</f>
        <v>1</v>
      </c>
      <c r="O13" s="77">
        <f>'14'!AD16</f>
        <v>1</v>
      </c>
      <c r="P13" s="77">
        <f>'15'!AD16</f>
        <v>1</v>
      </c>
      <c r="Q13" s="77">
        <f>'16'!AD16</f>
        <v>1</v>
      </c>
      <c r="R13" s="77"/>
      <c r="S13" s="77"/>
      <c r="T13" s="77">
        <f>'19'!AD16</f>
        <v>1</v>
      </c>
      <c r="U13" s="77">
        <f>'20'!AD16</f>
        <v>1</v>
      </c>
      <c r="V13" s="77">
        <f>'21'!AD16</f>
        <v>0</v>
      </c>
      <c r="W13" s="77">
        <f>'22'!AD16</f>
        <v>0.45833333333333331</v>
      </c>
      <c r="X13" s="77">
        <f>'23'!AD16</f>
        <v>1</v>
      </c>
      <c r="Y13" s="77">
        <f>'24'!AD16</f>
        <v>1</v>
      </c>
      <c r="Z13" s="77"/>
      <c r="AA13" s="77">
        <f>'26'!AD16</f>
        <v>0.70833333333333337</v>
      </c>
      <c r="AB13" s="77">
        <f>'27'!AD16</f>
        <v>0</v>
      </c>
      <c r="AC13" s="77">
        <f>'28'!AD16</f>
        <v>0.125</v>
      </c>
      <c r="AD13" s="77">
        <f>'29'!AD18</f>
        <v>0</v>
      </c>
      <c r="AE13" s="77">
        <f>'30'!AD17</f>
        <v>0.875</v>
      </c>
      <c r="AF13" s="78"/>
      <c r="AG13" s="79">
        <f t="shared" si="0"/>
        <v>0.54435483870967738</v>
      </c>
    </row>
    <row r="14" spans="1:33" ht="21.75" customHeight="1">
      <c r="A14" s="100" t="s">
        <v>71</v>
      </c>
      <c r="B14" s="97"/>
      <c r="C14" s="97"/>
      <c r="D14" s="74"/>
      <c r="E14" s="74"/>
      <c r="F14" s="74">
        <f>'05'!AD17</f>
        <v>0.45833333333333331</v>
      </c>
      <c r="G14" s="74">
        <f>'06'!AD19</f>
        <v>0.33333333333333331</v>
      </c>
      <c r="H14" s="74">
        <f>'07'!AD18</f>
        <v>0.29166666666666669</v>
      </c>
      <c r="I14" s="74">
        <f>'08'!AD20</f>
        <v>0</v>
      </c>
      <c r="J14" s="74">
        <f>'09'!AD17</f>
        <v>0</v>
      </c>
      <c r="K14" s="74">
        <f>'10'!AD17</f>
        <v>0</v>
      </c>
      <c r="L14" s="74"/>
      <c r="M14" s="74">
        <f>'12'!AD17</f>
        <v>0</v>
      </c>
      <c r="N14" s="74">
        <f>'13'!AD17</f>
        <v>0.66666666666666663</v>
      </c>
      <c r="O14" s="74">
        <f>'14'!AD17</f>
        <v>1</v>
      </c>
      <c r="P14" s="74">
        <f>'15'!AD17</f>
        <v>1</v>
      </c>
      <c r="Q14" s="74">
        <f>'16'!AD17</f>
        <v>1</v>
      </c>
      <c r="R14" s="74"/>
      <c r="S14" s="74"/>
      <c r="T14" s="74">
        <f>'19'!AD17</f>
        <v>0</v>
      </c>
      <c r="U14" s="74">
        <f>'20'!AD17</f>
        <v>0</v>
      </c>
      <c r="V14" s="74">
        <f>'21'!AD17</f>
        <v>0</v>
      </c>
      <c r="W14" s="74">
        <f>'22'!AD17</f>
        <v>0</v>
      </c>
      <c r="X14" s="74">
        <f>'23'!AD17</f>
        <v>0</v>
      </c>
      <c r="Y14" s="74">
        <f>'24'!AD17</f>
        <v>0</v>
      </c>
      <c r="Z14" s="74"/>
      <c r="AA14" s="74">
        <f>'26'!AD17</f>
        <v>0</v>
      </c>
      <c r="AB14" s="74">
        <f>'27'!AD17</f>
        <v>0.66666666666666663</v>
      </c>
      <c r="AC14" s="74">
        <f>'28'!AD17</f>
        <v>1</v>
      </c>
      <c r="AD14" s="74">
        <f>'29'!AD19</f>
        <v>0.54166666666666663</v>
      </c>
      <c r="AE14" s="74">
        <f>'30'!AD18</f>
        <v>0.83333333333333337</v>
      </c>
      <c r="AF14" s="75"/>
      <c r="AG14" s="76">
        <f t="shared" si="0"/>
        <v>0.25134408602150538</v>
      </c>
    </row>
    <row r="15" spans="1:33" ht="21.75" customHeight="1">
      <c r="A15" s="101" t="s">
        <v>72</v>
      </c>
      <c r="B15" s="98"/>
      <c r="C15" s="98"/>
      <c r="D15" s="77"/>
      <c r="E15" s="77"/>
      <c r="F15" s="77">
        <f>'05'!AD18</f>
        <v>0.875</v>
      </c>
      <c r="G15" s="77">
        <f>'06'!AD20</f>
        <v>0.91666666666666663</v>
      </c>
      <c r="H15" s="77">
        <f>'07'!AD19</f>
        <v>0.58333333333333337</v>
      </c>
      <c r="I15" s="77">
        <f>'08'!AD21</f>
        <v>0.875</v>
      </c>
      <c r="J15" s="77">
        <f>'09'!AD18</f>
        <v>1</v>
      </c>
      <c r="K15" s="77">
        <f>'10'!AD18</f>
        <v>0.25</v>
      </c>
      <c r="L15" s="77"/>
      <c r="M15" s="77">
        <f>'12'!AD18</f>
        <v>0.79166666666666663</v>
      </c>
      <c r="N15" s="77">
        <f>'13'!AD18</f>
        <v>0.75</v>
      </c>
      <c r="O15" s="77">
        <f>'14'!AD18</f>
        <v>0.91666666666666663</v>
      </c>
      <c r="P15" s="77">
        <f>'15'!AD18</f>
        <v>0.875</v>
      </c>
      <c r="Q15" s="77">
        <f>'16'!AD18</f>
        <v>1</v>
      </c>
      <c r="R15" s="77"/>
      <c r="S15" s="77"/>
      <c r="T15" s="77">
        <f>'19'!AD18</f>
        <v>0.45833333333333331</v>
      </c>
      <c r="U15" s="77">
        <f>'20'!AD18</f>
        <v>0</v>
      </c>
      <c r="V15" s="77">
        <f>'21'!AD18</f>
        <v>0.58333333333333337</v>
      </c>
      <c r="W15" s="77">
        <f>'22'!AD18</f>
        <v>0.45833333333333331</v>
      </c>
      <c r="X15" s="77">
        <f>'23'!AD18</f>
        <v>0</v>
      </c>
      <c r="Y15" s="77">
        <f>'24'!AD18</f>
        <v>0</v>
      </c>
      <c r="Z15" s="77"/>
      <c r="AA15" s="77">
        <f>'26'!AD18</f>
        <v>0</v>
      </c>
      <c r="AB15" s="77">
        <f>'27'!AD18</f>
        <v>0.33333333333333331</v>
      </c>
      <c r="AC15" s="77">
        <f>'28'!AD18</f>
        <v>0.875</v>
      </c>
      <c r="AD15" s="77">
        <f>'29'!AD20</f>
        <v>1</v>
      </c>
      <c r="AE15" s="77">
        <f>'30'!AD19</f>
        <v>1</v>
      </c>
      <c r="AF15" s="78"/>
      <c r="AG15" s="79">
        <f t="shared" si="0"/>
        <v>0.43682795698924742</v>
      </c>
    </row>
    <row r="16" spans="1:33" ht="21.75" customHeight="1">
      <c r="A16" s="101" t="s">
        <v>123</v>
      </c>
      <c r="B16" s="98"/>
      <c r="C16" s="98"/>
      <c r="D16" s="77"/>
      <c r="E16" s="77"/>
      <c r="F16" s="77">
        <f>'05'!AD19+'05'!AD20</f>
        <v>0.95833333333333326</v>
      </c>
      <c r="G16" s="77">
        <f>'06'!AD21+'06'!AD22</f>
        <v>0.91666666666666674</v>
      </c>
      <c r="H16" s="77">
        <f>'07'!AD20</f>
        <v>1</v>
      </c>
      <c r="I16" s="77">
        <f>'08'!AD22+'08'!AD23</f>
        <v>0.625</v>
      </c>
      <c r="J16" s="77">
        <f>'09'!AD19</f>
        <v>0.79166666666666663</v>
      </c>
      <c r="K16" s="77">
        <f>'10'!AD19</f>
        <v>0.83333333333333337</v>
      </c>
      <c r="L16" s="77"/>
      <c r="M16" s="77">
        <f>'12'!AD19</f>
        <v>1</v>
      </c>
      <c r="N16" s="77">
        <f>'13'!AD19</f>
        <v>1</v>
      </c>
      <c r="O16" s="77">
        <f>'14'!AD19</f>
        <v>1</v>
      </c>
      <c r="P16" s="77">
        <f>'15'!AD19</f>
        <v>0.33333333333333331</v>
      </c>
      <c r="Q16" s="77">
        <f>'16'!AD19</f>
        <v>0</v>
      </c>
      <c r="R16" s="77"/>
      <c r="S16" s="77"/>
      <c r="T16" s="77">
        <f>'19'!AD19</f>
        <v>0</v>
      </c>
      <c r="U16" s="77">
        <f>'20'!AD19</f>
        <v>0.41666666666666669</v>
      </c>
      <c r="V16" s="77">
        <f>'21'!AD19</f>
        <v>0</v>
      </c>
      <c r="W16" s="77">
        <f>'22'!AD19</f>
        <v>0.83333333333333337</v>
      </c>
      <c r="X16" s="77">
        <f>'23'!AD19</f>
        <v>0.91666666666666663</v>
      </c>
      <c r="Y16" s="77">
        <f>'24'!AD19</f>
        <v>0.875</v>
      </c>
      <c r="Z16" s="77"/>
      <c r="AA16" s="77">
        <f>'26'!AD19</f>
        <v>1</v>
      </c>
      <c r="AB16" s="77">
        <f>'27'!AD19</f>
        <v>0.83333333333333337</v>
      </c>
      <c r="AC16" s="77">
        <f>'28'!AD19</f>
        <v>1</v>
      </c>
      <c r="AD16" s="77">
        <f>'29'!AD21</f>
        <v>0.875</v>
      </c>
      <c r="AE16" s="77">
        <f>'30'!AD20</f>
        <v>1</v>
      </c>
      <c r="AF16" s="78"/>
      <c r="AG16" s="79">
        <f t="shared" si="0"/>
        <v>0.52284946236559149</v>
      </c>
    </row>
    <row r="17" spans="1:33" ht="21.75" customHeight="1">
      <c r="A17" s="101" t="s">
        <v>124</v>
      </c>
      <c r="B17" s="98"/>
      <c r="C17" s="98"/>
      <c r="D17" s="77"/>
      <c r="E17" s="77"/>
      <c r="F17" s="77">
        <f>'05'!AD21</f>
        <v>0.5</v>
      </c>
      <c r="G17" s="77">
        <f>'06'!AD23</f>
        <v>0.5</v>
      </c>
      <c r="H17" s="77">
        <f>'07'!AD21</f>
        <v>1</v>
      </c>
      <c r="I17" s="77">
        <f>'08'!AD24</f>
        <v>1</v>
      </c>
      <c r="J17" s="77">
        <f>'09'!AD20</f>
        <v>0</v>
      </c>
      <c r="K17" s="77">
        <f>'10'!AD20</f>
        <v>0</v>
      </c>
      <c r="L17" s="77"/>
      <c r="M17" s="77">
        <f>'12'!AD20</f>
        <v>0</v>
      </c>
      <c r="N17" s="77">
        <f>'13'!AD20</f>
        <v>0</v>
      </c>
      <c r="O17" s="77">
        <f>'14'!AD20</f>
        <v>0.95833333333333337</v>
      </c>
      <c r="P17" s="77">
        <f>'15'!AD20</f>
        <v>1</v>
      </c>
      <c r="Q17" s="77">
        <f>'16'!AD20</f>
        <v>0.91666666666666663</v>
      </c>
      <c r="R17" s="77"/>
      <c r="S17" s="77"/>
      <c r="T17" s="77">
        <f>'19'!AD20</f>
        <v>0.83333333333333337</v>
      </c>
      <c r="U17" s="77">
        <f>'20'!AD20</f>
        <v>0.875</v>
      </c>
      <c r="V17" s="77">
        <f>'21'!AD20</f>
        <v>0.95833333333333337</v>
      </c>
      <c r="W17" s="77">
        <f>'22'!AD20</f>
        <v>0</v>
      </c>
      <c r="X17" s="77">
        <f>'23'!AD20</f>
        <v>0</v>
      </c>
      <c r="Y17" s="77">
        <f>'24'!AD20</f>
        <v>0</v>
      </c>
      <c r="Z17" s="77"/>
      <c r="AA17" s="77">
        <f>'26'!AD20</f>
        <v>0.58333333333333337</v>
      </c>
      <c r="AB17" s="77">
        <f>'27'!AD20</f>
        <v>0.75</v>
      </c>
      <c r="AC17" s="77">
        <f>'28'!AD20</f>
        <v>1</v>
      </c>
      <c r="AD17" s="77">
        <f>'29'!AD22</f>
        <v>1</v>
      </c>
      <c r="AE17" s="77">
        <f>'30'!AD21</f>
        <v>1</v>
      </c>
      <c r="AF17" s="78"/>
      <c r="AG17" s="79">
        <f t="shared" si="0"/>
        <v>0.41532258064516137</v>
      </c>
    </row>
    <row r="18" spans="1:33" ht="21.75" customHeight="1" thickBot="1">
      <c r="A18" s="102" t="s">
        <v>125</v>
      </c>
      <c r="B18" s="99"/>
      <c r="C18" s="99"/>
      <c r="D18" s="80"/>
      <c r="E18" s="80"/>
      <c r="F18" s="80">
        <f>'05'!AD22</f>
        <v>0</v>
      </c>
      <c r="G18" s="80">
        <f>'06'!AD24</f>
        <v>0</v>
      </c>
      <c r="H18" s="80">
        <f>'07'!AD22</f>
        <v>0</v>
      </c>
      <c r="I18" s="80">
        <f>'08'!AD25</f>
        <v>0</v>
      </c>
      <c r="J18" s="80">
        <f>'09'!AD21</f>
        <v>0</v>
      </c>
      <c r="K18" s="80">
        <f>'10'!AD21</f>
        <v>0</v>
      </c>
      <c r="L18" s="80"/>
      <c r="M18" s="80">
        <f>'12'!AD21</f>
        <v>0</v>
      </c>
      <c r="N18" s="80">
        <f>'13'!AD21</f>
        <v>0</v>
      </c>
      <c r="O18" s="80">
        <f>'14'!AD21</f>
        <v>0</v>
      </c>
      <c r="P18" s="80">
        <f>'15'!AD21</f>
        <v>0</v>
      </c>
      <c r="Q18" s="80">
        <f>'16'!AD21</f>
        <v>0</v>
      </c>
      <c r="R18" s="80"/>
      <c r="S18" s="80"/>
      <c r="T18" s="80">
        <f>'19'!AD21</f>
        <v>0</v>
      </c>
      <c r="U18" s="80">
        <f>'20'!AD21</f>
        <v>0</v>
      </c>
      <c r="V18" s="80">
        <f>'21'!AD21</f>
        <v>0</v>
      </c>
      <c r="W18" s="80">
        <f>'22'!AD21</f>
        <v>0</v>
      </c>
      <c r="X18" s="80">
        <f>'23'!AD21</f>
        <v>0</v>
      </c>
      <c r="Y18" s="80">
        <f>'24'!AD21</f>
        <v>0</v>
      </c>
      <c r="Z18" s="80"/>
      <c r="AA18" s="80">
        <f>'26'!AD21</f>
        <v>0</v>
      </c>
      <c r="AB18" s="80">
        <f>'27'!AD21</f>
        <v>0</v>
      </c>
      <c r="AC18" s="80">
        <f>'28'!AD21</f>
        <v>0</v>
      </c>
      <c r="AD18" s="80">
        <f>'29'!AD23</f>
        <v>0</v>
      </c>
      <c r="AE18" s="80">
        <f>'30'!AD22</f>
        <v>0</v>
      </c>
      <c r="AF18" s="81"/>
      <c r="AG18" s="82">
        <f t="shared" si="0"/>
        <v>0</v>
      </c>
    </row>
    <row r="19" spans="1:33" s="83" customFormat="1" ht="21.75" customHeight="1">
      <c r="A19" s="87" t="s">
        <v>104</v>
      </c>
      <c r="B19" s="91"/>
      <c r="C19" s="91"/>
      <c r="D19" s="92"/>
      <c r="E19" s="92"/>
      <c r="F19" s="92">
        <f>'05'!AD23</f>
        <v>0.4044117647058823</v>
      </c>
      <c r="G19" s="92">
        <f>'06'!AD25</f>
        <v>0.425438596491228</v>
      </c>
      <c r="H19" s="92">
        <f>'07'!AD23</f>
        <v>0.4264705882352941</v>
      </c>
      <c r="I19" s="92">
        <f>'08'!AD26</f>
        <v>0.42291666666666672</v>
      </c>
      <c r="J19" s="92">
        <f>'09'!AD22</f>
        <v>0.43229166666666669</v>
      </c>
      <c r="K19" s="92">
        <f>'10'!AD22</f>
        <v>0.38020833333333331</v>
      </c>
      <c r="L19" s="92"/>
      <c r="M19" s="92">
        <f>'12'!AD22</f>
        <v>0.43489583333333337</v>
      </c>
      <c r="N19" s="92">
        <f>'13'!AD22</f>
        <v>0.515625</v>
      </c>
      <c r="O19" s="92">
        <f>'14'!AD22</f>
        <v>0.54166666666666674</v>
      </c>
      <c r="P19" s="92">
        <f>'15'!AD22</f>
        <v>0.58333333333333337</v>
      </c>
      <c r="Q19" s="92">
        <f>'16'!AD22</f>
        <v>0.59895833333333326</v>
      </c>
      <c r="R19" s="92"/>
      <c r="S19" s="92"/>
      <c r="T19" s="92">
        <f>'19'!AD22</f>
        <v>0.46614583333333331</v>
      </c>
      <c r="U19" s="92">
        <f>'20'!AD22</f>
        <v>0.43229166666666669</v>
      </c>
      <c r="V19" s="92">
        <f>'21'!AD22</f>
        <v>0.49479166666666663</v>
      </c>
      <c r="W19" s="92">
        <f>'22'!AD22</f>
        <v>0.52083333333333326</v>
      </c>
      <c r="X19" s="92">
        <f>'23'!AD22</f>
        <v>0.4375</v>
      </c>
      <c r="Y19" s="92">
        <f>'24'!AD22</f>
        <v>0.29947916666666663</v>
      </c>
      <c r="Z19" s="92"/>
      <c r="AA19" s="92">
        <f>'26'!AD22</f>
        <v>0.30989583333333331</v>
      </c>
      <c r="AB19" s="92">
        <f>'27'!AD22</f>
        <v>0.42269123134328351</v>
      </c>
      <c r="AC19" s="92">
        <f>'28'!AD22</f>
        <v>0.58854166666666674</v>
      </c>
      <c r="AD19" s="92">
        <f>'29'!AD24</f>
        <v>0.40740740740740738</v>
      </c>
      <c r="AE19" s="92">
        <f>'30'!AD23</f>
        <v>0.45833333333333331</v>
      </c>
      <c r="AF19" s="93"/>
      <c r="AG19" s="94">
        <f t="shared" si="0"/>
        <v>0.32271380391988475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44</vt:i4>
      </vt:variant>
    </vt:vector>
  </HeadingPairs>
  <TitlesOfParts>
    <vt:vector size="67" baseType="lpstr">
      <vt:lpstr>05</vt:lpstr>
      <vt:lpstr>06</vt:lpstr>
      <vt:lpstr>07</vt:lpstr>
      <vt:lpstr>08</vt:lpstr>
      <vt:lpstr>09</vt:lpstr>
      <vt:lpstr>10</vt:lpstr>
      <vt:lpstr>12</vt:lpstr>
      <vt:lpstr>13</vt:lpstr>
      <vt:lpstr>14</vt:lpstr>
      <vt:lpstr>15</vt:lpstr>
      <vt:lpstr>16</vt:lpstr>
      <vt:lpstr>19</vt:lpstr>
      <vt:lpstr>20</vt:lpstr>
      <vt:lpstr>21</vt:lpstr>
      <vt:lpstr>22</vt:lpstr>
      <vt:lpstr>23</vt:lpstr>
      <vt:lpstr>24</vt:lpstr>
      <vt:lpstr>26</vt:lpstr>
      <vt:lpstr>27</vt:lpstr>
      <vt:lpstr>28</vt:lpstr>
      <vt:lpstr>29</vt:lpstr>
      <vt:lpstr>30</vt:lpstr>
      <vt:lpstr>총괄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'12'!Print_Area</vt:lpstr>
      <vt:lpstr>'13'!Print_Area</vt:lpstr>
      <vt:lpstr>'14'!Print_Area</vt:lpstr>
      <vt:lpstr>'15'!Print_Area</vt:lpstr>
      <vt:lpstr>'16'!Print_Area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'26'!Print_Area</vt:lpstr>
      <vt:lpstr>'27'!Print_Area</vt:lpstr>
      <vt:lpstr>'28'!Print_Area</vt:lpstr>
      <vt:lpstr>'29'!Print_Area</vt:lpstr>
      <vt:lpstr>'30'!Print_Area</vt:lpstr>
      <vt:lpstr>'05'!ㅁ1</vt:lpstr>
      <vt:lpstr>'06'!ㅁ1</vt:lpstr>
      <vt:lpstr>'07'!ㅁ1</vt:lpstr>
      <vt:lpstr>'08'!ㅁ1</vt:lpstr>
      <vt:lpstr>'09'!ㅁ1</vt:lpstr>
      <vt:lpstr>'10'!ㅁ1</vt:lpstr>
      <vt:lpstr>'12'!ㅁ1</vt:lpstr>
      <vt:lpstr>'13'!ㅁ1</vt:lpstr>
      <vt:lpstr>'14'!ㅁ1</vt:lpstr>
      <vt:lpstr>'15'!ㅁ1</vt:lpstr>
      <vt:lpstr>'16'!ㅁ1</vt:lpstr>
      <vt:lpstr>'19'!ㅁ1</vt:lpstr>
      <vt:lpstr>'20'!ㅁ1</vt:lpstr>
      <vt:lpstr>'21'!ㅁ1</vt:lpstr>
      <vt:lpstr>'22'!ㅁ1</vt:lpstr>
      <vt:lpstr>'23'!ㅁ1</vt:lpstr>
      <vt:lpstr>'24'!ㅁ1</vt:lpstr>
      <vt:lpstr>'26'!ㅁ1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2020-10-31T01:18:41Z</dcterms:modified>
</cp:coreProperties>
</file>