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20년도\일일업무\생산일보\"/>
    </mc:Choice>
  </mc:AlternateContent>
  <xr:revisionPtr revIDLastSave="0" documentId="13_ncr:1_{EB6A4D7E-D9F0-4BD7-91FD-A77B92E840B0}" xr6:coauthVersionLast="45" xr6:coauthVersionMax="45" xr10:uidLastSave="{00000000-0000-0000-0000-000000000000}"/>
  <bookViews>
    <workbookView xWindow="-120" yWindow="-120" windowWidth="29040" windowHeight="15840" activeTab="20" xr2:uid="{00000000-000D-0000-FFFF-FFFF00000000}"/>
  </bookViews>
  <sheets>
    <sheet name="02" sheetId="1867" r:id="rId1"/>
    <sheet name="03" sheetId="1868" r:id="rId2"/>
    <sheet name="04" sheetId="1869" r:id="rId3"/>
    <sheet name="05" sheetId="1870" r:id="rId4"/>
    <sheet name="06" sheetId="1871" r:id="rId5"/>
    <sheet name="08" sheetId="1872" r:id="rId6"/>
    <sheet name="09" sheetId="1873" r:id="rId7"/>
    <sheet name="10" sheetId="1874" r:id="rId8"/>
    <sheet name="11" sheetId="1875" r:id="rId9"/>
    <sheet name="12" sheetId="1876" r:id="rId10"/>
    <sheet name="16" sheetId="1877" r:id="rId11"/>
    <sheet name="17" sheetId="1878" r:id="rId12"/>
    <sheet name="18" sheetId="1879" r:id="rId13"/>
    <sheet name="19" sheetId="1880" r:id="rId14"/>
    <sheet name="20" sheetId="1881" r:id="rId15"/>
    <sheet name="23" sheetId="1882" r:id="rId16"/>
    <sheet name="24" sheetId="1883" r:id="rId17"/>
    <sheet name="25" sheetId="1884" r:id="rId18"/>
    <sheet name="26" sheetId="1885" r:id="rId19"/>
    <sheet name="27" sheetId="1886" r:id="rId20"/>
    <sheet name="30" sheetId="1887" r:id="rId21"/>
    <sheet name="총괄" sheetId="16" r:id="rId22"/>
  </sheets>
  <definedNames>
    <definedName name="_xlnm.Print_Area" localSheetId="0">'02'!$A$1:$AD$87</definedName>
    <definedName name="_xlnm.Print_Area" localSheetId="1">'03'!$A$1:$AD$89</definedName>
    <definedName name="_xlnm.Print_Area" localSheetId="2">'04'!$A$1:$AD$88</definedName>
    <definedName name="_xlnm.Print_Area" localSheetId="3">'05'!$A$1:$AD$87</definedName>
    <definedName name="_xlnm.Print_Area" localSheetId="4">'06'!$A$1:$AD$88</definedName>
    <definedName name="_xlnm.Print_Area" localSheetId="5">'08'!$A$1:$AD$87</definedName>
    <definedName name="_xlnm.Print_Area" localSheetId="6">'09'!$A$1:$AD$87</definedName>
    <definedName name="_xlnm.Print_Area" localSheetId="7">'10'!$A$1:$AD$87</definedName>
    <definedName name="_xlnm.Print_Area" localSheetId="8">'11'!$A$1:$AD$87</definedName>
    <definedName name="_xlnm.Print_Area" localSheetId="9">'12'!$A$1:$AD$87</definedName>
    <definedName name="_xlnm.Print_Area" localSheetId="10">'16'!$A$1:$AD$88</definedName>
    <definedName name="_xlnm.Print_Area" localSheetId="11">'17'!$A$1:$AD$87</definedName>
    <definedName name="_xlnm.Print_Area" localSheetId="12">'18'!$A$1:$AD$87</definedName>
    <definedName name="_xlnm.Print_Area" localSheetId="13">'19'!$A$1:$AD$87</definedName>
    <definedName name="_xlnm.Print_Area" localSheetId="14">'20'!$A$1:$AD$87</definedName>
    <definedName name="_xlnm.Print_Area" localSheetId="15">'23'!$A$1:$AD$87</definedName>
    <definedName name="_xlnm.Print_Area" localSheetId="16">'24'!$A$1:$AD$87</definedName>
    <definedName name="_xlnm.Print_Area" localSheetId="17">'25'!$A$1:$AD$87</definedName>
    <definedName name="_xlnm.Print_Area" localSheetId="18">'26'!$A$1:$AD$89</definedName>
    <definedName name="_xlnm.Print_Area" localSheetId="19">'27'!$A$1:$AD$87</definedName>
    <definedName name="_xlnm.Print_Area" localSheetId="20">'30'!$A$1:$AD$87</definedName>
    <definedName name="ㅁ1" localSheetId="0">'02'!$M$1048522:$M$1048576</definedName>
    <definedName name="ㅁ1" localSheetId="1">'03'!$M$1048524:$M$1048576</definedName>
    <definedName name="ㅁ1" localSheetId="2">'04'!$M$1048523:$M$1048576</definedName>
    <definedName name="ㅁ1" localSheetId="3">'05'!$M$1048522:$M$1048576</definedName>
    <definedName name="ㅁ1" localSheetId="4">'06'!$M$1048523:$M$1048576</definedName>
    <definedName name="ㅁ1" localSheetId="5">'08'!$M$1048522:$M$1048576</definedName>
    <definedName name="ㅁ1" localSheetId="6">'09'!$M$1048522:$M$1048576</definedName>
    <definedName name="ㅁ1" localSheetId="7">'10'!$M$1048522:$M$1048576</definedName>
    <definedName name="ㅁ1" localSheetId="8">'11'!$M$1048522:$M$1048576</definedName>
    <definedName name="ㅁ1" localSheetId="9">'12'!$M$1048522:$M$1048576</definedName>
    <definedName name="ㅁ1" localSheetId="10">'16'!$M$1048523:$M$1048576</definedName>
    <definedName name="ㅁ1" localSheetId="11">'17'!$M$1048522:$M$1048576</definedName>
    <definedName name="ㅁ1" localSheetId="12">'18'!$M$1048522:$M$1048576</definedName>
    <definedName name="ㅁ1" localSheetId="13">'19'!$M$1048522:$M$1048576</definedName>
    <definedName name="ㅁ1" localSheetId="14">'20'!$M$1048522:$M$1048576</definedName>
    <definedName name="ㅁ1" localSheetId="15">'23'!$M$1048522:$M$1048576</definedName>
    <definedName name="ㅁ1" localSheetId="16">'24'!$M$1048522:$M$1048576</definedName>
    <definedName name="ㅁ1" localSheetId="17">'25'!$M$1048522:$M$1048576</definedName>
    <definedName name="ㅁ1" localSheetId="18">'26'!$M$1048524:$M$1048576</definedName>
    <definedName name="ㅁ1" localSheetId="19">'27'!$M$1048522:$M$1048576</definedName>
    <definedName name="ㅁ1" localSheetId="20">'30'!$M$1048522:$M$1048576</definedName>
    <definedName name="ㅁ1">#REF!</definedName>
  </definedNames>
  <calcPr calcId="181029"/>
</workbook>
</file>

<file path=xl/calcChain.xml><?xml version="1.0" encoding="utf-8"?>
<calcChain xmlns="http://schemas.openxmlformats.org/spreadsheetml/2006/main">
  <c r="AE19" i="16" l="1"/>
  <c r="AE18" i="16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L21" i="1887"/>
  <c r="L20" i="1887"/>
  <c r="M20" i="1887" s="1"/>
  <c r="L19" i="1887"/>
  <c r="O19" i="1887" s="1"/>
  <c r="L18" i="1887"/>
  <c r="K18" i="1887" s="1"/>
  <c r="L16" i="1887"/>
  <c r="K16" i="1887"/>
  <c r="L15" i="1887"/>
  <c r="L12" i="1887"/>
  <c r="K12" i="1887" s="1"/>
  <c r="L9" i="1887"/>
  <c r="L8" i="1887"/>
  <c r="K8" i="1887" s="1"/>
  <c r="L6" i="1887"/>
  <c r="K6" i="1887" s="1"/>
  <c r="K21" i="1887"/>
  <c r="K15" i="1887"/>
  <c r="K13" i="1887"/>
  <c r="K9" i="1887"/>
  <c r="A77" i="1887"/>
  <c r="A78" i="1887" s="1"/>
  <c r="A79" i="1887" s="1"/>
  <c r="A80" i="1887" s="1"/>
  <c r="A81" i="1887" s="1"/>
  <c r="A82" i="1887" s="1"/>
  <c r="AF61" i="1887"/>
  <c r="AF60" i="1887"/>
  <c r="AF63" i="1887" s="1"/>
  <c r="AA22" i="1887"/>
  <c r="Z22" i="1887"/>
  <c r="Y22" i="1887"/>
  <c r="X22" i="1887"/>
  <c r="W22" i="1887"/>
  <c r="V22" i="1887"/>
  <c r="U22" i="1887"/>
  <c r="T22" i="1887"/>
  <c r="S22" i="1887"/>
  <c r="R22" i="1887"/>
  <c r="N22" i="1887"/>
  <c r="J22" i="1887"/>
  <c r="I22" i="1887"/>
  <c r="AF21" i="1887"/>
  <c r="AB21" i="1887"/>
  <c r="Q21" i="1887"/>
  <c r="P21" i="1887"/>
  <c r="AC21" i="1887" s="1"/>
  <c r="M21" i="1887"/>
  <c r="O21" i="1887"/>
  <c r="AF20" i="1887"/>
  <c r="AB20" i="1887"/>
  <c r="Q20" i="1887"/>
  <c r="P20" i="1887" s="1"/>
  <c r="AC20" i="1887" s="1"/>
  <c r="O20" i="1887"/>
  <c r="AF19" i="1887"/>
  <c r="AB19" i="1887"/>
  <c r="Q19" i="1887"/>
  <c r="P19" i="1887" s="1"/>
  <c r="AC19" i="1887" s="1"/>
  <c r="M19" i="1887"/>
  <c r="AF18" i="1887"/>
  <c r="AB18" i="1887"/>
  <c r="Q18" i="1887"/>
  <c r="P18" i="1887" s="1"/>
  <c r="AC18" i="1887" s="1"/>
  <c r="AD18" i="1887" s="1"/>
  <c r="O18" i="1887"/>
  <c r="M18" i="1887"/>
  <c r="AF17" i="1887"/>
  <c r="AB17" i="1887"/>
  <c r="Q17" i="1887"/>
  <c r="P17" i="1887"/>
  <c r="AC17" i="1887" s="1"/>
  <c r="AD17" i="1887" s="1"/>
  <c r="O17" i="1887"/>
  <c r="M17" i="1887"/>
  <c r="K17" i="1887"/>
  <c r="AF16" i="1887"/>
  <c r="AB16" i="1887"/>
  <c r="Q16" i="1887"/>
  <c r="P16" i="1887" s="1"/>
  <c r="AC16" i="1887" s="1"/>
  <c r="O16" i="1887"/>
  <c r="M16" i="1887"/>
  <c r="AF15" i="1887"/>
  <c r="AB15" i="1887"/>
  <c r="Q15" i="1887"/>
  <c r="P15" i="1887"/>
  <c r="AC15" i="1887" s="1"/>
  <c r="O15" i="1887"/>
  <c r="M15" i="1887"/>
  <c r="AF14" i="1887"/>
  <c r="AC14" i="1887"/>
  <c r="AB14" i="1887"/>
  <c r="Q14" i="1887"/>
  <c r="P14" i="1887"/>
  <c r="O14" i="1887"/>
  <c r="M14" i="1887"/>
  <c r="K14" i="1887"/>
  <c r="AF13" i="1887"/>
  <c r="AB13" i="1887"/>
  <c r="Q13" i="1887"/>
  <c r="P13" i="1887" s="1"/>
  <c r="AC13" i="1887" s="1"/>
  <c r="O13" i="1887"/>
  <c r="M13" i="1887"/>
  <c r="AF12" i="1887"/>
  <c r="AB12" i="1887"/>
  <c r="Q12" i="1887"/>
  <c r="O12" i="1887"/>
  <c r="AF11" i="1887"/>
  <c r="AB11" i="1887"/>
  <c r="Q11" i="1887"/>
  <c r="P11" i="1887"/>
  <c r="AC11" i="1887" s="1"/>
  <c r="AD11" i="1887" s="1"/>
  <c r="O11" i="1887"/>
  <c r="M11" i="1887"/>
  <c r="K11" i="1887"/>
  <c r="AF10" i="1887"/>
  <c r="AB10" i="1887"/>
  <c r="Q10" i="1887"/>
  <c r="P10" i="1887"/>
  <c r="AC10" i="1887" s="1"/>
  <c r="AD10" i="1887" s="1"/>
  <c r="O10" i="1887"/>
  <c r="M10" i="1887"/>
  <c r="K10" i="1887"/>
  <c r="AF9" i="1887"/>
  <c r="AB9" i="1887"/>
  <c r="Q9" i="1887"/>
  <c r="P9" i="1887" s="1"/>
  <c r="AC9" i="1887" s="1"/>
  <c r="O9" i="1887"/>
  <c r="M9" i="1887"/>
  <c r="AF8" i="1887"/>
  <c r="AB8" i="1887"/>
  <c r="Q8" i="1887"/>
  <c r="P8" i="1887" s="1"/>
  <c r="AC8" i="1887" s="1"/>
  <c r="O8" i="1887"/>
  <c r="M8" i="1887"/>
  <c r="AF7" i="1887"/>
  <c r="AB7" i="1887"/>
  <c r="Q7" i="1887"/>
  <c r="P7" i="1887"/>
  <c r="AC7" i="1887" s="1"/>
  <c r="AD7" i="1887" s="1"/>
  <c r="O7" i="1887"/>
  <c r="M7" i="1887"/>
  <c r="K7" i="1887"/>
  <c r="AF6" i="1887"/>
  <c r="AB6" i="1887"/>
  <c r="Q6" i="1887"/>
  <c r="O6" i="1887"/>
  <c r="M6" i="1887"/>
  <c r="K20" i="1887" l="1"/>
  <c r="K22" i="1887" s="1"/>
  <c r="K19" i="1887"/>
  <c r="AD16" i="1887"/>
  <c r="AD15" i="1887"/>
  <c r="AB22" i="1887"/>
  <c r="P12" i="1887"/>
  <c r="AC12" i="1887" s="1"/>
  <c r="AD12" i="1887" s="1"/>
  <c r="M22" i="1887"/>
  <c r="M12" i="1887"/>
  <c r="L22" i="1887"/>
  <c r="O22" i="1887" s="1"/>
  <c r="Q22" i="1887"/>
  <c r="AD9" i="1887"/>
  <c r="P6" i="1887"/>
  <c r="AC6" i="1887" s="1"/>
  <c r="AD19" i="1887"/>
  <c r="AD14" i="1887"/>
  <c r="AD13" i="1887"/>
  <c r="AD20" i="1887"/>
  <c r="AD8" i="1887"/>
  <c r="AD21" i="1887"/>
  <c r="AB19" i="16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21" i="1886"/>
  <c r="K21" i="1886" s="1"/>
  <c r="K20" i="1886"/>
  <c r="K19" i="1886"/>
  <c r="L15" i="1886"/>
  <c r="K15" i="1886" s="1"/>
  <c r="K9" i="1886"/>
  <c r="K16" i="1886"/>
  <c r="K13" i="1886"/>
  <c r="K12" i="1886"/>
  <c r="K8" i="1886"/>
  <c r="A77" i="1886"/>
  <c r="A78" i="1886" s="1"/>
  <c r="A79" i="1886" s="1"/>
  <c r="A80" i="1886" s="1"/>
  <c r="A81" i="1886" s="1"/>
  <c r="A82" i="1886" s="1"/>
  <c r="AF61" i="1886"/>
  <c r="AF60" i="1886"/>
  <c r="AF63" i="1886" s="1"/>
  <c r="AA22" i="1886"/>
  <c r="Z22" i="1886"/>
  <c r="Y22" i="1886"/>
  <c r="X22" i="1886"/>
  <c r="W22" i="1886"/>
  <c r="V22" i="1886"/>
  <c r="U22" i="1886"/>
  <c r="T22" i="1886"/>
  <c r="S22" i="1886"/>
  <c r="R22" i="1886"/>
  <c r="N22" i="1886"/>
  <c r="J22" i="1886"/>
  <c r="I22" i="1886"/>
  <c r="AF21" i="1886"/>
  <c r="Q21" i="1886"/>
  <c r="P21" i="1886"/>
  <c r="AC21" i="1886" s="1"/>
  <c r="O21" i="1886"/>
  <c r="AF20" i="1886"/>
  <c r="Q20" i="1886"/>
  <c r="P20" i="1886"/>
  <c r="AC20" i="1886" s="1"/>
  <c r="AF19" i="1886"/>
  <c r="Q19" i="1886"/>
  <c r="P19" i="1886"/>
  <c r="AC19" i="1886" s="1"/>
  <c r="M19" i="1886"/>
  <c r="O19" i="1886"/>
  <c r="AF18" i="1886"/>
  <c r="AB18" i="1886"/>
  <c r="Q18" i="1886"/>
  <c r="P18" i="1886"/>
  <c r="AC18" i="1886" s="1"/>
  <c r="O18" i="1886"/>
  <c r="M18" i="1886"/>
  <c r="K18" i="1886"/>
  <c r="AF17" i="1886"/>
  <c r="AB17" i="1886"/>
  <c r="Q17" i="1886"/>
  <c r="P17" i="1886"/>
  <c r="AC17" i="1886" s="1"/>
  <c r="O17" i="1886"/>
  <c r="M17" i="1886"/>
  <c r="K17" i="1886"/>
  <c r="AF16" i="1886"/>
  <c r="Q16" i="1886"/>
  <c r="P16" i="1886"/>
  <c r="AC16" i="1886" s="1"/>
  <c r="AF15" i="1886"/>
  <c r="AB15" i="1886"/>
  <c r="Q15" i="1886"/>
  <c r="P15" i="1886" s="1"/>
  <c r="AC15" i="1886" s="1"/>
  <c r="O15" i="1886"/>
  <c r="M15" i="1886"/>
  <c r="AF14" i="1886"/>
  <c r="AB14" i="1886"/>
  <c r="Q14" i="1886"/>
  <c r="P14" i="1886"/>
  <c r="AC14" i="1886" s="1"/>
  <c r="O14" i="1886"/>
  <c r="M14" i="1886"/>
  <c r="K14" i="1886"/>
  <c r="AF13" i="1886"/>
  <c r="AB13" i="1886"/>
  <c r="Q13" i="1886"/>
  <c r="P13" i="1886" s="1"/>
  <c r="AC13" i="1886" s="1"/>
  <c r="O13" i="1886"/>
  <c r="M13" i="1886"/>
  <c r="AF12" i="1886"/>
  <c r="Q12" i="1886"/>
  <c r="O12" i="1886"/>
  <c r="AB12" i="1886"/>
  <c r="AF11" i="1886"/>
  <c r="AB11" i="1886"/>
  <c r="Q11" i="1886"/>
  <c r="P11" i="1886"/>
  <c r="AC11" i="1886" s="1"/>
  <c r="O11" i="1886"/>
  <c r="M11" i="1886"/>
  <c r="K11" i="1886"/>
  <c r="AF10" i="1886"/>
  <c r="AB10" i="1886"/>
  <c r="Q10" i="1886"/>
  <c r="P10" i="1886"/>
  <c r="AC10" i="1886" s="1"/>
  <c r="AD10" i="1886" s="1"/>
  <c r="O10" i="1886"/>
  <c r="M10" i="1886"/>
  <c r="K10" i="1886"/>
  <c r="AF9" i="1886"/>
  <c r="AB9" i="1886"/>
  <c r="Q9" i="1886"/>
  <c r="P9" i="1886" s="1"/>
  <c r="AC9" i="1886" s="1"/>
  <c r="O9" i="1886"/>
  <c r="M9" i="1886"/>
  <c r="AF8" i="1886"/>
  <c r="Q8" i="1886"/>
  <c r="O8" i="1886"/>
  <c r="AB8" i="1886"/>
  <c r="AF7" i="1886"/>
  <c r="AB7" i="1886"/>
  <c r="Q7" i="1886"/>
  <c r="P7" i="1886"/>
  <c r="AC7" i="1886" s="1"/>
  <c r="AD7" i="1886" s="1"/>
  <c r="O7" i="1886"/>
  <c r="M7" i="1886"/>
  <c r="K7" i="1886"/>
  <c r="AF6" i="1886"/>
  <c r="AB6" i="1886"/>
  <c r="Q6" i="1886"/>
  <c r="P6" i="1886"/>
  <c r="AC6" i="1886" s="1"/>
  <c r="O6" i="1886"/>
  <c r="M6" i="1886"/>
  <c r="K6" i="1886"/>
  <c r="AC22" i="1887" l="1"/>
  <c r="AD6" i="1887"/>
  <c r="AD22" i="1887" s="1"/>
  <c r="AE21" i="1887" s="1"/>
  <c r="P22" i="1887"/>
  <c r="AB21" i="1886"/>
  <c r="AD21" i="1886" s="1"/>
  <c r="M21" i="1886"/>
  <c r="AD18" i="1886"/>
  <c r="AD11" i="1886"/>
  <c r="AD13" i="1886"/>
  <c r="AD17" i="1886"/>
  <c r="Q22" i="1886"/>
  <c r="AD9" i="1886"/>
  <c r="AD15" i="1886"/>
  <c r="AD14" i="1886"/>
  <c r="AD6" i="1886"/>
  <c r="L22" i="1886"/>
  <c r="O22" i="1886" s="1"/>
  <c r="K22" i="1886"/>
  <c r="P8" i="1886"/>
  <c r="AC8" i="1886" s="1"/>
  <c r="AD8" i="1886" s="1"/>
  <c r="P12" i="1886"/>
  <c r="AC12" i="1886" s="1"/>
  <c r="AD12" i="1886" s="1"/>
  <c r="M16" i="1886"/>
  <c r="AB16" i="1886"/>
  <c r="M20" i="1886"/>
  <c r="AB20" i="1886"/>
  <c r="O16" i="1886"/>
  <c r="AB19" i="1886"/>
  <c r="O20" i="1886"/>
  <c r="M8" i="1886"/>
  <c r="M12" i="1886"/>
  <c r="AA19" i="16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L23" i="1885"/>
  <c r="K23" i="1885" s="1"/>
  <c r="L22" i="1885"/>
  <c r="O22" i="1885" s="1"/>
  <c r="L21" i="1885"/>
  <c r="M21" i="1885" s="1"/>
  <c r="K21" i="1885"/>
  <c r="AF20" i="1885"/>
  <c r="AB20" i="1885"/>
  <c r="Q20" i="1885"/>
  <c r="P20" i="1885" s="1"/>
  <c r="AC20" i="1885" s="1"/>
  <c r="AD20" i="1885" s="1"/>
  <c r="O20" i="1885"/>
  <c r="M20" i="1885"/>
  <c r="K20" i="1885"/>
  <c r="L17" i="1885"/>
  <c r="K17" i="1885"/>
  <c r="L14" i="1885"/>
  <c r="K14" i="1885" s="1"/>
  <c r="L13" i="1885"/>
  <c r="M13" i="1885" s="1"/>
  <c r="AF13" i="1885"/>
  <c r="Q13" i="1885"/>
  <c r="O13" i="1885"/>
  <c r="L12" i="1885"/>
  <c r="L8" i="1885"/>
  <c r="K8" i="1885" s="1"/>
  <c r="K22" i="1885"/>
  <c r="K19" i="1885"/>
  <c r="K16" i="1885"/>
  <c r="K12" i="1885"/>
  <c r="K10" i="1885"/>
  <c r="K7" i="1885"/>
  <c r="A79" i="1885"/>
  <c r="A80" i="1885" s="1"/>
  <c r="A81" i="1885" s="1"/>
  <c r="A82" i="1885" s="1"/>
  <c r="A83" i="1885" s="1"/>
  <c r="A84" i="1885" s="1"/>
  <c r="AF63" i="1885"/>
  <c r="AF65" i="1885" s="1"/>
  <c r="AF62" i="1885"/>
  <c r="AA24" i="1885"/>
  <c r="Z24" i="1885"/>
  <c r="Y24" i="1885"/>
  <c r="X24" i="1885"/>
  <c r="W24" i="1885"/>
  <c r="V24" i="1885"/>
  <c r="U24" i="1885"/>
  <c r="T24" i="1885"/>
  <c r="S24" i="1885"/>
  <c r="R24" i="1885"/>
  <c r="N24" i="1885"/>
  <c r="J24" i="1885"/>
  <c r="I24" i="1885"/>
  <c r="AF23" i="1885"/>
  <c r="Q23" i="1885"/>
  <c r="AF22" i="1885"/>
  <c r="Q22" i="1885"/>
  <c r="P22" i="1885"/>
  <c r="AC22" i="1885" s="1"/>
  <c r="M22" i="1885"/>
  <c r="AF21" i="1885"/>
  <c r="AB21" i="1885"/>
  <c r="Q21" i="1885"/>
  <c r="P21" i="1885" s="1"/>
  <c r="AC21" i="1885" s="1"/>
  <c r="O21" i="1885"/>
  <c r="AF19" i="1885"/>
  <c r="Q19" i="1885"/>
  <c r="P19" i="1885"/>
  <c r="AC19" i="1885" s="1"/>
  <c r="AF18" i="1885"/>
  <c r="AB18" i="1885"/>
  <c r="Q18" i="1885"/>
  <c r="P18" i="1885"/>
  <c r="AC18" i="1885" s="1"/>
  <c r="O18" i="1885"/>
  <c r="M18" i="1885"/>
  <c r="K18" i="1885"/>
  <c r="AF17" i="1885"/>
  <c r="AB17" i="1885"/>
  <c r="Q17" i="1885"/>
  <c r="O17" i="1885"/>
  <c r="M17" i="1885"/>
  <c r="AF16" i="1885"/>
  <c r="AB16" i="1885"/>
  <c r="Q16" i="1885"/>
  <c r="P16" i="1885"/>
  <c r="AC16" i="1885" s="1"/>
  <c r="M16" i="1885"/>
  <c r="O16" i="1885"/>
  <c r="AF15" i="1885"/>
  <c r="AB15" i="1885"/>
  <c r="Q15" i="1885"/>
  <c r="P15" i="1885"/>
  <c r="AC15" i="1885" s="1"/>
  <c r="O15" i="1885"/>
  <c r="M15" i="1885"/>
  <c r="K15" i="1885"/>
  <c r="AF14" i="1885"/>
  <c r="Q14" i="1885"/>
  <c r="P14" i="1885"/>
  <c r="AC14" i="1885" s="1"/>
  <c r="AF12" i="1885"/>
  <c r="Q12" i="1885"/>
  <c r="P12" i="1885" s="1"/>
  <c r="AC12" i="1885" s="1"/>
  <c r="O12" i="1885"/>
  <c r="AF11" i="1885"/>
  <c r="AB11" i="1885"/>
  <c r="Q11" i="1885"/>
  <c r="P11" i="1885"/>
  <c r="AC11" i="1885" s="1"/>
  <c r="O11" i="1885"/>
  <c r="M11" i="1885"/>
  <c r="K11" i="1885"/>
  <c r="AF10" i="1885"/>
  <c r="Q10" i="1885"/>
  <c r="P10" i="1885"/>
  <c r="AC10" i="1885" s="1"/>
  <c r="AF9" i="1885"/>
  <c r="AB9" i="1885"/>
  <c r="Q9" i="1885"/>
  <c r="P9" i="1885"/>
  <c r="AC9" i="1885" s="1"/>
  <c r="O9" i="1885"/>
  <c r="M9" i="1885"/>
  <c r="K9" i="1885"/>
  <c r="AF8" i="1885"/>
  <c r="AB8" i="1885"/>
  <c r="Q8" i="1885"/>
  <c r="P8" i="1885" s="1"/>
  <c r="AC8" i="1885" s="1"/>
  <c r="O8" i="1885"/>
  <c r="M8" i="1885"/>
  <c r="AF7" i="1885"/>
  <c r="Q7" i="1885"/>
  <c r="P7" i="1885"/>
  <c r="AC7" i="1885" s="1"/>
  <c r="AF6" i="1885"/>
  <c r="AB6" i="1885"/>
  <c r="Q6" i="1885"/>
  <c r="P6" i="1885"/>
  <c r="AC6" i="1885" s="1"/>
  <c r="O6" i="1885"/>
  <c r="M6" i="1885"/>
  <c r="K6" i="1885"/>
  <c r="AE15" i="1887" l="1"/>
  <c r="AE10" i="1887"/>
  <c r="AE7" i="1887"/>
  <c r="AE9" i="1887"/>
  <c r="AE11" i="1887"/>
  <c r="AE19" i="1887"/>
  <c r="AE6" i="1887"/>
  <c r="AE14" i="1887"/>
  <c r="AE16" i="1887"/>
  <c r="AE20" i="1887"/>
  <c r="AE17" i="1887"/>
  <c r="AE12" i="1887"/>
  <c r="AE13" i="1887"/>
  <c r="AE18" i="1887"/>
  <c r="AE8" i="1887"/>
  <c r="AB22" i="1886"/>
  <c r="AD16" i="1886"/>
  <c r="AD20" i="1886"/>
  <c r="M22" i="1886"/>
  <c r="AC22" i="1886"/>
  <c r="P22" i="1886"/>
  <c r="AD19" i="1886"/>
  <c r="AD22" i="1886" s="1"/>
  <c r="M23" i="1885"/>
  <c r="AB23" i="1885"/>
  <c r="O23" i="1885"/>
  <c r="P23" i="1885"/>
  <c r="AC23" i="1885" s="1"/>
  <c r="AD11" i="1885"/>
  <c r="P17" i="1885"/>
  <c r="AC17" i="1885" s="1"/>
  <c r="P13" i="1885"/>
  <c r="AC13" i="1885" s="1"/>
  <c r="AB13" i="1885"/>
  <c r="K13" i="1885"/>
  <c r="AD15" i="1885"/>
  <c r="K24" i="1885"/>
  <c r="Q24" i="1885"/>
  <c r="AD21" i="1885"/>
  <c r="AD18" i="1885"/>
  <c r="AD8" i="1885"/>
  <c r="AD9" i="1885"/>
  <c r="AD6" i="1885"/>
  <c r="AD16" i="1885"/>
  <c r="L24" i="1885"/>
  <c r="O24" i="1885" s="1"/>
  <c r="AB7" i="1885"/>
  <c r="M10" i="1885"/>
  <c r="AB10" i="1885"/>
  <c r="M14" i="1885"/>
  <c r="AB14" i="1885"/>
  <c r="M19" i="1885"/>
  <c r="AB19" i="1885"/>
  <c r="M7" i="1885"/>
  <c r="O10" i="1885"/>
  <c r="M12" i="1885"/>
  <c r="O14" i="1885"/>
  <c r="O19" i="1885"/>
  <c r="AB22" i="1885"/>
  <c r="AD22" i="1885" s="1"/>
  <c r="O7" i="1885"/>
  <c r="AB12" i="1885"/>
  <c r="AD12" i="1885" s="1"/>
  <c r="Z19" i="16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Y19" i="16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L20" i="1884"/>
  <c r="P20" i="1884" s="1"/>
  <c r="AC20" i="1884" s="1"/>
  <c r="L18" i="1884"/>
  <c r="P18" i="1884" s="1"/>
  <c r="AC18" i="1884" s="1"/>
  <c r="L15" i="1884"/>
  <c r="K15" i="1884" s="1"/>
  <c r="L13" i="1884"/>
  <c r="M13" i="1884" s="1"/>
  <c r="L12" i="1884"/>
  <c r="L10" i="1884"/>
  <c r="L8" i="1884"/>
  <c r="P8" i="1884" s="1"/>
  <c r="AC8" i="1884" s="1"/>
  <c r="L7" i="1884"/>
  <c r="K21" i="1884"/>
  <c r="K20" i="1884"/>
  <c r="K18" i="1884"/>
  <c r="K16" i="1884"/>
  <c r="K13" i="1884"/>
  <c r="K12" i="1884"/>
  <c r="K10" i="1884"/>
  <c r="K9" i="1884"/>
  <c r="K8" i="1884"/>
  <c r="K7" i="1884"/>
  <c r="A79" i="1884"/>
  <c r="A80" i="1884" s="1"/>
  <c r="A81" i="1884" s="1"/>
  <c r="A82" i="1884" s="1"/>
  <c r="A78" i="1884"/>
  <c r="A77" i="1884"/>
  <c r="AF61" i="1884"/>
  <c r="AF60" i="1884"/>
  <c r="AF63" i="1884" s="1"/>
  <c r="AA22" i="1884"/>
  <c r="Z22" i="1884"/>
  <c r="Y22" i="1884"/>
  <c r="X22" i="1884"/>
  <c r="W22" i="1884"/>
  <c r="V22" i="1884"/>
  <c r="U22" i="1884"/>
  <c r="T22" i="1884"/>
  <c r="S22" i="1884"/>
  <c r="R22" i="1884"/>
  <c r="N22" i="1884"/>
  <c r="J22" i="1884"/>
  <c r="I22" i="1884"/>
  <c r="AF21" i="1884"/>
  <c r="AB21" i="1884"/>
  <c r="Q21" i="1884"/>
  <c r="M21" i="1884"/>
  <c r="P21" i="1884"/>
  <c r="AC21" i="1884" s="1"/>
  <c r="AF20" i="1884"/>
  <c r="Q20" i="1884"/>
  <c r="AF19" i="1884"/>
  <c r="AB19" i="1884"/>
  <c r="Q19" i="1884"/>
  <c r="P19" i="1884"/>
  <c r="AC19" i="1884" s="1"/>
  <c r="AD19" i="1884" s="1"/>
  <c r="O19" i="1884"/>
  <c r="M19" i="1884"/>
  <c r="K19" i="1884"/>
  <c r="AF18" i="1884"/>
  <c r="Q18" i="1884"/>
  <c r="M18" i="1884"/>
  <c r="AF17" i="1884"/>
  <c r="AB17" i="1884"/>
  <c r="Q17" i="1884"/>
  <c r="P17" i="1884"/>
  <c r="AC17" i="1884" s="1"/>
  <c r="AD17" i="1884" s="1"/>
  <c r="O17" i="1884"/>
  <c r="M17" i="1884"/>
  <c r="K17" i="1884"/>
  <c r="AF16" i="1884"/>
  <c r="AB16" i="1884"/>
  <c r="Q16" i="1884"/>
  <c r="O16" i="1884"/>
  <c r="M16" i="1884"/>
  <c r="P16" i="1884"/>
  <c r="AC16" i="1884" s="1"/>
  <c r="AD16" i="1884" s="1"/>
  <c r="AF15" i="1884"/>
  <c r="AB15" i="1884"/>
  <c r="Q15" i="1884"/>
  <c r="P15" i="1884"/>
  <c r="AC15" i="1884" s="1"/>
  <c r="O15" i="1884"/>
  <c r="M15" i="1884"/>
  <c r="AF14" i="1884"/>
  <c r="AB14" i="1884"/>
  <c r="Q14" i="1884"/>
  <c r="P14" i="1884"/>
  <c r="AC14" i="1884" s="1"/>
  <c r="O14" i="1884"/>
  <c r="M14" i="1884"/>
  <c r="K14" i="1884"/>
  <c r="AF13" i="1884"/>
  <c r="AB13" i="1884"/>
  <c r="Q13" i="1884"/>
  <c r="P13" i="1884"/>
  <c r="AC13" i="1884" s="1"/>
  <c r="AF12" i="1884"/>
  <c r="Q12" i="1884"/>
  <c r="AF11" i="1884"/>
  <c r="AB11" i="1884"/>
  <c r="Q11" i="1884"/>
  <c r="P11" i="1884"/>
  <c r="AC11" i="1884" s="1"/>
  <c r="O11" i="1884"/>
  <c r="M11" i="1884"/>
  <c r="K11" i="1884"/>
  <c r="AF10" i="1884"/>
  <c r="AB10" i="1884"/>
  <c r="Q10" i="1884"/>
  <c r="M10" i="1884"/>
  <c r="P10" i="1884"/>
  <c r="AC10" i="1884" s="1"/>
  <c r="AF9" i="1884"/>
  <c r="Q9" i="1884"/>
  <c r="P9" i="1884"/>
  <c r="AC9" i="1884" s="1"/>
  <c r="AF8" i="1884"/>
  <c r="AB8" i="1884"/>
  <c r="Q8" i="1884"/>
  <c r="O8" i="1884"/>
  <c r="M8" i="1884"/>
  <c r="AF7" i="1884"/>
  <c r="AB7" i="1884"/>
  <c r="Q7" i="1884"/>
  <c r="O7" i="1884"/>
  <c r="M7" i="1884"/>
  <c r="P7" i="1884"/>
  <c r="AC7" i="1884" s="1"/>
  <c r="AF6" i="1884"/>
  <c r="AB6" i="1884"/>
  <c r="Q6" i="1884"/>
  <c r="P6" i="1884"/>
  <c r="AC6" i="1884" s="1"/>
  <c r="O6" i="1884"/>
  <c r="M6" i="1884"/>
  <c r="K6" i="1884"/>
  <c r="AE21" i="1886" l="1"/>
  <c r="AE14" i="1886"/>
  <c r="AE7" i="1886"/>
  <c r="AE17" i="1886"/>
  <c r="AE12" i="1886"/>
  <c r="AE10" i="1886"/>
  <c r="AE8" i="1886"/>
  <c r="AE19" i="1886"/>
  <c r="AE15" i="1886"/>
  <c r="AE13" i="1886"/>
  <c r="AE6" i="1886"/>
  <c r="AE16" i="1886"/>
  <c r="AE11" i="1886"/>
  <c r="AE20" i="1886"/>
  <c r="AE18" i="1886"/>
  <c r="AE9" i="1886"/>
  <c r="AD23" i="1885"/>
  <c r="AC24" i="1885"/>
  <c r="AD10" i="1885"/>
  <c r="AD17" i="1885"/>
  <c r="P24" i="1885"/>
  <c r="AD13" i="1885"/>
  <c r="AD14" i="1885"/>
  <c r="M24" i="1885"/>
  <c r="AD19" i="1885"/>
  <c r="AB24" i="1885"/>
  <c r="AD7" i="1885"/>
  <c r="AB18" i="1884"/>
  <c r="AD15" i="1884"/>
  <c r="P12" i="1884"/>
  <c r="AC12" i="1884" s="1"/>
  <c r="Q22" i="1884"/>
  <c r="AD11" i="1884"/>
  <c r="AD14" i="1884"/>
  <c r="AD7" i="1884"/>
  <c r="AD8" i="1884"/>
  <c r="AD6" i="1884"/>
  <c r="AC22" i="1884"/>
  <c r="L22" i="1884"/>
  <c r="O22" i="1884" s="1"/>
  <c r="P22" i="1884"/>
  <c r="K22" i="1884"/>
  <c r="M9" i="1884"/>
  <c r="AB9" i="1884"/>
  <c r="O10" i="1884"/>
  <c r="AD10" i="1884" s="1"/>
  <c r="M12" i="1884"/>
  <c r="AB12" i="1884"/>
  <c r="O13" i="1884"/>
  <c r="AD13" i="1884" s="1"/>
  <c r="O18" i="1884"/>
  <c r="M20" i="1884"/>
  <c r="AB20" i="1884"/>
  <c r="O21" i="1884"/>
  <c r="AD21" i="1884" s="1"/>
  <c r="O9" i="1884"/>
  <c r="O12" i="1884"/>
  <c r="O20" i="1884"/>
  <c r="L21" i="1883"/>
  <c r="L20" i="1883"/>
  <c r="K19" i="1883"/>
  <c r="L18" i="1883"/>
  <c r="K18" i="1883"/>
  <c r="L16" i="1883"/>
  <c r="K16" i="1883"/>
  <c r="L13" i="1883"/>
  <c r="L12" i="1883"/>
  <c r="L10" i="1883"/>
  <c r="L9" i="1883"/>
  <c r="K9" i="1883" s="1"/>
  <c r="L8" i="1883"/>
  <c r="AB8" i="1883" s="1"/>
  <c r="L7" i="1883"/>
  <c r="K21" i="1883"/>
  <c r="K20" i="1883"/>
  <c r="K17" i="1883"/>
  <c r="K12" i="1883"/>
  <c r="K10" i="1883"/>
  <c r="K8" i="1883"/>
  <c r="K7" i="1883"/>
  <c r="A79" i="1883"/>
  <c r="A80" i="1883" s="1"/>
  <c r="A81" i="1883" s="1"/>
  <c r="A82" i="1883" s="1"/>
  <c r="A78" i="1883"/>
  <c r="A77" i="1883"/>
  <c r="AF61" i="1883"/>
  <c r="AF60" i="1883"/>
  <c r="AF63" i="1883" s="1"/>
  <c r="AA22" i="1883"/>
  <c r="Z22" i="1883"/>
  <c r="Y22" i="1883"/>
  <c r="X22" i="1883"/>
  <c r="W22" i="1883"/>
  <c r="V22" i="1883"/>
  <c r="U22" i="1883"/>
  <c r="T22" i="1883"/>
  <c r="S22" i="1883"/>
  <c r="R22" i="1883"/>
  <c r="N22" i="1883"/>
  <c r="J22" i="1883"/>
  <c r="I22" i="1883"/>
  <c r="AF21" i="1883"/>
  <c r="AB21" i="1883"/>
  <c r="Q21" i="1883"/>
  <c r="M21" i="1883"/>
  <c r="P21" i="1883"/>
  <c r="AC21" i="1883" s="1"/>
  <c r="AF20" i="1883"/>
  <c r="Q20" i="1883"/>
  <c r="P20" i="1883"/>
  <c r="AC20" i="1883" s="1"/>
  <c r="AF19" i="1883"/>
  <c r="AB19" i="1883"/>
  <c r="Q19" i="1883"/>
  <c r="P19" i="1883"/>
  <c r="AC19" i="1883" s="1"/>
  <c r="O19" i="1883"/>
  <c r="M19" i="1883"/>
  <c r="AF18" i="1883"/>
  <c r="AB18" i="1883"/>
  <c r="Q18" i="1883"/>
  <c r="P18" i="1883" s="1"/>
  <c r="AC18" i="1883" s="1"/>
  <c r="O18" i="1883"/>
  <c r="M18" i="1883"/>
  <c r="AF17" i="1883"/>
  <c r="AB17" i="1883"/>
  <c r="Q17" i="1883"/>
  <c r="P17" i="1883"/>
  <c r="AC17" i="1883" s="1"/>
  <c r="O17" i="1883"/>
  <c r="M17" i="1883"/>
  <c r="AF16" i="1883"/>
  <c r="AB16" i="1883"/>
  <c r="Q16" i="1883"/>
  <c r="M16" i="1883"/>
  <c r="AF15" i="1883"/>
  <c r="AB15" i="1883"/>
  <c r="Q15" i="1883"/>
  <c r="P15" i="1883"/>
  <c r="AC15" i="1883" s="1"/>
  <c r="AD15" i="1883" s="1"/>
  <c r="O15" i="1883"/>
  <c r="M15" i="1883"/>
  <c r="K15" i="1883"/>
  <c r="AF14" i="1883"/>
  <c r="AB14" i="1883"/>
  <c r="Q14" i="1883"/>
  <c r="P14" i="1883"/>
  <c r="AC14" i="1883" s="1"/>
  <c r="O14" i="1883"/>
  <c r="M14" i="1883"/>
  <c r="K14" i="1883"/>
  <c r="AF13" i="1883"/>
  <c r="AB13" i="1883"/>
  <c r="Q13" i="1883"/>
  <c r="P13" i="1883"/>
  <c r="AC13" i="1883" s="1"/>
  <c r="O13" i="1883"/>
  <c r="M13" i="1883"/>
  <c r="K13" i="1883"/>
  <c r="AF12" i="1883"/>
  <c r="AB12" i="1883"/>
  <c r="Q12" i="1883"/>
  <c r="P12" i="1883" s="1"/>
  <c r="AC12" i="1883" s="1"/>
  <c r="M12" i="1883"/>
  <c r="AF11" i="1883"/>
  <c r="AB11" i="1883"/>
  <c r="Q11" i="1883"/>
  <c r="P11" i="1883"/>
  <c r="AC11" i="1883" s="1"/>
  <c r="O11" i="1883"/>
  <c r="M11" i="1883"/>
  <c r="K11" i="1883"/>
  <c r="AF10" i="1883"/>
  <c r="AB10" i="1883"/>
  <c r="Q10" i="1883"/>
  <c r="O10" i="1883"/>
  <c r="M10" i="1883"/>
  <c r="P10" i="1883"/>
  <c r="AC10" i="1883" s="1"/>
  <c r="AF9" i="1883"/>
  <c r="Q9" i="1883"/>
  <c r="P9" i="1883" s="1"/>
  <c r="AC9" i="1883" s="1"/>
  <c r="AF8" i="1883"/>
  <c r="Q8" i="1883"/>
  <c r="P8" i="1883"/>
  <c r="AC8" i="1883" s="1"/>
  <c r="O8" i="1883"/>
  <c r="AF7" i="1883"/>
  <c r="AB7" i="1883"/>
  <c r="Q7" i="1883"/>
  <c r="P7" i="1883" s="1"/>
  <c r="AC7" i="1883" s="1"/>
  <c r="O7" i="1883"/>
  <c r="M7" i="1883"/>
  <c r="AF6" i="1883"/>
  <c r="AB6" i="1883"/>
  <c r="Q6" i="1883"/>
  <c r="P6" i="1883"/>
  <c r="AC6" i="1883" s="1"/>
  <c r="O6" i="1883"/>
  <c r="M6" i="1883"/>
  <c r="K6" i="1883"/>
  <c r="AD24" i="1885" l="1"/>
  <c r="AE20" i="1885" s="1"/>
  <c r="AD20" i="1884"/>
  <c r="AD18" i="1884"/>
  <c r="AB22" i="1884"/>
  <c r="AD12" i="1884"/>
  <c r="M22" i="1884"/>
  <c r="AD9" i="1884"/>
  <c r="P16" i="1883"/>
  <c r="AC16" i="1883" s="1"/>
  <c r="AD16" i="1883" s="1"/>
  <c r="O16" i="1883"/>
  <c r="AB9" i="1883"/>
  <c r="AD9" i="1883" s="1"/>
  <c r="M9" i="1883"/>
  <c r="O9" i="1883"/>
  <c r="Q22" i="1883"/>
  <c r="AD8" i="1883"/>
  <c r="M8" i="1883"/>
  <c r="AD7" i="1883"/>
  <c r="AD10" i="1883"/>
  <c r="AD14" i="1883"/>
  <c r="AD17" i="1883"/>
  <c r="AD19" i="1883"/>
  <c r="AD11" i="1883"/>
  <c r="AD13" i="1883"/>
  <c r="AD18" i="1883"/>
  <c r="AD6" i="1883"/>
  <c r="AB22" i="1883"/>
  <c r="L22" i="1883"/>
  <c r="O22" i="1883" s="1"/>
  <c r="K22" i="1883"/>
  <c r="O12" i="1883"/>
  <c r="AD12" i="1883" s="1"/>
  <c r="M20" i="1883"/>
  <c r="AB20" i="1883"/>
  <c r="O21" i="1883"/>
  <c r="AD21" i="1883" s="1"/>
  <c r="O20" i="1883"/>
  <c r="X19" i="16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21" i="1882"/>
  <c r="L20" i="1882"/>
  <c r="AB20" i="1882" s="1"/>
  <c r="K18" i="1882"/>
  <c r="K17" i="1882"/>
  <c r="K13" i="1882"/>
  <c r="L12" i="1882"/>
  <c r="AB12" i="1882" s="1"/>
  <c r="K12" i="1882"/>
  <c r="L10" i="1882"/>
  <c r="P10" i="1882" s="1"/>
  <c r="AC10" i="1882" s="1"/>
  <c r="K9" i="1882"/>
  <c r="L8" i="1882"/>
  <c r="L7" i="1882"/>
  <c r="K21" i="1882"/>
  <c r="K14" i="1882"/>
  <c r="K10" i="1882"/>
  <c r="K8" i="1882"/>
  <c r="K6" i="1882"/>
  <c r="A77" i="1882"/>
  <c r="A78" i="1882" s="1"/>
  <c r="A79" i="1882" s="1"/>
  <c r="A80" i="1882" s="1"/>
  <c r="A81" i="1882" s="1"/>
  <c r="A82" i="1882" s="1"/>
  <c r="AF61" i="1882"/>
  <c r="AF60" i="1882"/>
  <c r="AF63" i="1882" s="1"/>
  <c r="AA22" i="1882"/>
  <c r="Z22" i="1882"/>
  <c r="Y22" i="1882"/>
  <c r="X22" i="1882"/>
  <c r="W22" i="1882"/>
  <c r="V22" i="1882"/>
  <c r="U22" i="1882"/>
  <c r="T22" i="1882"/>
  <c r="S22" i="1882"/>
  <c r="R22" i="1882"/>
  <c r="N22" i="1882"/>
  <c r="J22" i="1882"/>
  <c r="I22" i="1882"/>
  <c r="AF21" i="1882"/>
  <c r="Q21" i="1882"/>
  <c r="P21" i="1882" s="1"/>
  <c r="AC21" i="1882" s="1"/>
  <c r="O21" i="1882"/>
  <c r="AF20" i="1882"/>
  <c r="Q20" i="1882"/>
  <c r="AF19" i="1882"/>
  <c r="AB19" i="1882"/>
  <c r="Q19" i="1882"/>
  <c r="P19" i="1882"/>
  <c r="AC19" i="1882" s="1"/>
  <c r="AD19" i="1882" s="1"/>
  <c r="O19" i="1882"/>
  <c r="M19" i="1882"/>
  <c r="K19" i="1882"/>
  <c r="AF18" i="1882"/>
  <c r="AB18" i="1882"/>
  <c r="Q18" i="1882"/>
  <c r="P18" i="1882" s="1"/>
  <c r="AC18" i="1882" s="1"/>
  <c r="O18" i="1882"/>
  <c r="M18" i="1882"/>
  <c r="AF17" i="1882"/>
  <c r="AB17" i="1882"/>
  <c r="Q17" i="1882"/>
  <c r="P17" i="1882"/>
  <c r="AC17" i="1882" s="1"/>
  <c r="O17" i="1882"/>
  <c r="M17" i="1882"/>
  <c r="AF16" i="1882"/>
  <c r="AB16" i="1882"/>
  <c r="Q16" i="1882"/>
  <c r="P16" i="1882"/>
  <c r="AC16" i="1882" s="1"/>
  <c r="AD16" i="1882" s="1"/>
  <c r="O16" i="1882"/>
  <c r="M16" i="1882"/>
  <c r="K16" i="1882"/>
  <c r="AF15" i="1882"/>
  <c r="AB15" i="1882"/>
  <c r="Q15" i="1882"/>
  <c r="P15" i="1882"/>
  <c r="AC15" i="1882" s="1"/>
  <c r="AD15" i="1882" s="1"/>
  <c r="O15" i="1882"/>
  <c r="M15" i="1882"/>
  <c r="K15" i="1882"/>
  <c r="AF14" i="1882"/>
  <c r="AB14" i="1882"/>
  <c r="Q14" i="1882"/>
  <c r="P14" i="1882" s="1"/>
  <c r="AC14" i="1882" s="1"/>
  <c r="O14" i="1882"/>
  <c r="M14" i="1882"/>
  <c r="AF13" i="1882"/>
  <c r="AB13" i="1882"/>
  <c r="Q13" i="1882"/>
  <c r="P13" i="1882"/>
  <c r="AC13" i="1882" s="1"/>
  <c r="O13" i="1882"/>
  <c r="M13" i="1882"/>
  <c r="AF12" i="1882"/>
  <c r="Q12" i="1882"/>
  <c r="AF11" i="1882"/>
  <c r="AB11" i="1882"/>
  <c r="Q11" i="1882"/>
  <c r="P11" i="1882"/>
  <c r="AC11" i="1882" s="1"/>
  <c r="AD11" i="1882" s="1"/>
  <c r="O11" i="1882"/>
  <c r="M11" i="1882"/>
  <c r="K11" i="1882"/>
  <c r="AF10" i="1882"/>
  <c r="Q10" i="1882"/>
  <c r="M10" i="1882"/>
  <c r="AF9" i="1882"/>
  <c r="Q9" i="1882"/>
  <c r="AB9" i="1882"/>
  <c r="AF8" i="1882"/>
  <c r="AB8" i="1882"/>
  <c r="Q8" i="1882"/>
  <c r="P8" i="1882"/>
  <c r="AC8" i="1882" s="1"/>
  <c r="M8" i="1882"/>
  <c r="O8" i="1882"/>
  <c r="AF7" i="1882"/>
  <c r="Q7" i="1882"/>
  <c r="AF6" i="1882"/>
  <c r="AB6" i="1882"/>
  <c r="Q6" i="1882"/>
  <c r="P6" i="1882"/>
  <c r="AC6" i="1882" s="1"/>
  <c r="O6" i="1882"/>
  <c r="M6" i="1882"/>
  <c r="AE23" i="1885" l="1"/>
  <c r="AE13" i="1885"/>
  <c r="AE7" i="1885"/>
  <c r="AE12" i="1885"/>
  <c r="AE11" i="1885"/>
  <c r="AE6" i="1885"/>
  <c r="AE16" i="1885"/>
  <c r="AE8" i="1885"/>
  <c r="AE19" i="1885"/>
  <c r="AE18" i="1885"/>
  <c r="AE21" i="1885"/>
  <c r="AE17" i="1885"/>
  <c r="AE14" i="1885"/>
  <c r="AE15" i="1885"/>
  <c r="AE9" i="1885"/>
  <c r="AE22" i="1885"/>
  <c r="AE10" i="1885"/>
  <c r="AD22" i="1884"/>
  <c r="AE18" i="1884" s="1"/>
  <c r="AC22" i="1883"/>
  <c r="P22" i="1883"/>
  <c r="M22" i="1883"/>
  <c r="AD20" i="1883"/>
  <c r="AD22" i="1883" s="1"/>
  <c r="K20" i="1882"/>
  <c r="P20" i="1882"/>
  <c r="AC20" i="1882" s="1"/>
  <c r="AD20" i="1882" s="1"/>
  <c r="O20" i="1882"/>
  <c r="L22" i="1882"/>
  <c r="O22" i="1882" s="1"/>
  <c r="AB10" i="1882"/>
  <c r="O10" i="1882"/>
  <c r="Q22" i="1882"/>
  <c r="O7" i="1882"/>
  <c r="K7" i="1882"/>
  <c r="P7" i="1882"/>
  <c r="AC7" i="1882" s="1"/>
  <c r="AD10" i="1882"/>
  <c r="AD13" i="1882"/>
  <c r="AD14" i="1882"/>
  <c r="AD18" i="1882"/>
  <c r="AD17" i="1882"/>
  <c r="AD6" i="1882"/>
  <c r="AD8" i="1882"/>
  <c r="M21" i="1882"/>
  <c r="AB21" i="1882"/>
  <c r="AD21" i="1882" s="1"/>
  <c r="O9" i="1882"/>
  <c r="O12" i="1882"/>
  <c r="M7" i="1882"/>
  <c r="AB7" i="1882"/>
  <c r="AB22" i="1882" s="1"/>
  <c r="P9" i="1882"/>
  <c r="AC9" i="1882" s="1"/>
  <c r="AD9" i="1882" s="1"/>
  <c r="P12" i="1882"/>
  <c r="AC12" i="1882" s="1"/>
  <c r="M20" i="1882"/>
  <c r="K22" i="1882"/>
  <c r="M9" i="1882"/>
  <c r="M12" i="1882"/>
  <c r="U19" i="1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L21" i="1881"/>
  <c r="AB21" i="1881" s="1"/>
  <c r="L20" i="1881"/>
  <c r="K20" i="1881" s="1"/>
  <c r="L17" i="1881"/>
  <c r="K17" i="1881"/>
  <c r="L12" i="1881"/>
  <c r="K12" i="1881" s="1"/>
  <c r="L10" i="1881"/>
  <c r="K10" i="1881" s="1"/>
  <c r="L9" i="1881"/>
  <c r="K9" i="1881" s="1"/>
  <c r="L8" i="1881"/>
  <c r="K8" i="1881" s="1"/>
  <c r="L7" i="1881"/>
  <c r="K7" i="1881" s="1"/>
  <c r="L6" i="1881"/>
  <c r="K6" i="1881" s="1"/>
  <c r="K19" i="1881"/>
  <c r="K18" i="1881"/>
  <c r="K13" i="1881"/>
  <c r="A77" i="1881"/>
  <c r="A78" i="1881" s="1"/>
  <c r="A79" i="1881" s="1"/>
  <c r="A80" i="1881" s="1"/>
  <c r="A81" i="1881" s="1"/>
  <c r="A82" i="1881" s="1"/>
  <c r="AF61" i="1881"/>
  <c r="AF60" i="1881"/>
  <c r="AF63" i="1881" s="1"/>
  <c r="AA22" i="1881"/>
  <c r="Z22" i="1881"/>
  <c r="Y22" i="1881"/>
  <c r="X22" i="1881"/>
  <c r="W22" i="1881"/>
  <c r="V22" i="1881"/>
  <c r="U22" i="1881"/>
  <c r="T22" i="1881"/>
  <c r="S22" i="1881"/>
  <c r="R22" i="1881"/>
  <c r="N22" i="1881"/>
  <c r="J22" i="1881"/>
  <c r="I22" i="1881"/>
  <c r="AF21" i="1881"/>
  <c r="Q21" i="1881"/>
  <c r="AF20" i="1881"/>
  <c r="Q20" i="1881"/>
  <c r="AF19" i="1881"/>
  <c r="AB19" i="1881"/>
  <c r="Q19" i="1881"/>
  <c r="P19" i="1881"/>
  <c r="AC19" i="1881" s="1"/>
  <c r="AD19" i="1881" s="1"/>
  <c r="O19" i="1881"/>
  <c r="M19" i="1881"/>
  <c r="AF18" i="1881"/>
  <c r="Q18" i="1881"/>
  <c r="O18" i="1881"/>
  <c r="AB18" i="1881"/>
  <c r="AF17" i="1881"/>
  <c r="AB17" i="1881"/>
  <c r="Q17" i="1881"/>
  <c r="O17" i="1881"/>
  <c r="M17" i="1881"/>
  <c r="AF16" i="1881"/>
  <c r="AB16" i="1881"/>
  <c r="Q16" i="1881"/>
  <c r="P16" i="1881"/>
  <c r="AC16" i="1881" s="1"/>
  <c r="O16" i="1881"/>
  <c r="M16" i="1881"/>
  <c r="K16" i="1881"/>
  <c r="AF15" i="1881"/>
  <c r="AB15" i="1881"/>
  <c r="Q15" i="1881"/>
  <c r="P15" i="1881"/>
  <c r="AC15" i="1881" s="1"/>
  <c r="AD15" i="1881" s="1"/>
  <c r="O15" i="1881"/>
  <c r="M15" i="1881"/>
  <c r="K15" i="1881"/>
  <c r="AF14" i="1881"/>
  <c r="AB14" i="1881"/>
  <c r="Q14" i="1881"/>
  <c r="P14" i="1881" s="1"/>
  <c r="AC14" i="1881" s="1"/>
  <c r="O14" i="1881"/>
  <c r="M14" i="1881"/>
  <c r="K14" i="1881"/>
  <c r="AF13" i="1881"/>
  <c r="AB13" i="1881"/>
  <c r="Q13" i="1881"/>
  <c r="P13" i="1881"/>
  <c r="AC13" i="1881" s="1"/>
  <c r="O13" i="1881"/>
  <c r="M13" i="1881"/>
  <c r="AF12" i="1881"/>
  <c r="Q12" i="1881"/>
  <c r="AF11" i="1881"/>
  <c r="AB11" i="1881"/>
  <c r="Q11" i="1881"/>
  <c r="P11" i="1881"/>
  <c r="AC11" i="1881" s="1"/>
  <c r="O11" i="1881"/>
  <c r="M11" i="1881"/>
  <c r="K11" i="1881"/>
  <c r="AF10" i="1881"/>
  <c r="AB10" i="1881"/>
  <c r="Q10" i="1881"/>
  <c r="O10" i="1881"/>
  <c r="M10" i="1881"/>
  <c r="AF9" i="1881"/>
  <c r="Q9" i="1881"/>
  <c r="P9" i="1881"/>
  <c r="AC9" i="1881" s="1"/>
  <c r="AF8" i="1881"/>
  <c r="Q8" i="1881"/>
  <c r="P8" i="1881" s="1"/>
  <c r="AC8" i="1881" s="1"/>
  <c r="O8" i="1881"/>
  <c r="AF7" i="1881"/>
  <c r="Q7" i="1881"/>
  <c r="AB7" i="1881"/>
  <c r="AF6" i="1881"/>
  <c r="AB6" i="1881"/>
  <c r="Q6" i="1881"/>
  <c r="P6" i="1881"/>
  <c r="AC6" i="1881" s="1"/>
  <c r="M6" i="1881"/>
  <c r="AE21" i="1884" l="1"/>
  <c r="AE12" i="1884"/>
  <c r="AE7" i="1884"/>
  <c r="AE16" i="1884"/>
  <c r="AE11" i="1884"/>
  <c r="AE10" i="1884"/>
  <c r="AE14" i="1884"/>
  <c r="AE13" i="1884"/>
  <c r="AE17" i="1884"/>
  <c r="AE19" i="1884"/>
  <c r="AE9" i="1884"/>
  <c r="AE15" i="1884"/>
  <c r="AE8" i="1884"/>
  <c r="AE20" i="1884"/>
  <c r="AE6" i="1884"/>
  <c r="AE21" i="1883"/>
  <c r="AE18" i="1883"/>
  <c r="AE16" i="1883"/>
  <c r="AE14" i="1883"/>
  <c r="AE12" i="1883"/>
  <c r="AE9" i="1883"/>
  <c r="AE6" i="1883"/>
  <c r="AE10" i="1883"/>
  <c r="AE7" i="1883"/>
  <c r="AE11" i="1883"/>
  <c r="AE19" i="1883"/>
  <c r="AE17" i="1883"/>
  <c r="AE15" i="1883"/>
  <c r="AE13" i="1883"/>
  <c r="AE8" i="1883"/>
  <c r="AE20" i="1883"/>
  <c r="M22" i="1882"/>
  <c r="AC22" i="1882"/>
  <c r="AD12" i="1882"/>
  <c r="P22" i="1882"/>
  <c r="AD7" i="1882"/>
  <c r="M21" i="1881"/>
  <c r="K21" i="1881"/>
  <c r="K22" i="1881" s="1"/>
  <c r="P21" i="1881"/>
  <c r="AC21" i="1881" s="1"/>
  <c r="O21" i="1881"/>
  <c r="P20" i="1881"/>
  <c r="AC20" i="1881" s="1"/>
  <c r="P17" i="1881"/>
  <c r="AC17" i="1881" s="1"/>
  <c r="AD17" i="1881" s="1"/>
  <c r="P12" i="1881"/>
  <c r="AC12" i="1881" s="1"/>
  <c r="P10" i="1881"/>
  <c r="AC10" i="1881" s="1"/>
  <c r="AD10" i="1881" s="1"/>
  <c r="Q22" i="1881"/>
  <c r="O7" i="1881"/>
  <c r="P7" i="1881"/>
  <c r="AC7" i="1881" s="1"/>
  <c r="AD7" i="1881" s="1"/>
  <c r="O6" i="1881"/>
  <c r="AD6" i="1881" s="1"/>
  <c r="AD11" i="1881"/>
  <c r="AD14" i="1881"/>
  <c r="AD13" i="1881"/>
  <c r="AD16" i="1881"/>
  <c r="M9" i="1881"/>
  <c r="AB9" i="1881"/>
  <c r="M12" i="1881"/>
  <c r="AB12" i="1881"/>
  <c r="P18" i="1881"/>
  <c r="AC18" i="1881" s="1"/>
  <c r="AD18" i="1881" s="1"/>
  <c r="M20" i="1881"/>
  <c r="AB20" i="1881"/>
  <c r="AD20" i="1881" s="1"/>
  <c r="L22" i="1881"/>
  <c r="O22" i="1881" s="1"/>
  <c r="M8" i="1881"/>
  <c r="AB8" i="1881"/>
  <c r="AD8" i="1881" s="1"/>
  <c r="O9" i="1881"/>
  <c r="O12" i="1881"/>
  <c r="O20" i="1881"/>
  <c r="M7" i="1881"/>
  <c r="M18" i="1881"/>
  <c r="T19" i="16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AD22" i="1882" l="1"/>
  <c r="AE21" i="1882" s="1"/>
  <c r="AD21" i="1881"/>
  <c r="M22" i="1881"/>
  <c r="AC22" i="1881"/>
  <c r="P22" i="1881"/>
  <c r="AD12" i="1881"/>
  <c r="AD9" i="1881"/>
  <c r="AB22" i="1881"/>
  <c r="L21" i="1880"/>
  <c r="L20" i="1880"/>
  <c r="L19" i="1880"/>
  <c r="L18" i="1880"/>
  <c r="K18" i="1880"/>
  <c r="L13" i="1880"/>
  <c r="K13" i="1880" s="1"/>
  <c r="L12" i="1880"/>
  <c r="L10" i="1880"/>
  <c r="L9" i="1880"/>
  <c r="L8" i="1880"/>
  <c r="L7" i="1880"/>
  <c r="L6" i="1880"/>
  <c r="K6" i="1880"/>
  <c r="AE13" i="1882" l="1"/>
  <c r="AE11" i="1882"/>
  <c r="AE12" i="1882"/>
  <c r="AE15" i="1882"/>
  <c r="AE19" i="1882"/>
  <c r="AE18" i="1882"/>
  <c r="AE20" i="1882"/>
  <c r="AE7" i="1882"/>
  <c r="AE10" i="1882"/>
  <c r="AE8" i="1882"/>
  <c r="AE9" i="1882"/>
  <c r="AE17" i="1882"/>
  <c r="AE14" i="1882"/>
  <c r="AE6" i="1882"/>
  <c r="AE16" i="1882"/>
  <c r="AD22" i="1881"/>
  <c r="AE17" i="1881" s="1"/>
  <c r="K21" i="1880"/>
  <c r="K20" i="1880"/>
  <c r="K19" i="1880"/>
  <c r="K12" i="1880"/>
  <c r="K10" i="1880"/>
  <c r="K9" i="1880"/>
  <c r="K8" i="1880"/>
  <c r="K7" i="1880"/>
  <c r="A77" i="1880"/>
  <c r="A78" i="1880" s="1"/>
  <c r="A79" i="1880" s="1"/>
  <c r="A80" i="1880" s="1"/>
  <c r="A81" i="1880" s="1"/>
  <c r="A82" i="1880" s="1"/>
  <c r="AF61" i="1880"/>
  <c r="AF63" i="1880" s="1"/>
  <c r="AF60" i="1880"/>
  <c r="AA22" i="1880"/>
  <c r="Z22" i="1880"/>
  <c r="Y22" i="1880"/>
  <c r="X22" i="1880"/>
  <c r="W22" i="1880"/>
  <c r="V22" i="1880"/>
  <c r="U22" i="1880"/>
  <c r="T22" i="1880"/>
  <c r="S22" i="1880"/>
  <c r="R22" i="1880"/>
  <c r="N22" i="1880"/>
  <c r="J22" i="1880"/>
  <c r="I22" i="1880"/>
  <c r="AF21" i="1880"/>
  <c r="AB21" i="1880"/>
  <c r="Q21" i="1880"/>
  <c r="P21" i="1880"/>
  <c r="AC21" i="1880" s="1"/>
  <c r="O21" i="1880"/>
  <c r="M21" i="1880"/>
  <c r="AF20" i="1880"/>
  <c r="Q20" i="1880"/>
  <c r="P20" i="1880"/>
  <c r="AC20" i="1880" s="1"/>
  <c r="AF19" i="1880"/>
  <c r="Q19" i="1880"/>
  <c r="P19" i="1880" s="1"/>
  <c r="AC19" i="1880" s="1"/>
  <c r="O19" i="1880"/>
  <c r="AF18" i="1880"/>
  <c r="Q18" i="1880"/>
  <c r="P18" i="1880" s="1"/>
  <c r="AC18" i="1880" s="1"/>
  <c r="O18" i="1880"/>
  <c r="AB18" i="1880"/>
  <c r="AF17" i="1880"/>
  <c r="AC17" i="1880"/>
  <c r="AB17" i="1880"/>
  <c r="Q17" i="1880"/>
  <c r="P17" i="1880"/>
  <c r="O17" i="1880"/>
  <c r="M17" i="1880"/>
  <c r="K17" i="1880"/>
  <c r="AF16" i="1880"/>
  <c r="AB16" i="1880"/>
  <c r="Q16" i="1880"/>
  <c r="P16" i="1880"/>
  <c r="AC16" i="1880" s="1"/>
  <c r="O16" i="1880"/>
  <c r="M16" i="1880"/>
  <c r="K16" i="1880"/>
  <c r="AF15" i="1880"/>
  <c r="AB15" i="1880"/>
  <c r="Q15" i="1880"/>
  <c r="P15" i="1880"/>
  <c r="AC15" i="1880" s="1"/>
  <c r="AD15" i="1880" s="1"/>
  <c r="O15" i="1880"/>
  <c r="M15" i="1880"/>
  <c r="K15" i="1880"/>
  <c r="AF14" i="1880"/>
  <c r="AB14" i="1880"/>
  <c r="Q14" i="1880"/>
  <c r="P14" i="1880"/>
  <c r="AC14" i="1880" s="1"/>
  <c r="AD14" i="1880" s="1"/>
  <c r="O14" i="1880"/>
  <c r="M14" i="1880"/>
  <c r="K14" i="1880"/>
  <c r="AF13" i="1880"/>
  <c r="AB13" i="1880"/>
  <c r="Q13" i="1880"/>
  <c r="P13" i="1880" s="1"/>
  <c r="AC13" i="1880" s="1"/>
  <c r="O13" i="1880"/>
  <c r="M13" i="1880"/>
  <c r="AF12" i="1880"/>
  <c r="Q12" i="1880"/>
  <c r="P12" i="1880"/>
  <c r="AC12" i="1880" s="1"/>
  <c r="AF11" i="1880"/>
  <c r="AB11" i="1880"/>
  <c r="Q11" i="1880"/>
  <c r="P11" i="1880"/>
  <c r="AC11" i="1880" s="1"/>
  <c r="O11" i="1880"/>
  <c r="M11" i="1880"/>
  <c r="K11" i="1880"/>
  <c r="AF10" i="1880"/>
  <c r="AB10" i="1880"/>
  <c r="Q10" i="1880"/>
  <c r="P10" i="1880"/>
  <c r="AC10" i="1880" s="1"/>
  <c r="O10" i="1880"/>
  <c r="M10" i="1880"/>
  <c r="AF9" i="1880"/>
  <c r="Q9" i="1880"/>
  <c r="P9" i="1880"/>
  <c r="AC9" i="1880" s="1"/>
  <c r="AF8" i="1880"/>
  <c r="AB8" i="1880"/>
  <c r="Q8" i="1880"/>
  <c r="P8" i="1880" s="1"/>
  <c r="AC8" i="1880" s="1"/>
  <c r="O8" i="1880"/>
  <c r="M8" i="1880"/>
  <c r="AF7" i="1880"/>
  <c r="AB7" i="1880"/>
  <c r="Q7" i="1880"/>
  <c r="P7" i="1880" s="1"/>
  <c r="AC7" i="1880" s="1"/>
  <c r="O7" i="1880"/>
  <c r="M7" i="1880"/>
  <c r="AF6" i="1880"/>
  <c r="AB6" i="1880"/>
  <c r="Q6" i="1880"/>
  <c r="O6" i="1880"/>
  <c r="M6" i="1880"/>
  <c r="AE21" i="1881" l="1"/>
  <c r="AE9" i="1881"/>
  <c r="AE7" i="1881"/>
  <c r="AE18" i="1881"/>
  <c r="AE11" i="1881"/>
  <c r="AE10" i="1881"/>
  <c r="AE14" i="1881"/>
  <c r="AE13" i="1881"/>
  <c r="AE12" i="1881"/>
  <c r="AE16" i="1881"/>
  <c r="AE20" i="1881"/>
  <c r="AE15" i="1881"/>
  <c r="AE8" i="1881"/>
  <c r="AE19" i="1881"/>
  <c r="AE6" i="1881"/>
  <c r="AD21" i="1880"/>
  <c r="AD13" i="1880"/>
  <c r="AD10" i="1880"/>
  <c r="Q22" i="1880"/>
  <c r="P6" i="1880"/>
  <c r="AC6" i="1880" s="1"/>
  <c r="AD6" i="1880" s="1"/>
  <c r="AD7" i="1880"/>
  <c r="AD17" i="1880"/>
  <c r="AD8" i="1880"/>
  <c r="AD11" i="1880"/>
  <c r="AD16" i="1880"/>
  <c r="AD18" i="1880"/>
  <c r="L22" i="1880"/>
  <c r="O22" i="1880" s="1"/>
  <c r="M9" i="1880"/>
  <c r="AB9" i="1880"/>
  <c r="AD9" i="1880" s="1"/>
  <c r="M12" i="1880"/>
  <c r="AB12" i="1880"/>
  <c r="M20" i="1880"/>
  <c r="AB20" i="1880"/>
  <c r="AC22" i="1880"/>
  <c r="O9" i="1880"/>
  <c r="O12" i="1880"/>
  <c r="M19" i="1880"/>
  <c r="AB19" i="1880"/>
  <c r="AD19" i="1880" s="1"/>
  <c r="O20" i="1880"/>
  <c r="K22" i="1880"/>
  <c r="M18" i="1880"/>
  <c r="S19" i="16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S4" i="16"/>
  <c r="S3" i="16"/>
  <c r="L21" i="1879"/>
  <c r="K21" i="1879" s="1"/>
  <c r="K20" i="1879"/>
  <c r="L20" i="1879"/>
  <c r="P20" i="1879" s="1"/>
  <c r="AC20" i="1879" s="1"/>
  <c r="L19" i="1879"/>
  <c r="AB19" i="1879" s="1"/>
  <c r="L18" i="1879"/>
  <c r="L13" i="1879"/>
  <c r="K13" i="1879"/>
  <c r="L12" i="1879"/>
  <c r="K12" i="1879" s="1"/>
  <c r="L10" i="1879"/>
  <c r="K10" i="1879" s="1"/>
  <c r="L9" i="1879"/>
  <c r="L7" i="1879"/>
  <c r="M7" i="1879" s="1"/>
  <c r="K19" i="1879"/>
  <c r="K18" i="1879"/>
  <c r="K16" i="1879"/>
  <c r="K9" i="1879"/>
  <c r="K8" i="1879"/>
  <c r="K6" i="1879"/>
  <c r="A77" i="1879"/>
  <c r="A78" i="1879" s="1"/>
  <c r="A79" i="1879" s="1"/>
  <c r="A80" i="1879" s="1"/>
  <c r="A81" i="1879" s="1"/>
  <c r="A82" i="1879" s="1"/>
  <c r="AF61" i="1879"/>
  <c r="AF60" i="1879"/>
  <c r="AF63" i="1879" s="1"/>
  <c r="AA22" i="1879"/>
  <c r="Z22" i="1879"/>
  <c r="Y22" i="1879"/>
  <c r="X22" i="1879"/>
  <c r="W22" i="1879"/>
  <c r="V22" i="1879"/>
  <c r="U22" i="1879"/>
  <c r="T22" i="1879"/>
  <c r="S22" i="1879"/>
  <c r="R22" i="1879"/>
  <c r="N22" i="1879"/>
  <c r="J22" i="1879"/>
  <c r="I22" i="1879"/>
  <c r="AF21" i="1879"/>
  <c r="Q21" i="1879"/>
  <c r="AF20" i="1879"/>
  <c r="Q20" i="1879"/>
  <c r="O20" i="1879"/>
  <c r="AB20" i="1879"/>
  <c r="AF19" i="1879"/>
  <c r="Q19" i="1879"/>
  <c r="P19" i="1879"/>
  <c r="AC19" i="1879" s="1"/>
  <c r="O19" i="1879"/>
  <c r="AF18" i="1879"/>
  <c r="Q18" i="1879"/>
  <c r="AB18" i="1879"/>
  <c r="AF17" i="1879"/>
  <c r="AB17" i="1879"/>
  <c r="Q17" i="1879"/>
  <c r="P17" i="1879"/>
  <c r="AC17" i="1879" s="1"/>
  <c r="AD17" i="1879" s="1"/>
  <c r="O17" i="1879"/>
  <c r="M17" i="1879"/>
  <c r="K17" i="1879"/>
  <c r="AF16" i="1879"/>
  <c r="AB16" i="1879"/>
  <c r="Q16" i="1879"/>
  <c r="M16" i="1879"/>
  <c r="O16" i="1879"/>
  <c r="AF15" i="1879"/>
  <c r="AB15" i="1879"/>
  <c r="Q15" i="1879"/>
  <c r="P15" i="1879"/>
  <c r="AC15" i="1879" s="1"/>
  <c r="AD15" i="1879" s="1"/>
  <c r="O15" i="1879"/>
  <c r="M15" i="1879"/>
  <c r="K15" i="1879"/>
  <c r="AF14" i="1879"/>
  <c r="AB14" i="1879"/>
  <c r="Q14" i="1879"/>
  <c r="P14" i="1879"/>
  <c r="AC14" i="1879" s="1"/>
  <c r="AD14" i="1879" s="1"/>
  <c r="O14" i="1879"/>
  <c r="M14" i="1879"/>
  <c r="K14" i="1879"/>
  <c r="AF13" i="1879"/>
  <c r="Q13" i="1879"/>
  <c r="AB13" i="1879"/>
  <c r="AF12" i="1879"/>
  <c r="AB12" i="1879"/>
  <c r="Q12" i="1879"/>
  <c r="P12" i="1879"/>
  <c r="AC12" i="1879" s="1"/>
  <c r="O12" i="1879"/>
  <c r="M12" i="1879"/>
  <c r="AF11" i="1879"/>
  <c r="AB11" i="1879"/>
  <c r="Q11" i="1879"/>
  <c r="P11" i="1879"/>
  <c r="AC11" i="1879" s="1"/>
  <c r="AD11" i="1879" s="1"/>
  <c r="O11" i="1879"/>
  <c r="M11" i="1879"/>
  <c r="K11" i="1879"/>
  <c r="AF10" i="1879"/>
  <c r="Q10" i="1879"/>
  <c r="AB10" i="1879"/>
  <c r="AF9" i="1879"/>
  <c r="Q9" i="1879"/>
  <c r="O9" i="1879"/>
  <c r="AB9" i="1879"/>
  <c r="AF8" i="1879"/>
  <c r="AB8" i="1879"/>
  <c r="Q8" i="1879"/>
  <c r="P8" i="1879" s="1"/>
  <c r="AC8" i="1879" s="1"/>
  <c r="O8" i="1879"/>
  <c r="M8" i="1879"/>
  <c r="AF7" i="1879"/>
  <c r="AB7" i="1879"/>
  <c r="Q7" i="1879"/>
  <c r="AF6" i="1879"/>
  <c r="Q6" i="1879"/>
  <c r="AB6" i="1879"/>
  <c r="P22" i="1880" l="1"/>
  <c r="M22" i="1880"/>
  <c r="AB22" i="1880"/>
  <c r="AD20" i="1880"/>
  <c r="AD12" i="1880"/>
  <c r="O21" i="1879"/>
  <c r="P21" i="1879"/>
  <c r="AC21" i="1879" s="1"/>
  <c r="M19" i="1879"/>
  <c r="P9" i="1879"/>
  <c r="AC9" i="1879" s="1"/>
  <c r="AD9" i="1879" s="1"/>
  <c r="Q22" i="1879"/>
  <c r="K7" i="1879"/>
  <c r="O7" i="1879"/>
  <c r="AD19" i="1879"/>
  <c r="AD8" i="1879"/>
  <c r="AD12" i="1879"/>
  <c r="AD20" i="1879"/>
  <c r="O6" i="1879"/>
  <c r="P7" i="1879"/>
  <c r="AC7" i="1879" s="1"/>
  <c r="AD7" i="1879" s="1"/>
  <c r="M9" i="1879"/>
  <c r="O10" i="1879"/>
  <c r="O13" i="1879"/>
  <c r="P16" i="1879"/>
  <c r="AC16" i="1879" s="1"/>
  <c r="AD16" i="1879" s="1"/>
  <c r="O18" i="1879"/>
  <c r="M21" i="1879"/>
  <c r="AB21" i="1879"/>
  <c r="L22" i="1879"/>
  <c r="O22" i="1879" s="1"/>
  <c r="K22" i="1879"/>
  <c r="P6" i="1879"/>
  <c r="P10" i="1879"/>
  <c r="AC10" i="1879" s="1"/>
  <c r="P13" i="1879"/>
  <c r="AC13" i="1879" s="1"/>
  <c r="P18" i="1879"/>
  <c r="AC18" i="1879" s="1"/>
  <c r="M20" i="1879"/>
  <c r="M6" i="1879"/>
  <c r="M10" i="1879"/>
  <c r="M13" i="1879"/>
  <c r="M18" i="1879"/>
  <c r="R19" i="16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L21" i="1878"/>
  <c r="L20" i="1878"/>
  <c r="L19" i="1878"/>
  <c r="K19" i="1878"/>
  <c r="L18" i="1878"/>
  <c r="K18" i="1878"/>
  <c r="L16" i="1878"/>
  <c r="O16" i="1878" s="1"/>
  <c r="L13" i="1878"/>
  <c r="K13" i="1878" s="1"/>
  <c r="L12" i="1878"/>
  <c r="K12" i="1878" s="1"/>
  <c r="L10" i="1878"/>
  <c r="K10" i="1878" s="1"/>
  <c r="L9" i="1878"/>
  <c r="K9" i="1878" s="1"/>
  <c r="L8" i="1878"/>
  <c r="L7" i="1878"/>
  <c r="L6" i="1878"/>
  <c r="K21" i="1878"/>
  <c r="K8" i="1878"/>
  <c r="K7" i="1878"/>
  <c r="K6" i="1878"/>
  <c r="A77" i="1878"/>
  <c r="A78" i="1878" s="1"/>
  <c r="A79" i="1878" s="1"/>
  <c r="A80" i="1878" s="1"/>
  <c r="A81" i="1878" s="1"/>
  <c r="A82" i="1878" s="1"/>
  <c r="AF61" i="1878"/>
  <c r="AF60" i="1878"/>
  <c r="AF63" i="1878" s="1"/>
  <c r="AA22" i="1878"/>
  <c r="Z22" i="1878"/>
  <c r="Y22" i="1878"/>
  <c r="X22" i="1878"/>
  <c r="W22" i="1878"/>
  <c r="V22" i="1878"/>
  <c r="U22" i="1878"/>
  <c r="T22" i="1878"/>
  <c r="S22" i="1878"/>
  <c r="R22" i="1878"/>
  <c r="N22" i="1878"/>
  <c r="J22" i="1878"/>
  <c r="I22" i="1878"/>
  <c r="AF21" i="1878"/>
  <c r="AB21" i="1878"/>
  <c r="Q21" i="1878"/>
  <c r="P21" i="1878" s="1"/>
  <c r="AC21" i="1878" s="1"/>
  <c r="M21" i="1878"/>
  <c r="AF20" i="1878"/>
  <c r="Q20" i="1878"/>
  <c r="AF19" i="1878"/>
  <c r="Q19" i="1878"/>
  <c r="P19" i="1878" s="1"/>
  <c r="AC19" i="1878" s="1"/>
  <c r="O19" i="1878"/>
  <c r="AF18" i="1878"/>
  <c r="AB18" i="1878"/>
  <c r="Q18" i="1878"/>
  <c r="P18" i="1878" s="1"/>
  <c r="AC18" i="1878" s="1"/>
  <c r="O18" i="1878"/>
  <c r="M18" i="1878"/>
  <c r="AF17" i="1878"/>
  <c r="AB17" i="1878"/>
  <c r="Q17" i="1878"/>
  <c r="P17" i="1878"/>
  <c r="AC17" i="1878" s="1"/>
  <c r="O17" i="1878"/>
  <c r="M17" i="1878"/>
  <c r="K17" i="1878"/>
  <c r="AF16" i="1878"/>
  <c r="Q16" i="1878"/>
  <c r="P16" i="1878" s="1"/>
  <c r="AC16" i="1878" s="1"/>
  <c r="M16" i="1878"/>
  <c r="AB16" i="1878"/>
  <c r="AF15" i="1878"/>
  <c r="AC15" i="1878"/>
  <c r="AB15" i="1878"/>
  <c r="Q15" i="1878"/>
  <c r="P15" i="1878"/>
  <c r="O15" i="1878"/>
  <c r="M15" i="1878"/>
  <c r="K15" i="1878"/>
  <c r="AF14" i="1878"/>
  <c r="AB14" i="1878"/>
  <c r="Q14" i="1878"/>
  <c r="P14" i="1878"/>
  <c r="AC14" i="1878" s="1"/>
  <c r="O14" i="1878"/>
  <c r="M14" i="1878"/>
  <c r="K14" i="1878"/>
  <c r="AF13" i="1878"/>
  <c r="Q13" i="1878"/>
  <c r="P13" i="1878" s="1"/>
  <c r="AC13" i="1878" s="1"/>
  <c r="AF12" i="1878"/>
  <c r="Q12" i="1878"/>
  <c r="P12" i="1878" s="1"/>
  <c r="AC12" i="1878" s="1"/>
  <c r="O12" i="1878"/>
  <c r="AF11" i="1878"/>
  <c r="AC11" i="1878"/>
  <c r="AB11" i="1878"/>
  <c r="Q11" i="1878"/>
  <c r="P11" i="1878"/>
  <c r="O11" i="1878"/>
  <c r="M11" i="1878"/>
  <c r="K11" i="1878"/>
  <c r="AF10" i="1878"/>
  <c r="Q10" i="1878"/>
  <c r="AF9" i="1878"/>
  <c r="Q9" i="1878"/>
  <c r="AF8" i="1878"/>
  <c r="AB8" i="1878"/>
  <c r="Q8" i="1878"/>
  <c r="P8" i="1878" s="1"/>
  <c r="AC8" i="1878" s="1"/>
  <c r="O8" i="1878"/>
  <c r="M8" i="1878"/>
  <c r="AF7" i="1878"/>
  <c r="AB7" i="1878"/>
  <c r="Q7" i="1878"/>
  <c r="P7" i="1878" s="1"/>
  <c r="AC7" i="1878" s="1"/>
  <c r="O7" i="1878"/>
  <c r="M7" i="1878"/>
  <c r="AF6" i="1878"/>
  <c r="Q6" i="1878"/>
  <c r="AD22" i="1880" l="1"/>
  <c r="AE21" i="1880" s="1"/>
  <c r="AD21" i="1879"/>
  <c r="AD13" i="1879"/>
  <c r="AD18" i="1879"/>
  <c r="AD10" i="1879"/>
  <c r="AB22" i="1879"/>
  <c r="M22" i="1879"/>
  <c r="P22" i="1879"/>
  <c r="AC6" i="1879"/>
  <c r="P20" i="1878"/>
  <c r="AC20" i="1878" s="1"/>
  <c r="K20" i="1878"/>
  <c r="AD18" i="1878"/>
  <c r="K16" i="1878"/>
  <c r="O9" i="1878"/>
  <c r="P10" i="1878"/>
  <c r="AC10" i="1878" s="1"/>
  <c r="P9" i="1878"/>
  <c r="AC9" i="1878" s="1"/>
  <c r="Q22" i="1878"/>
  <c r="P6" i="1878"/>
  <c r="AC6" i="1878" s="1"/>
  <c r="AD11" i="1878"/>
  <c r="AD15" i="1878"/>
  <c r="AD17" i="1878"/>
  <c r="AD8" i="1878"/>
  <c r="AD7" i="1878"/>
  <c r="AD14" i="1878"/>
  <c r="AD16" i="1878"/>
  <c r="L22" i="1878"/>
  <c r="O22" i="1878" s="1"/>
  <c r="AB6" i="1878"/>
  <c r="AB10" i="1878"/>
  <c r="AB13" i="1878"/>
  <c r="M20" i="1878"/>
  <c r="AB20" i="1878"/>
  <c r="O21" i="1878"/>
  <c r="AD21" i="1878" s="1"/>
  <c r="M13" i="1878"/>
  <c r="O6" i="1878"/>
  <c r="M9" i="1878"/>
  <c r="AB9" i="1878"/>
  <c r="AD9" i="1878" s="1"/>
  <c r="O10" i="1878"/>
  <c r="M12" i="1878"/>
  <c r="AB12" i="1878"/>
  <c r="AD12" i="1878" s="1"/>
  <c r="O13" i="1878"/>
  <c r="M19" i="1878"/>
  <c r="AB19" i="1878"/>
  <c r="AD19" i="1878" s="1"/>
  <c r="O20" i="1878"/>
  <c r="M6" i="1878"/>
  <c r="M10" i="1878"/>
  <c r="Q19" i="16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L22" i="1877"/>
  <c r="L21" i="1877"/>
  <c r="AB21" i="1877" s="1"/>
  <c r="L20" i="1877"/>
  <c r="K20" i="1877"/>
  <c r="L17" i="1877"/>
  <c r="K17" i="1877" s="1"/>
  <c r="L14" i="1877"/>
  <c r="O14" i="1877" s="1"/>
  <c r="K14" i="1877"/>
  <c r="AF14" i="1877"/>
  <c r="Q14" i="1877"/>
  <c r="P14" i="1877" s="1"/>
  <c r="AC14" i="1877" s="1"/>
  <c r="M14" i="1877"/>
  <c r="AB14" i="1877"/>
  <c r="L13" i="1877"/>
  <c r="L12" i="1877"/>
  <c r="L10" i="1877"/>
  <c r="K10" i="1877" s="1"/>
  <c r="L9" i="1877"/>
  <c r="K9" i="1877" s="1"/>
  <c r="L8" i="1877"/>
  <c r="L7" i="1877"/>
  <c r="L6" i="1877"/>
  <c r="K6" i="1877" s="1"/>
  <c r="K22" i="1877"/>
  <c r="K19" i="1877"/>
  <c r="K18" i="1877"/>
  <c r="K13" i="1877"/>
  <c r="K8" i="1877"/>
  <c r="K7" i="1877"/>
  <c r="A78" i="1877"/>
  <c r="A79" i="1877" s="1"/>
  <c r="A80" i="1877" s="1"/>
  <c r="A81" i="1877" s="1"/>
  <c r="A82" i="1877" s="1"/>
  <c r="A83" i="1877" s="1"/>
  <c r="AF64" i="1877"/>
  <c r="AF62" i="1877"/>
  <c r="AF61" i="1877"/>
  <c r="AA23" i="1877"/>
  <c r="Z23" i="1877"/>
  <c r="Y23" i="1877"/>
  <c r="X23" i="1877"/>
  <c r="W23" i="1877"/>
  <c r="V23" i="1877"/>
  <c r="U23" i="1877"/>
  <c r="T23" i="1877"/>
  <c r="S23" i="1877"/>
  <c r="R23" i="1877"/>
  <c r="N23" i="1877"/>
  <c r="J23" i="1877"/>
  <c r="I23" i="1877"/>
  <c r="AF22" i="1877"/>
  <c r="AB22" i="1877"/>
  <c r="Q22" i="1877"/>
  <c r="P22" i="1877" s="1"/>
  <c r="AC22" i="1877" s="1"/>
  <c r="AD22" i="1877" s="1"/>
  <c r="O22" i="1877"/>
  <c r="M22" i="1877"/>
  <c r="AF21" i="1877"/>
  <c r="Q21" i="1877"/>
  <c r="AF20" i="1877"/>
  <c r="Q20" i="1877"/>
  <c r="P20" i="1877" s="1"/>
  <c r="AC20" i="1877" s="1"/>
  <c r="AF19" i="1877"/>
  <c r="Q19" i="1877"/>
  <c r="P19" i="1877"/>
  <c r="AC19" i="1877" s="1"/>
  <c r="O19" i="1877"/>
  <c r="AF18" i="1877"/>
  <c r="AB18" i="1877"/>
  <c r="Q18" i="1877"/>
  <c r="P18" i="1877"/>
  <c r="AC18" i="1877" s="1"/>
  <c r="O18" i="1877"/>
  <c r="M18" i="1877"/>
  <c r="AF17" i="1877"/>
  <c r="Q17" i="1877"/>
  <c r="P17" i="1877" s="1"/>
  <c r="AC17" i="1877" s="1"/>
  <c r="AF16" i="1877"/>
  <c r="AB16" i="1877"/>
  <c r="Q16" i="1877"/>
  <c r="P16" i="1877"/>
  <c r="AC16" i="1877" s="1"/>
  <c r="O16" i="1877"/>
  <c r="M16" i="1877"/>
  <c r="K16" i="1877"/>
  <c r="AF15" i="1877"/>
  <c r="AB15" i="1877"/>
  <c r="Q15" i="1877"/>
  <c r="P15" i="1877"/>
  <c r="AC15" i="1877" s="1"/>
  <c r="O15" i="1877"/>
  <c r="M15" i="1877"/>
  <c r="K15" i="1877"/>
  <c r="AF13" i="1877"/>
  <c r="AB13" i="1877"/>
  <c r="Q13" i="1877"/>
  <c r="P13" i="1877" s="1"/>
  <c r="AC13" i="1877" s="1"/>
  <c r="AD13" i="1877" s="1"/>
  <c r="O13" i="1877"/>
  <c r="M13" i="1877"/>
  <c r="AF12" i="1877"/>
  <c r="Q12" i="1877"/>
  <c r="AF11" i="1877"/>
  <c r="AB11" i="1877"/>
  <c r="Q11" i="1877"/>
  <c r="P11" i="1877"/>
  <c r="AC11" i="1877" s="1"/>
  <c r="O11" i="1877"/>
  <c r="M11" i="1877"/>
  <c r="K11" i="1877"/>
  <c r="AF10" i="1877"/>
  <c r="AB10" i="1877"/>
  <c r="Q10" i="1877"/>
  <c r="P10" i="1877" s="1"/>
  <c r="AC10" i="1877" s="1"/>
  <c r="O10" i="1877"/>
  <c r="M10" i="1877"/>
  <c r="AF9" i="1877"/>
  <c r="Q9" i="1877"/>
  <c r="P9" i="1877"/>
  <c r="AC9" i="1877" s="1"/>
  <c r="AF8" i="1877"/>
  <c r="Q8" i="1877"/>
  <c r="P8" i="1877" s="1"/>
  <c r="AC8" i="1877" s="1"/>
  <c r="O8" i="1877"/>
  <c r="AF7" i="1877"/>
  <c r="AB7" i="1877"/>
  <c r="Q7" i="1877"/>
  <c r="P7" i="1877" s="1"/>
  <c r="AC7" i="1877" s="1"/>
  <c r="O7" i="1877"/>
  <c r="M7" i="1877"/>
  <c r="AF6" i="1877"/>
  <c r="AB6" i="1877"/>
  <c r="Q6" i="1877"/>
  <c r="O6" i="1877"/>
  <c r="M6" i="1877"/>
  <c r="AE6" i="1880" l="1"/>
  <c r="AE8" i="1880"/>
  <c r="AE19" i="1880"/>
  <c r="AE13" i="1880"/>
  <c r="AE9" i="1880"/>
  <c r="AE15" i="1880"/>
  <c r="AE12" i="1880"/>
  <c r="AE14" i="1880"/>
  <c r="AE7" i="1880"/>
  <c r="AE17" i="1880"/>
  <c r="AE11" i="1880"/>
  <c r="AE18" i="1880"/>
  <c r="AE20" i="1880"/>
  <c r="AE16" i="1880"/>
  <c r="AE10" i="1880"/>
  <c r="AC22" i="1879"/>
  <c r="AD6" i="1879"/>
  <c r="AD22" i="1879" s="1"/>
  <c r="P22" i="1878"/>
  <c r="AD13" i="1878"/>
  <c r="M22" i="1878"/>
  <c r="AD10" i="1878"/>
  <c r="AD20" i="1878"/>
  <c r="AB22" i="1878"/>
  <c r="AD6" i="1878"/>
  <c r="AC22" i="1878"/>
  <c r="K22" i="1878"/>
  <c r="M21" i="1877"/>
  <c r="P21" i="1877"/>
  <c r="AC21" i="1877" s="1"/>
  <c r="K21" i="1877"/>
  <c r="M17" i="1877"/>
  <c r="AB17" i="1877"/>
  <c r="AD17" i="1877" s="1"/>
  <c r="O17" i="1877"/>
  <c r="AD14" i="1877"/>
  <c r="AD16" i="1877"/>
  <c r="P12" i="1877"/>
  <c r="AC12" i="1877" s="1"/>
  <c r="K12" i="1877"/>
  <c r="AD10" i="1877"/>
  <c r="L23" i="1877"/>
  <c r="O23" i="1877" s="1"/>
  <c r="Q23" i="1877"/>
  <c r="AD7" i="1877"/>
  <c r="AD15" i="1877"/>
  <c r="AD11" i="1877"/>
  <c r="AD18" i="1877"/>
  <c r="P6" i="1877"/>
  <c r="M8" i="1877"/>
  <c r="AB8" i="1877"/>
  <c r="O9" i="1877"/>
  <c r="O12" i="1877"/>
  <c r="M20" i="1877"/>
  <c r="AB20" i="1877"/>
  <c r="O21" i="1877"/>
  <c r="M9" i="1877"/>
  <c r="AB9" i="1877"/>
  <c r="M12" i="1877"/>
  <c r="AB12" i="1877"/>
  <c r="M19" i="1877"/>
  <c r="AB19" i="1877"/>
  <c r="AD19" i="1877" s="1"/>
  <c r="O20" i="1877"/>
  <c r="P66" i="1876"/>
  <c r="AE21" i="1879" l="1"/>
  <c r="AE17" i="1879"/>
  <c r="AE12" i="1879"/>
  <c r="AE9" i="1879"/>
  <c r="AE18" i="1879"/>
  <c r="AE15" i="1879"/>
  <c r="AE19" i="1879"/>
  <c r="AE16" i="1879"/>
  <c r="AE7" i="1879"/>
  <c r="AE20" i="1879"/>
  <c r="AE14" i="1879"/>
  <c r="AE11" i="1879"/>
  <c r="AE8" i="1879"/>
  <c r="AE13" i="1879"/>
  <c r="AE10" i="1879"/>
  <c r="AE6" i="1879"/>
  <c r="AD22" i="1878"/>
  <c r="AE15" i="1878" s="1"/>
  <c r="AD21" i="1877"/>
  <c r="AD12" i="1877"/>
  <c r="AD9" i="1877"/>
  <c r="M23" i="1877"/>
  <c r="AD20" i="1877"/>
  <c r="AB23" i="1877"/>
  <c r="AD8" i="1877"/>
  <c r="K23" i="1877"/>
  <c r="P23" i="1877"/>
  <c r="AC6" i="1877"/>
  <c r="M19" i="16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L21" i="1876"/>
  <c r="L20" i="1876"/>
  <c r="L19" i="1876"/>
  <c r="L18" i="1876"/>
  <c r="K17" i="1876"/>
  <c r="L13" i="1876"/>
  <c r="L12" i="1876"/>
  <c r="L10" i="1876"/>
  <c r="L9" i="1876"/>
  <c r="K9" i="1876"/>
  <c r="L8" i="1876"/>
  <c r="L7" i="1876"/>
  <c r="L6" i="1876"/>
  <c r="AE17" i="1878" l="1"/>
  <c r="AE16" i="1878"/>
  <c r="AE18" i="1878"/>
  <c r="AE10" i="1878"/>
  <c r="AE14" i="1878"/>
  <c r="AE9" i="1878"/>
  <c r="AE7" i="1878"/>
  <c r="AE19" i="1878"/>
  <c r="AE8" i="1878"/>
  <c r="AE13" i="1878"/>
  <c r="AE6" i="1878"/>
  <c r="AE11" i="1878"/>
  <c r="AE20" i="1878"/>
  <c r="AE21" i="1878"/>
  <c r="AE12" i="1878"/>
  <c r="AD6" i="1877"/>
  <c r="AD23" i="1877" s="1"/>
  <c r="AE14" i="1877" s="1"/>
  <c r="AC23" i="1877"/>
  <c r="K21" i="1876"/>
  <c r="K20" i="1876"/>
  <c r="K19" i="1876"/>
  <c r="K18" i="1876"/>
  <c r="K16" i="1876"/>
  <c r="K13" i="1876"/>
  <c r="K12" i="1876"/>
  <c r="K10" i="1876"/>
  <c r="K8" i="1876"/>
  <c r="K7" i="1876"/>
  <c r="K6" i="1876"/>
  <c r="A77" i="1876"/>
  <c r="A78" i="1876" s="1"/>
  <c r="A79" i="1876" s="1"/>
  <c r="A80" i="1876" s="1"/>
  <c r="A81" i="1876" s="1"/>
  <c r="A82" i="1876" s="1"/>
  <c r="AF63" i="1876"/>
  <c r="AF61" i="1876"/>
  <c r="AF60" i="1876"/>
  <c r="AA22" i="1876"/>
  <c r="Z22" i="1876"/>
  <c r="Y22" i="1876"/>
  <c r="X22" i="1876"/>
  <c r="W22" i="1876"/>
  <c r="V22" i="1876"/>
  <c r="U22" i="1876"/>
  <c r="T22" i="1876"/>
  <c r="S22" i="1876"/>
  <c r="R22" i="1876"/>
  <c r="N22" i="1876"/>
  <c r="J22" i="1876"/>
  <c r="I22" i="1876"/>
  <c r="AF21" i="1876"/>
  <c r="Q21" i="1876"/>
  <c r="P21" i="1876"/>
  <c r="AC21" i="1876" s="1"/>
  <c r="O21" i="1876"/>
  <c r="AB21" i="1876"/>
  <c r="AF20" i="1876"/>
  <c r="AB20" i="1876"/>
  <c r="Q20" i="1876"/>
  <c r="P20" i="1876"/>
  <c r="AC20" i="1876" s="1"/>
  <c r="AD20" i="1876" s="1"/>
  <c r="O20" i="1876"/>
  <c r="M20" i="1876"/>
  <c r="AF19" i="1876"/>
  <c r="Q19" i="1876"/>
  <c r="O19" i="1876"/>
  <c r="AF18" i="1876"/>
  <c r="Q18" i="1876"/>
  <c r="P18" i="1876"/>
  <c r="AC18" i="1876" s="1"/>
  <c r="AB18" i="1876"/>
  <c r="AF17" i="1876"/>
  <c r="Q17" i="1876"/>
  <c r="P17" i="1876" s="1"/>
  <c r="AC17" i="1876" s="1"/>
  <c r="O17" i="1876"/>
  <c r="AB17" i="1876"/>
  <c r="AF16" i="1876"/>
  <c r="AB16" i="1876"/>
  <c r="Q16" i="1876"/>
  <c r="P16" i="1876"/>
  <c r="AC16" i="1876" s="1"/>
  <c r="O16" i="1876"/>
  <c r="M16" i="1876"/>
  <c r="AF15" i="1876"/>
  <c r="AC15" i="1876"/>
  <c r="AB15" i="1876"/>
  <c r="Q15" i="1876"/>
  <c r="P15" i="1876"/>
  <c r="O15" i="1876"/>
  <c r="M15" i="1876"/>
  <c r="K15" i="1876"/>
  <c r="AF14" i="1876"/>
  <c r="AC14" i="1876"/>
  <c r="AB14" i="1876"/>
  <c r="Q14" i="1876"/>
  <c r="P14" i="1876"/>
  <c r="O14" i="1876"/>
  <c r="M14" i="1876"/>
  <c r="K14" i="1876"/>
  <c r="AF13" i="1876"/>
  <c r="Q13" i="1876"/>
  <c r="M13" i="1876"/>
  <c r="AF12" i="1876"/>
  <c r="Q12" i="1876"/>
  <c r="P12" i="1876"/>
  <c r="AC12" i="1876" s="1"/>
  <c r="O12" i="1876"/>
  <c r="AF11" i="1876"/>
  <c r="AB11" i="1876"/>
  <c r="Q11" i="1876"/>
  <c r="P11" i="1876"/>
  <c r="AC11" i="1876" s="1"/>
  <c r="AD11" i="1876" s="1"/>
  <c r="O11" i="1876"/>
  <c r="M11" i="1876"/>
  <c r="K11" i="1876"/>
  <c r="AF10" i="1876"/>
  <c r="Q10" i="1876"/>
  <c r="M10" i="1876"/>
  <c r="AF9" i="1876"/>
  <c r="Q9" i="1876"/>
  <c r="P9" i="1876" s="1"/>
  <c r="AC9" i="1876" s="1"/>
  <c r="M9" i="1876"/>
  <c r="AF8" i="1876"/>
  <c r="Q8" i="1876"/>
  <c r="P8" i="1876"/>
  <c r="AC8" i="1876" s="1"/>
  <c r="O8" i="1876"/>
  <c r="AB8" i="1876"/>
  <c r="AF7" i="1876"/>
  <c r="AB7" i="1876"/>
  <c r="Q7" i="1876"/>
  <c r="P7" i="1876" s="1"/>
  <c r="AC7" i="1876" s="1"/>
  <c r="O7" i="1876"/>
  <c r="M7" i="1876"/>
  <c r="AF6" i="1876"/>
  <c r="Q6" i="1876"/>
  <c r="AB6" i="1876"/>
  <c r="L19" i="16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21" i="1875"/>
  <c r="L20" i="1875"/>
  <c r="L19" i="1875"/>
  <c r="K19" i="1875"/>
  <c r="L18" i="1875"/>
  <c r="K18" i="1875" s="1"/>
  <c r="L17" i="1875"/>
  <c r="K17" i="1875" s="1"/>
  <c r="AE21" i="1877" l="1"/>
  <c r="AE22" i="1877"/>
  <c r="AE18" i="1877"/>
  <c r="AE16" i="1877"/>
  <c r="AE13" i="1877"/>
  <c r="AE10" i="1877"/>
  <c r="AE6" i="1877"/>
  <c r="AE20" i="1877"/>
  <c r="AE15" i="1877"/>
  <c r="AE11" i="1877"/>
  <c r="AE8" i="1877"/>
  <c r="AE12" i="1877"/>
  <c r="AE9" i="1877"/>
  <c r="AE19" i="1877"/>
  <c r="AE7" i="1877"/>
  <c r="AE17" i="1877"/>
  <c r="Q22" i="1876"/>
  <c r="AD7" i="1876"/>
  <c r="AD14" i="1876"/>
  <c r="AD15" i="1876"/>
  <c r="AD16" i="1876"/>
  <c r="AD8" i="1876"/>
  <c r="AD17" i="1876"/>
  <c r="AD21" i="1876"/>
  <c r="M6" i="1876"/>
  <c r="AB10" i="1876"/>
  <c r="AB13" i="1876"/>
  <c r="O6" i="1876"/>
  <c r="AB9" i="1876"/>
  <c r="O10" i="1876"/>
  <c r="M12" i="1876"/>
  <c r="AB12" i="1876"/>
  <c r="AD12" i="1876" s="1"/>
  <c r="O13" i="1876"/>
  <c r="P6" i="1876"/>
  <c r="M8" i="1876"/>
  <c r="O9" i="1876"/>
  <c r="P10" i="1876"/>
  <c r="AC10" i="1876" s="1"/>
  <c r="P13" i="1876"/>
  <c r="AC13" i="1876" s="1"/>
  <c r="AD13" i="1876" s="1"/>
  <c r="M17" i="1876"/>
  <c r="O18" i="1876"/>
  <c r="AD18" i="1876" s="1"/>
  <c r="P19" i="1876"/>
  <c r="AC19" i="1876" s="1"/>
  <c r="M21" i="1876"/>
  <c r="L22" i="1876"/>
  <c r="O22" i="1876" s="1"/>
  <c r="AB19" i="1876"/>
  <c r="M19" i="1876"/>
  <c r="M18" i="1876"/>
  <c r="L16" i="1875"/>
  <c r="K16" i="1875"/>
  <c r="L13" i="1875"/>
  <c r="L12" i="1875"/>
  <c r="K12" i="1875" s="1"/>
  <c r="L10" i="1875"/>
  <c r="K10" i="1875"/>
  <c r="L9" i="1875"/>
  <c r="L8" i="1875"/>
  <c r="L7" i="1875"/>
  <c r="L6" i="1875"/>
  <c r="K21" i="1875"/>
  <c r="K20" i="1875"/>
  <c r="K13" i="1875"/>
  <c r="K9" i="1875"/>
  <c r="K8" i="1875"/>
  <c r="K7" i="1875"/>
  <c r="K6" i="1875"/>
  <c r="A77" i="1875"/>
  <c r="A78" i="1875" s="1"/>
  <c r="A79" i="1875" s="1"/>
  <c r="A80" i="1875" s="1"/>
  <c r="A81" i="1875" s="1"/>
  <c r="A82" i="1875" s="1"/>
  <c r="AF61" i="1875"/>
  <c r="AF60" i="1875"/>
  <c r="AF63" i="1875" s="1"/>
  <c r="AA22" i="1875"/>
  <c r="Z22" i="1875"/>
  <c r="Y22" i="1875"/>
  <c r="X22" i="1875"/>
  <c r="W22" i="1875"/>
  <c r="V22" i="1875"/>
  <c r="U22" i="1875"/>
  <c r="T22" i="1875"/>
  <c r="S22" i="1875"/>
  <c r="R22" i="1875"/>
  <c r="N22" i="1875"/>
  <c r="J22" i="1875"/>
  <c r="I22" i="1875"/>
  <c r="AF21" i="1875"/>
  <c r="Q21" i="1875"/>
  <c r="P21" i="1875"/>
  <c r="AC21" i="1875" s="1"/>
  <c r="O21" i="1875"/>
  <c r="AF20" i="1875"/>
  <c r="Q20" i="1875"/>
  <c r="P20" i="1875"/>
  <c r="AC20" i="1875" s="1"/>
  <c r="O20" i="1875"/>
  <c r="AB20" i="1875"/>
  <c r="AF19" i="1875"/>
  <c r="AB19" i="1875"/>
  <c r="Q19" i="1875"/>
  <c r="P19" i="1875"/>
  <c r="AC19" i="1875" s="1"/>
  <c r="O19" i="1875"/>
  <c r="M19" i="1875"/>
  <c r="AF18" i="1875"/>
  <c r="Q18" i="1875"/>
  <c r="P18" i="1875"/>
  <c r="AC18" i="1875" s="1"/>
  <c r="O18" i="1875"/>
  <c r="AF17" i="1875"/>
  <c r="AB17" i="1875"/>
  <c r="Q17" i="1875"/>
  <c r="P17" i="1875" s="1"/>
  <c r="AC17" i="1875" s="1"/>
  <c r="O17" i="1875"/>
  <c r="M17" i="1875"/>
  <c r="AF16" i="1875"/>
  <c r="AB16" i="1875"/>
  <c r="Q16" i="1875"/>
  <c r="P16" i="1875"/>
  <c r="AC16" i="1875" s="1"/>
  <c r="O16" i="1875"/>
  <c r="M16" i="1875"/>
  <c r="AF15" i="1875"/>
  <c r="AB15" i="1875"/>
  <c r="Q15" i="1875"/>
  <c r="P15" i="1875"/>
  <c r="AC15" i="1875" s="1"/>
  <c r="AD15" i="1875" s="1"/>
  <c r="O15" i="1875"/>
  <c r="M15" i="1875"/>
  <c r="K15" i="1875"/>
  <c r="AF14" i="1875"/>
  <c r="AB14" i="1875"/>
  <c r="Q14" i="1875"/>
  <c r="P14" i="1875"/>
  <c r="AC14" i="1875" s="1"/>
  <c r="AD14" i="1875" s="1"/>
  <c r="O14" i="1875"/>
  <c r="M14" i="1875"/>
  <c r="K14" i="1875"/>
  <c r="AF13" i="1875"/>
  <c r="Q13" i="1875"/>
  <c r="P13" i="1875"/>
  <c r="AC13" i="1875" s="1"/>
  <c r="O13" i="1875"/>
  <c r="AB13" i="1875"/>
  <c r="AF12" i="1875"/>
  <c r="AB12" i="1875"/>
  <c r="Q12" i="1875"/>
  <c r="P12" i="1875" s="1"/>
  <c r="AC12" i="1875" s="1"/>
  <c r="O12" i="1875"/>
  <c r="M12" i="1875"/>
  <c r="AF11" i="1875"/>
  <c r="AB11" i="1875"/>
  <c r="Q11" i="1875"/>
  <c r="P11" i="1875"/>
  <c r="AC11" i="1875" s="1"/>
  <c r="AD11" i="1875" s="1"/>
  <c r="O11" i="1875"/>
  <c r="M11" i="1875"/>
  <c r="K11" i="1875"/>
  <c r="AF10" i="1875"/>
  <c r="AB10" i="1875"/>
  <c r="Q10" i="1875"/>
  <c r="P10" i="1875"/>
  <c r="AC10" i="1875" s="1"/>
  <c r="O10" i="1875"/>
  <c r="M10" i="1875"/>
  <c r="AF9" i="1875"/>
  <c r="Q9" i="1875"/>
  <c r="P9" i="1875"/>
  <c r="AC9" i="1875" s="1"/>
  <c r="AF8" i="1875"/>
  <c r="Q8" i="1875"/>
  <c r="P8" i="1875"/>
  <c r="AC8" i="1875" s="1"/>
  <c r="O8" i="1875"/>
  <c r="AF7" i="1875"/>
  <c r="Q7" i="1875"/>
  <c r="P7" i="1875" s="1"/>
  <c r="AC7" i="1875" s="1"/>
  <c r="O7" i="1875"/>
  <c r="AB7" i="1875"/>
  <c r="AF6" i="1875"/>
  <c r="AB6" i="1875"/>
  <c r="Q6" i="1875"/>
  <c r="O6" i="1875"/>
  <c r="M6" i="1875"/>
  <c r="L22" i="1875"/>
  <c r="O22" i="1875" s="1"/>
  <c r="AD19" i="1876" l="1"/>
  <c r="AD9" i="1876"/>
  <c r="K22" i="1876"/>
  <c r="M22" i="1876"/>
  <c r="AB22" i="1876"/>
  <c r="AD10" i="1876"/>
  <c r="AC6" i="1876"/>
  <c r="P22" i="1876"/>
  <c r="AD19" i="1875"/>
  <c r="AD17" i="1875"/>
  <c r="AD16" i="1875"/>
  <c r="AD10" i="1875"/>
  <c r="Q22" i="1875"/>
  <c r="P6" i="1875"/>
  <c r="AC6" i="1875" s="1"/>
  <c r="AC22" i="1875" s="1"/>
  <c r="AD12" i="1875"/>
  <c r="AD7" i="1875"/>
  <c r="AD13" i="1875"/>
  <c r="AD20" i="1875"/>
  <c r="K22" i="1875"/>
  <c r="M9" i="1875"/>
  <c r="M8" i="1875"/>
  <c r="M18" i="1875"/>
  <c r="AB18" i="1875"/>
  <c r="AD18" i="1875" s="1"/>
  <c r="M21" i="1875"/>
  <c r="AB21" i="1875"/>
  <c r="AD21" i="1875" s="1"/>
  <c r="AB9" i="1875"/>
  <c r="AB8" i="1875"/>
  <c r="AD8" i="1875" s="1"/>
  <c r="O9" i="1875"/>
  <c r="M7" i="1875"/>
  <c r="M13" i="1875"/>
  <c r="M20" i="1875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L21" i="1874"/>
  <c r="L20" i="1874"/>
  <c r="K20" i="1874" s="1"/>
  <c r="L18" i="1874"/>
  <c r="K18" i="1874"/>
  <c r="L13" i="1874"/>
  <c r="K13" i="1874" s="1"/>
  <c r="L12" i="1874"/>
  <c r="L9" i="1874"/>
  <c r="L8" i="1874"/>
  <c r="K8" i="1874" s="1"/>
  <c r="L7" i="1874"/>
  <c r="L6" i="1874"/>
  <c r="K6" i="1874" s="1"/>
  <c r="K21" i="1874"/>
  <c r="K17" i="1874"/>
  <c r="K16" i="1874"/>
  <c r="K12" i="1874"/>
  <c r="K11" i="1874"/>
  <c r="K9" i="1874"/>
  <c r="K7" i="1874"/>
  <c r="A77" i="1874"/>
  <c r="A78" i="1874" s="1"/>
  <c r="A79" i="1874" s="1"/>
  <c r="A80" i="1874" s="1"/>
  <c r="A81" i="1874" s="1"/>
  <c r="A82" i="1874" s="1"/>
  <c r="AF63" i="1874"/>
  <c r="AF61" i="1874"/>
  <c r="AF60" i="1874"/>
  <c r="AA22" i="1874"/>
  <c r="Z22" i="1874"/>
  <c r="Y22" i="1874"/>
  <c r="X22" i="1874"/>
  <c r="W22" i="1874"/>
  <c r="V22" i="1874"/>
  <c r="U22" i="1874"/>
  <c r="T22" i="1874"/>
  <c r="S22" i="1874"/>
  <c r="R22" i="1874"/>
  <c r="N22" i="1874"/>
  <c r="J22" i="1874"/>
  <c r="I22" i="1874"/>
  <c r="AF21" i="1874"/>
  <c r="Q21" i="1874"/>
  <c r="P21" i="1874" s="1"/>
  <c r="AC21" i="1874" s="1"/>
  <c r="O21" i="1874"/>
  <c r="AB21" i="1874"/>
  <c r="AF20" i="1874"/>
  <c r="Q20" i="1874"/>
  <c r="AF19" i="1874"/>
  <c r="AC19" i="1874"/>
  <c r="AD19" i="1874" s="1"/>
  <c r="AB19" i="1874"/>
  <c r="Q19" i="1874"/>
  <c r="P19" i="1874"/>
  <c r="O19" i="1874"/>
  <c r="M19" i="1874"/>
  <c r="K19" i="1874"/>
  <c r="AF18" i="1874"/>
  <c r="Q18" i="1874"/>
  <c r="P18" i="1874" s="1"/>
  <c r="AC18" i="1874" s="1"/>
  <c r="O18" i="1874"/>
  <c r="AB18" i="1874"/>
  <c r="AF17" i="1874"/>
  <c r="AB17" i="1874"/>
  <c r="Q17" i="1874"/>
  <c r="P17" i="1874"/>
  <c r="AC17" i="1874" s="1"/>
  <c r="O17" i="1874"/>
  <c r="M17" i="1874"/>
  <c r="AF16" i="1874"/>
  <c r="Q16" i="1874"/>
  <c r="AB16" i="1874"/>
  <c r="AF15" i="1874"/>
  <c r="AB15" i="1874"/>
  <c r="Q15" i="1874"/>
  <c r="P15" i="1874"/>
  <c r="AC15" i="1874" s="1"/>
  <c r="O15" i="1874"/>
  <c r="M15" i="1874"/>
  <c r="K15" i="1874"/>
  <c r="AF14" i="1874"/>
  <c r="AB14" i="1874"/>
  <c r="Q14" i="1874"/>
  <c r="P14" i="1874"/>
  <c r="AC14" i="1874" s="1"/>
  <c r="AD14" i="1874" s="1"/>
  <c r="O14" i="1874"/>
  <c r="M14" i="1874"/>
  <c r="K14" i="1874"/>
  <c r="AF13" i="1874"/>
  <c r="Q13" i="1874"/>
  <c r="P13" i="1874" s="1"/>
  <c r="AC13" i="1874" s="1"/>
  <c r="AF12" i="1874"/>
  <c r="Q12" i="1874"/>
  <c r="P12" i="1874"/>
  <c r="AC12" i="1874" s="1"/>
  <c r="O12" i="1874"/>
  <c r="AB12" i="1874"/>
  <c r="AF11" i="1874"/>
  <c r="AB11" i="1874"/>
  <c r="Q11" i="1874"/>
  <c r="P11" i="1874"/>
  <c r="AC11" i="1874" s="1"/>
  <c r="AD11" i="1874" s="1"/>
  <c r="O11" i="1874"/>
  <c r="M11" i="1874"/>
  <c r="AF10" i="1874"/>
  <c r="AC10" i="1874"/>
  <c r="AB10" i="1874"/>
  <c r="Q10" i="1874"/>
  <c r="P10" i="1874"/>
  <c r="O10" i="1874"/>
  <c r="M10" i="1874"/>
  <c r="K10" i="1874"/>
  <c r="AF9" i="1874"/>
  <c r="Q9" i="1874"/>
  <c r="P9" i="1874"/>
  <c r="AC9" i="1874" s="1"/>
  <c r="O9" i="1874"/>
  <c r="AF8" i="1874"/>
  <c r="AB8" i="1874"/>
  <c r="Q8" i="1874"/>
  <c r="P8" i="1874" s="1"/>
  <c r="AC8" i="1874" s="1"/>
  <c r="O8" i="1874"/>
  <c r="M8" i="1874"/>
  <c r="AF7" i="1874"/>
  <c r="AB7" i="1874"/>
  <c r="Q7" i="1874"/>
  <c r="O7" i="1874"/>
  <c r="M7" i="1874"/>
  <c r="P7" i="1874"/>
  <c r="AC7" i="1874" s="1"/>
  <c r="AF6" i="1874"/>
  <c r="Q6" i="1874"/>
  <c r="AC22" i="1876" l="1"/>
  <c r="AD6" i="1876"/>
  <c r="AD22" i="1876" s="1"/>
  <c r="AD6" i="1875"/>
  <c r="P22" i="1875"/>
  <c r="M22" i="1875"/>
  <c r="AD9" i="1875"/>
  <c r="AB22" i="1875"/>
  <c r="O20" i="1874"/>
  <c r="M20" i="1874"/>
  <c r="P20" i="1874"/>
  <c r="AC20" i="1874" s="1"/>
  <c r="AB20" i="1874"/>
  <c r="AD17" i="1874"/>
  <c r="Q22" i="1874"/>
  <c r="P6" i="1874"/>
  <c r="AC6" i="1874" s="1"/>
  <c r="AD12" i="1874"/>
  <c r="AD8" i="1874"/>
  <c r="AD15" i="1874"/>
  <c r="AD10" i="1874"/>
  <c r="AD7" i="1874"/>
  <c r="AD21" i="1874"/>
  <c r="AD18" i="1874"/>
  <c r="M13" i="1874"/>
  <c r="AB13" i="1874"/>
  <c r="AD13" i="1874" s="1"/>
  <c r="O16" i="1874"/>
  <c r="O6" i="1874"/>
  <c r="M9" i="1874"/>
  <c r="AB9" i="1874"/>
  <c r="AD9" i="1874" s="1"/>
  <c r="M12" i="1874"/>
  <c r="O13" i="1874"/>
  <c r="P16" i="1874"/>
  <c r="AC16" i="1874" s="1"/>
  <c r="M18" i="1874"/>
  <c r="M21" i="1874"/>
  <c r="L22" i="1874"/>
  <c r="O22" i="1874" s="1"/>
  <c r="M6" i="1874"/>
  <c r="AB6" i="1874"/>
  <c r="AB22" i="1874" s="1"/>
  <c r="K22" i="1874"/>
  <c r="M16" i="1874"/>
  <c r="J19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L21" i="1873"/>
  <c r="L20" i="1873"/>
  <c r="L18" i="1873"/>
  <c r="K18" i="1873"/>
  <c r="L17" i="1873"/>
  <c r="L16" i="1873"/>
  <c r="L13" i="1873"/>
  <c r="O13" i="1873" s="1"/>
  <c r="AF13" i="1873"/>
  <c r="Q13" i="1873"/>
  <c r="L12" i="1873"/>
  <c r="L11" i="1873"/>
  <c r="L9" i="1873"/>
  <c r="L8" i="1873"/>
  <c r="K8" i="1873"/>
  <c r="L7" i="1873"/>
  <c r="L6" i="1873"/>
  <c r="AE21" i="1876" l="1"/>
  <c r="AE17" i="1876"/>
  <c r="AE13" i="1876"/>
  <c r="AE6" i="1876"/>
  <c r="AE19" i="1876"/>
  <c r="AE15" i="1876"/>
  <c r="AE20" i="1876"/>
  <c r="AE16" i="1876"/>
  <c r="AE7" i="1876"/>
  <c r="AE14" i="1876"/>
  <c r="AE11" i="1876"/>
  <c r="AE8" i="1876"/>
  <c r="AE18" i="1876"/>
  <c r="AE12" i="1876"/>
  <c r="AE9" i="1876"/>
  <c r="AE10" i="1876"/>
  <c r="AD22" i="1875"/>
  <c r="AE21" i="1875" s="1"/>
  <c r="AD20" i="1874"/>
  <c r="AD16" i="1874"/>
  <c r="P22" i="1874"/>
  <c r="M22" i="1874"/>
  <c r="AC22" i="1874"/>
  <c r="AD6" i="1874"/>
  <c r="P13" i="1873"/>
  <c r="AC13" i="1873" s="1"/>
  <c r="K13" i="1873"/>
  <c r="M13" i="1873"/>
  <c r="AB13" i="1873"/>
  <c r="K6" i="1873"/>
  <c r="A77" i="1873"/>
  <c r="A78" i="1873" s="1"/>
  <c r="A79" i="1873" s="1"/>
  <c r="A80" i="1873" s="1"/>
  <c r="A81" i="1873" s="1"/>
  <c r="A82" i="1873" s="1"/>
  <c r="AF61" i="1873"/>
  <c r="AF60" i="1873"/>
  <c r="AF63" i="1873" s="1"/>
  <c r="AA22" i="1873"/>
  <c r="Z22" i="1873"/>
  <c r="Y22" i="1873"/>
  <c r="X22" i="1873"/>
  <c r="W22" i="1873"/>
  <c r="V22" i="1873"/>
  <c r="U22" i="1873"/>
  <c r="T22" i="1873"/>
  <c r="S22" i="1873"/>
  <c r="R22" i="1873"/>
  <c r="N22" i="1873"/>
  <c r="L22" i="1873"/>
  <c r="J22" i="1873"/>
  <c r="I22" i="1873"/>
  <c r="AF21" i="1873"/>
  <c r="AB21" i="1873"/>
  <c r="Q21" i="1873"/>
  <c r="P21" i="1873"/>
  <c r="AC21" i="1873" s="1"/>
  <c r="O21" i="1873"/>
  <c r="M21" i="1873"/>
  <c r="K21" i="1873"/>
  <c r="AF20" i="1873"/>
  <c r="AB20" i="1873"/>
  <c r="Q20" i="1873"/>
  <c r="P20" i="1873" s="1"/>
  <c r="AC20" i="1873" s="1"/>
  <c r="AD20" i="1873" s="1"/>
  <c r="O20" i="1873"/>
  <c r="M20" i="1873"/>
  <c r="K20" i="1873"/>
  <c r="AF19" i="1873"/>
  <c r="AB19" i="1873"/>
  <c r="Q19" i="1873"/>
  <c r="P19" i="1873"/>
  <c r="AC19" i="1873" s="1"/>
  <c r="AD19" i="1873" s="1"/>
  <c r="O19" i="1873"/>
  <c r="M19" i="1873"/>
  <c r="K19" i="1873"/>
  <c r="AF18" i="1873"/>
  <c r="AB18" i="1873"/>
  <c r="Q18" i="1873"/>
  <c r="P18" i="1873"/>
  <c r="AC18" i="1873" s="1"/>
  <c r="AD18" i="1873" s="1"/>
  <c r="O18" i="1873"/>
  <c r="M18" i="1873"/>
  <c r="AF17" i="1873"/>
  <c r="AB17" i="1873"/>
  <c r="Q17" i="1873"/>
  <c r="P17" i="1873"/>
  <c r="AC17" i="1873" s="1"/>
  <c r="AD17" i="1873" s="1"/>
  <c r="O17" i="1873"/>
  <c r="M17" i="1873"/>
  <c r="K17" i="1873"/>
  <c r="AF16" i="1873"/>
  <c r="AC16" i="1873"/>
  <c r="AD16" i="1873" s="1"/>
  <c r="AB16" i="1873"/>
  <c r="Q16" i="1873"/>
  <c r="P16" i="1873"/>
  <c r="O16" i="1873"/>
  <c r="M16" i="1873"/>
  <c r="K16" i="1873"/>
  <c r="AF15" i="1873"/>
  <c r="AB15" i="1873"/>
  <c r="Q15" i="1873"/>
  <c r="P15" i="1873"/>
  <c r="AC15" i="1873" s="1"/>
  <c r="AD15" i="1873" s="1"/>
  <c r="O15" i="1873"/>
  <c r="M15" i="1873"/>
  <c r="K15" i="1873"/>
  <c r="AF14" i="1873"/>
  <c r="AC14" i="1873"/>
  <c r="AD14" i="1873" s="1"/>
  <c r="AB14" i="1873"/>
  <c r="Q14" i="1873"/>
  <c r="P14" i="1873"/>
  <c r="O14" i="1873"/>
  <c r="M14" i="1873"/>
  <c r="K14" i="1873"/>
  <c r="AF12" i="1873"/>
  <c r="AB12" i="1873"/>
  <c r="Q12" i="1873"/>
  <c r="P12" i="1873" s="1"/>
  <c r="AC12" i="1873" s="1"/>
  <c r="AD12" i="1873" s="1"/>
  <c r="O12" i="1873"/>
  <c r="M12" i="1873"/>
  <c r="K12" i="1873"/>
  <c r="AF11" i="1873"/>
  <c r="AB11" i="1873"/>
  <c r="Q11" i="1873"/>
  <c r="P11" i="1873" s="1"/>
  <c r="AC11" i="1873" s="1"/>
  <c r="O11" i="1873"/>
  <c r="M11" i="1873"/>
  <c r="K11" i="1873"/>
  <c r="AF10" i="1873"/>
  <c r="AC10" i="1873"/>
  <c r="AD10" i="1873" s="1"/>
  <c r="AB10" i="1873"/>
  <c r="Q10" i="1873"/>
  <c r="P10" i="1873"/>
  <c r="O10" i="1873"/>
  <c r="M10" i="1873"/>
  <c r="K10" i="1873"/>
  <c r="AF9" i="1873"/>
  <c r="AB9" i="1873"/>
  <c r="Q9" i="1873"/>
  <c r="P9" i="1873"/>
  <c r="AC9" i="1873" s="1"/>
  <c r="AD9" i="1873" s="1"/>
  <c r="O9" i="1873"/>
  <c r="M9" i="1873"/>
  <c r="K9" i="1873"/>
  <c r="AF8" i="1873"/>
  <c r="AB8" i="1873"/>
  <c r="Q8" i="1873"/>
  <c r="P8" i="1873" s="1"/>
  <c r="AC8" i="1873" s="1"/>
  <c r="O8" i="1873"/>
  <c r="M8" i="1873"/>
  <c r="AF7" i="1873"/>
  <c r="AB7" i="1873"/>
  <c r="Q7" i="1873"/>
  <c r="P7" i="1873" s="1"/>
  <c r="AC7" i="1873" s="1"/>
  <c r="O7" i="1873"/>
  <c r="M7" i="1873"/>
  <c r="K7" i="1873"/>
  <c r="AF6" i="1873"/>
  <c r="AB6" i="1873"/>
  <c r="Q6" i="1873"/>
  <c r="O6" i="1873"/>
  <c r="M6" i="1873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K6" i="1872"/>
  <c r="K21" i="1872"/>
  <c r="K20" i="1872"/>
  <c r="K18" i="1872"/>
  <c r="K17" i="1872"/>
  <c r="K16" i="1872"/>
  <c r="K13" i="1872"/>
  <c r="K12" i="1872"/>
  <c r="K11" i="1872"/>
  <c r="K10" i="1872"/>
  <c r="K9" i="1872"/>
  <c r="K8" i="1872"/>
  <c r="K7" i="1872"/>
  <c r="A77" i="1872"/>
  <c r="A78" i="1872" s="1"/>
  <c r="A79" i="1872" s="1"/>
  <c r="A80" i="1872" s="1"/>
  <c r="A81" i="1872" s="1"/>
  <c r="A82" i="1872" s="1"/>
  <c r="AF61" i="1872"/>
  <c r="AF60" i="1872"/>
  <c r="AF63" i="1872" s="1"/>
  <c r="AA22" i="1872"/>
  <c r="Z22" i="1872"/>
  <c r="Y22" i="1872"/>
  <c r="X22" i="1872"/>
  <c r="W22" i="1872"/>
  <c r="V22" i="1872"/>
  <c r="U22" i="1872"/>
  <c r="T22" i="1872"/>
  <c r="S22" i="1872"/>
  <c r="R22" i="1872"/>
  <c r="N22" i="1872"/>
  <c r="J22" i="1872"/>
  <c r="I22" i="1872"/>
  <c r="AF21" i="1872"/>
  <c r="AB21" i="1872"/>
  <c r="Q21" i="1872"/>
  <c r="P21" i="1872"/>
  <c r="AC21" i="1872" s="1"/>
  <c r="AD21" i="1872" s="1"/>
  <c r="O21" i="1872"/>
  <c r="M21" i="1872"/>
  <c r="AF20" i="1872"/>
  <c r="Q20" i="1872"/>
  <c r="P20" i="1872"/>
  <c r="AC20" i="1872" s="1"/>
  <c r="AF19" i="1872"/>
  <c r="AB19" i="1872"/>
  <c r="Q19" i="1872"/>
  <c r="P19" i="1872"/>
  <c r="AC19" i="1872" s="1"/>
  <c r="O19" i="1872"/>
  <c r="M19" i="1872"/>
  <c r="K19" i="1872"/>
  <c r="AF18" i="1872"/>
  <c r="AB18" i="1872"/>
  <c r="Q18" i="1872"/>
  <c r="M18" i="1872"/>
  <c r="P18" i="1872"/>
  <c r="AC18" i="1872" s="1"/>
  <c r="AF17" i="1872"/>
  <c r="AB17" i="1872"/>
  <c r="Q17" i="1872"/>
  <c r="P17" i="1872" s="1"/>
  <c r="AC17" i="1872" s="1"/>
  <c r="O17" i="1872"/>
  <c r="M17" i="1872"/>
  <c r="AF16" i="1872"/>
  <c r="AB16" i="1872"/>
  <c r="Q16" i="1872"/>
  <c r="M16" i="1872"/>
  <c r="P16" i="1872"/>
  <c r="AC16" i="1872" s="1"/>
  <c r="AF15" i="1872"/>
  <c r="AB15" i="1872"/>
  <c r="Q15" i="1872"/>
  <c r="P15" i="1872"/>
  <c r="AC15" i="1872" s="1"/>
  <c r="O15" i="1872"/>
  <c r="M15" i="1872"/>
  <c r="K15" i="1872"/>
  <c r="AF14" i="1872"/>
  <c r="AB14" i="1872"/>
  <c r="Q14" i="1872"/>
  <c r="P14" i="1872"/>
  <c r="AC14" i="1872" s="1"/>
  <c r="O14" i="1872"/>
  <c r="M14" i="1872"/>
  <c r="K14" i="1872"/>
  <c r="AF13" i="1872"/>
  <c r="Q13" i="1872"/>
  <c r="P13" i="1872"/>
  <c r="AC13" i="1872" s="1"/>
  <c r="AF12" i="1872"/>
  <c r="Q12" i="1872"/>
  <c r="P12" i="1872"/>
  <c r="AC12" i="1872" s="1"/>
  <c r="O12" i="1872"/>
  <c r="AB12" i="1872"/>
  <c r="AF11" i="1872"/>
  <c r="AB11" i="1872"/>
  <c r="Q11" i="1872"/>
  <c r="P11" i="1872"/>
  <c r="AC11" i="1872" s="1"/>
  <c r="O11" i="1872"/>
  <c r="M11" i="1872"/>
  <c r="AF10" i="1872"/>
  <c r="AB10" i="1872"/>
  <c r="Q10" i="1872"/>
  <c r="M10" i="1872"/>
  <c r="P10" i="1872"/>
  <c r="AC10" i="1872" s="1"/>
  <c r="AF9" i="1872"/>
  <c r="Q9" i="1872"/>
  <c r="P9" i="1872"/>
  <c r="AC9" i="1872" s="1"/>
  <c r="AF8" i="1872"/>
  <c r="Q8" i="1872"/>
  <c r="P8" i="1872"/>
  <c r="AC8" i="1872" s="1"/>
  <c r="O8" i="1872"/>
  <c r="AB8" i="1872"/>
  <c r="AF7" i="1872"/>
  <c r="AB7" i="1872"/>
  <c r="Q7" i="1872"/>
  <c r="P7" i="1872"/>
  <c r="AC7" i="1872" s="1"/>
  <c r="AD7" i="1872" s="1"/>
  <c r="O7" i="1872"/>
  <c r="M7" i="1872"/>
  <c r="AF6" i="1872"/>
  <c r="AB6" i="1872"/>
  <c r="Q6" i="1872"/>
  <c r="P6" i="1872" s="1"/>
  <c r="AC6" i="1872" s="1"/>
  <c r="AD6" i="1872" s="1"/>
  <c r="O6" i="1872"/>
  <c r="M6" i="1872"/>
  <c r="AE14" i="1875" l="1"/>
  <c r="AE20" i="1875"/>
  <c r="AE6" i="1875"/>
  <c r="AE11" i="1875"/>
  <c r="AE12" i="1875"/>
  <c r="AE13" i="1875"/>
  <c r="AE10" i="1875"/>
  <c r="AE19" i="1875"/>
  <c r="AE18" i="1875"/>
  <c r="AE7" i="1875"/>
  <c r="AE9" i="1875"/>
  <c r="AE8" i="1875"/>
  <c r="AE17" i="1875"/>
  <c r="AE15" i="1875"/>
  <c r="AE16" i="1875"/>
  <c r="AD22" i="1874"/>
  <c r="AE15" i="1874" s="1"/>
  <c r="AD21" i="1873"/>
  <c r="K22" i="1873"/>
  <c r="AD13" i="1873"/>
  <c r="AB22" i="1873"/>
  <c r="AD11" i="1873"/>
  <c r="M22" i="1873"/>
  <c r="AD8" i="1873"/>
  <c r="Q22" i="1873"/>
  <c r="AD7" i="1873"/>
  <c r="O22" i="1873"/>
  <c r="P6" i="1873"/>
  <c r="AD14" i="1872"/>
  <c r="AD11" i="1872"/>
  <c r="Q22" i="1872"/>
  <c r="AD12" i="1872"/>
  <c r="AD15" i="1872"/>
  <c r="AD19" i="1872"/>
  <c r="AD17" i="1872"/>
  <c r="AD8" i="1872"/>
  <c r="M9" i="1872"/>
  <c r="AB9" i="1872"/>
  <c r="O10" i="1872"/>
  <c r="AD10" i="1872" s="1"/>
  <c r="M13" i="1872"/>
  <c r="AB13" i="1872"/>
  <c r="O16" i="1872"/>
  <c r="AD16" i="1872" s="1"/>
  <c r="O18" i="1872"/>
  <c r="AD18" i="1872" s="1"/>
  <c r="M20" i="1872"/>
  <c r="AB20" i="1872"/>
  <c r="AC22" i="1872"/>
  <c r="L22" i="1872"/>
  <c r="O22" i="1872" s="1"/>
  <c r="M8" i="1872"/>
  <c r="O9" i="1872"/>
  <c r="M12" i="1872"/>
  <c r="O13" i="1872"/>
  <c r="O20" i="1872"/>
  <c r="P22" i="1872"/>
  <c r="K22" i="1872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L22" i="1871"/>
  <c r="K22" i="1871" s="1"/>
  <c r="L21" i="1871"/>
  <c r="K21" i="1871" s="1"/>
  <c r="L19" i="1871"/>
  <c r="AF17" i="1871"/>
  <c r="Q17" i="1871"/>
  <c r="O17" i="1871"/>
  <c r="L17" i="1871"/>
  <c r="AB17" i="1871" s="1"/>
  <c r="K18" i="1871"/>
  <c r="L16" i="1871"/>
  <c r="K16" i="1871" s="1"/>
  <c r="L13" i="1871"/>
  <c r="K13" i="1871" s="1"/>
  <c r="L12" i="1871"/>
  <c r="K12" i="1871" s="1"/>
  <c r="L11" i="1871"/>
  <c r="O11" i="1871" s="1"/>
  <c r="K11" i="1871"/>
  <c r="L10" i="1871"/>
  <c r="K10" i="1871"/>
  <c r="L9" i="1871"/>
  <c r="L8" i="1871"/>
  <c r="AB8" i="1871" s="1"/>
  <c r="K8" i="1871"/>
  <c r="L7" i="1871"/>
  <c r="K20" i="1871"/>
  <c r="K19" i="1871"/>
  <c r="K6" i="1871"/>
  <c r="A78" i="1871"/>
  <c r="A79" i="1871" s="1"/>
  <c r="A80" i="1871" s="1"/>
  <c r="A81" i="1871" s="1"/>
  <c r="A82" i="1871" s="1"/>
  <c r="A83" i="1871" s="1"/>
  <c r="AF62" i="1871"/>
  <c r="AF61" i="1871"/>
  <c r="AF64" i="1871" s="1"/>
  <c r="AA23" i="1871"/>
  <c r="Z23" i="1871"/>
  <c r="Y23" i="1871"/>
  <c r="X23" i="1871"/>
  <c r="W23" i="1871"/>
  <c r="V23" i="1871"/>
  <c r="U23" i="1871"/>
  <c r="T23" i="1871"/>
  <c r="S23" i="1871"/>
  <c r="R23" i="1871"/>
  <c r="N23" i="1871"/>
  <c r="J23" i="1871"/>
  <c r="I23" i="1871"/>
  <c r="AF22" i="1871"/>
  <c r="AB22" i="1871"/>
  <c r="Q22" i="1871"/>
  <c r="P22" i="1871"/>
  <c r="AC22" i="1871" s="1"/>
  <c r="M22" i="1871"/>
  <c r="AF21" i="1871"/>
  <c r="Q21" i="1871"/>
  <c r="AF20" i="1871"/>
  <c r="AB20" i="1871"/>
  <c r="Q20" i="1871"/>
  <c r="P20" i="1871"/>
  <c r="AC20" i="1871" s="1"/>
  <c r="O20" i="1871"/>
  <c r="M20" i="1871"/>
  <c r="AF19" i="1871"/>
  <c r="AB19" i="1871"/>
  <c r="Q19" i="1871"/>
  <c r="P19" i="1871" s="1"/>
  <c r="AC19" i="1871" s="1"/>
  <c r="O19" i="1871"/>
  <c r="M19" i="1871"/>
  <c r="AF18" i="1871"/>
  <c r="AB18" i="1871"/>
  <c r="Q18" i="1871"/>
  <c r="O18" i="1871"/>
  <c r="M18" i="1871"/>
  <c r="AF16" i="1871"/>
  <c r="Q16" i="1871"/>
  <c r="O16" i="1871"/>
  <c r="AB16" i="1871"/>
  <c r="AF15" i="1871"/>
  <c r="AB15" i="1871"/>
  <c r="Q15" i="1871"/>
  <c r="P15" i="1871"/>
  <c r="AC15" i="1871" s="1"/>
  <c r="O15" i="1871"/>
  <c r="M15" i="1871"/>
  <c r="K15" i="1871"/>
  <c r="AF14" i="1871"/>
  <c r="AB14" i="1871"/>
  <c r="Q14" i="1871"/>
  <c r="P14" i="1871"/>
  <c r="AC14" i="1871" s="1"/>
  <c r="O14" i="1871"/>
  <c r="M14" i="1871"/>
  <c r="K14" i="1871"/>
  <c r="AF13" i="1871"/>
  <c r="AB13" i="1871"/>
  <c r="Q13" i="1871"/>
  <c r="O13" i="1871"/>
  <c r="M13" i="1871"/>
  <c r="AF12" i="1871"/>
  <c r="AB12" i="1871"/>
  <c r="Q12" i="1871"/>
  <c r="P12" i="1871"/>
  <c r="AC12" i="1871" s="1"/>
  <c r="O12" i="1871"/>
  <c r="M12" i="1871"/>
  <c r="AF11" i="1871"/>
  <c r="AB11" i="1871"/>
  <c r="Q11" i="1871"/>
  <c r="P11" i="1871" s="1"/>
  <c r="AC11" i="1871" s="1"/>
  <c r="M11" i="1871"/>
  <c r="AF10" i="1871"/>
  <c r="Q10" i="1871"/>
  <c r="P10" i="1871" s="1"/>
  <c r="AC10" i="1871" s="1"/>
  <c r="AF9" i="1871"/>
  <c r="Q9" i="1871"/>
  <c r="AF8" i="1871"/>
  <c r="Q8" i="1871"/>
  <c r="O8" i="1871"/>
  <c r="AF7" i="1871"/>
  <c r="AB7" i="1871"/>
  <c r="Q7" i="1871"/>
  <c r="M7" i="1871"/>
  <c r="O7" i="1871"/>
  <c r="AF6" i="1871"/>
  <c r="AB6" i="1871"/>
  <c r="Q6" i="1871"/>
  <c r="P6" i="1871" s="1"/>
  <c r="O6" i="1871"/>
  <c r="M6" i="1871"/>
  <c r="AE12" i="1874" l="1"/>
  <c r="AE14" i="1874"/>
  <c r="AE17" i="1874"/>
  <c r="AE9" i="1874"/>
  <c r="AE18" i="1874"/>
  <c r="AE6" i="1874"/>
  <c r="AE11" i="1874"/>
  <c r="AE13" i="1874"/>
  <c r="AE10" i="1874"/>
  <c r="AE16" i="1874"/>
  <c r="AE19" i="1874"/>
  <c r="AE21" i="1874"/>
  <c r="AE8" i="1874"/>
  <c r="AE20" i="1874"/>
  <c r="AE7" i="1874"/>
  <c r="AC6" i="1873"/>
  <c r="P22" i="1873"/>
  <c r="AD13" i="1872"/>
  <c r="AD20" i="1872"/>
  <c r="M22" i="1872"/>
  <c r="AD9" i="1872"/>
  <c r="AB22" i="1872"/>
  <c r="O22" i="1871"/>
  <c r="AD22" i="1871" s="1"/>
  <c r="P21" i="1871"/>
  <c r="AC21" i="1871" s="1"/>
  <c r="AD15" i="1871"/>
  <c r="K17" i="1871"/>
  <c r="P17" i="1871"/>
  <c r="AC17" i="1871" s="1"/>
  <c r="AD17" i="1871" s="1"/>
  <c r="AD14" i="1871"/>
  <c r="AD20" i="1871"/>
  <c r="P9" i="1871"/>
  <c r="AC9" i="1871" s="1"/>
  <c r="M17" i="1871"/>
  <c r="P18" i="1871"/>
  <c r="AC18" i="1871" s="1"/>
  <c r="AD18" i="1871" s="1"/>
  <c r="P13" i="1871"/>
  <c r="AC13" i="1871" s="1"/>
  <c r="AD13" i="1871" s="1"/>
  <c r="AD12" i="1871"/>
  <c r="AD11" i="1871"/>
  <c r="O9" i="1871"/>
  <c r="M9" i="1871"/>
  <c r="AB9" i="1871"/>
  <c r="K9" i="1871"/>
  <c r="P7" i="1871"/>
  <c r="AC7" i="1871" s="1"/>
  <c r="AD7" i="1871" s="1"/>
  <c r="K7" i="1871"/>
  <c r="AD19" i="1871"/>
  <c r="AC6" i="1871"/>
  <c r="L23" i="1871"/>
  <c r="O23" i="1871" s="1"/>
  <c r="K23" i="1871"/>
  <c r="P8" i="1871"/>
  <c r="AC8" i="1871" s="1"/>
  <c r="AD8" i="1871" s="1"/>
  <c r="M10" i="1871"/>
  <c r="AB10" i="1871"/>
  <c r="AB23" i="1871" s="1"/>
  <c r="P16" i="1871"/>
  <c r="AC16" i="1871" s="1"/>
  <c r="AD16" i="1871" s="1"/>
  <c r="M21" i="1871"/>
  <c r="AB21" i="1871"/>
  <c r="Q23" i="1871"/>
  <c r="O21" i="1871"/>
  <c r="O10" i="1871"/>
  <c r="M8" i="1871"/>
  <c r="M16" i="1871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L21" i="1870"/>
  <c r="L20" i="1870"/>
  <c r="L18" i="1870"/>
  <c r="L16" i="1870"/>
  <c r="L12" i="1870"/>
  <c r="L10" i="1870"/>
  <c r="L9" i="1870"/>
  <c r="L8" i="1870"/>
  <c r="L7" i="1870"/>
  <c r="K7" i="1870" s="1"/>
  <c r="K6" i="1870"/>
  <c r="AC22" i="1873" l="1"/>
  <c r="AD6" i="1873"/>
  <c r="AD22" i="1873" s="1"/>
  <c r="AE13" i="1873" s="1"/>
  <c r="AD22" i="1872"/>
  <c r="AE18" i="1872" s="1"/>
  <c r="AD9" i="1871"/>
  <c r="AD21" i="1871"/>
  <c r="M23" i="1871"/>
  <c r="AD10" i="1871"/>
  <c r="P23" i="1871"/>
  <c r="AD6" i="1871"/>
  <c r="AC23" i="1871"/>
  <c r="K21" i="1870"/>
  <c r="K20" i="1870"/>
  <c r="K19" i="1870"/>
  <c r="K18" i="1870"/>
  <c r="K17" i="1870"/>
  <c r="K16" i="1870"/>
  <c r="K12" i="1870"/>
  <c r="K10" i="1870"/>
  <c r="K9" i="1870"/>
  <c r="K8" i="1870"/>
  <c r="A78" i="1870"/>
  <c r="A79" i="1870" s="1"/>
  <c r="A80" i="1870" s="1"/>
  <c r="A81" i="1870" s="1"/>
  <c r="A82" i="1870" s="1"/>
  <c r="A77" i="1870"/>
  <c r="AF61" i="1870"/>
  <c r="AF60" i="1870"/>
  <c r="AF63" i="1870" s="1"/>
  <c r="AA22" i="1870"/>
  <c r="Z22" i="1870"/>
  <c r="Y22" i="1870"/>
  <c r="X22" i="1870"/>
  <c r="W22" i="1870"/>
  <c r="V22" i="1870"/>
  <c r="U22" i="1870"/>
  <c r="T22" i="1870"/>
  <c r="S22" i="1870"/>
  <c r="R22" i="1870"/>
  <c r="N22" i="1870"/>
  <c r="J22" i="1870"/>
  <c r="I22" i="1870"/>
  <c r="AF21" i="1870"/>
  <c r="Q21" i="1870"/>
  <c r="P21" i="1870"/>
  <c r="AC21" i="1870" s="1"/>
  <c r="AF20" i="1870"/>
  <c r="Q20" i="1870"/>
  <c r="P20" i="1870"/>
  <c r="AC20" i="1870" s="1"/>
  <c r="O20" i="1870"/>
  <c r="AF19" i="1870"/>
  <c r="Q19" i="1870"/>
  <c r="P19" i="1870"/>
  <c r="AC19" i="1870" s="1"/>
  <c r="O19" i="1870"/>
  <c r="AB19" i="1870"/>
  <c r="AF18" i="1870"/>
  <c r="AB18" i="1870"/>
  <c r="Q18" i="1870"/>
  <c r="P18" i="1870"/>
  <c r="AC18" i="1870" s="1"/>
  <c r="O18" i="1870"/>
  <c r="M18" i="1870"/>
  <c r="AF17" i="1870"/>
  <c r="Q17" i="1870"/>
  <c r="P17" i="1870"/>
  <c r="AC17" i="1870" s="1"/>
  <c r="AF16" i="1870"/>
  <c r="AB16" i="1870"/>
  <c r="Q16" i="1870"/>
  <c r="P16" i="1870" s="1"/>
  <c r="AC16" i="1870" s="1"/>
  <c r="O16" i="1870"/>
  <c r="M16" i="1870"/>
  <c r="AF15" i="1870"/>
  <c r="AB15" i="1870"/>
  <c r="Q15" i="1870"/>
  <c r="P15" i="1870"/>
  <c r="AC15" i="1870" s="1"/>
  <c r="O15" i="1870"/>
  <c r="M15" i="1870"/>
  <c r="K15" i="1870"/>
  <c r="AF14" i="1870"/>
  <c r="AB14" i="1870"/>
  <c r="Q14" i="1870"/>
  <c r="P14" i="1870"/>
  <c r="AC14" i="1870" s="1"/>
  <c r="O14" i="1870"/>
  <c r="M14" i="1870"/>
  <c r="K14" i="1870"/>
  <c r="AF13" i="1870"/>
  <c r="AB13" i="1870"/>
  <c r="Q13" i="1870"/>
  <c r="P13" i="1870"/>
  <c r="AC13" i="1870" s="1"/>
  <c r="O13" i="1870"/>
  <c r="M13" i="1870"/>
  <c r="K13" i="1870"/>
  <c r="AF12" i="1870"/>
  <c r="Q12" i="1870"/>
  <c r="P12" i="1870"/>
  <c r="AC12" i="1870" s="1"/>
  <c r="O12" i="1870"/>
  <c r="AB12" i="1870"/>
  <c r="AF11" i="1870"/>
  <c r="AB11" i="1870"/>
  <c r="Q11" i="1870"/>
  <c r="P11" i="1870"/>
  <c r="AC11" i="1870" s="1"/>
  <c r="O11" i="1870"/>
  <c r="M11" i="1870"/>
  <c r="K11" i="1870"/>
  <c r="AF10" i="1870"/>
  <c r="Q10" i="1870"/>
  <c r="P10" i="1870"/>
  <c r="AC10" i="1870" s="1"/>
  <c r="O10" i="1870"/>
  <c r="AF9" i="1870"/>
  <c r="Q9" i="1870"/>
  <c r="P9" i="1870"/>
  <c r="AC9" i="1870" s="1"/>
  <c r="O9" i="1870"/>
  <c r="AB9" i="1870"/>
  <c r="AF8" i="1870"/>
  <c r="AB8" i="1870"/>
  <c r="Q8" i="1870"/>
  <c r="P8" i="1870"/>
  <c r="AC8" i="1870" s="1"/>
  <c r="O8" i="1870"/>
  <c r="M8" i="1870"/>
  <c r="AF7" i="1870"/>
  <c r="AB7" i="1870"/>
  <c r="Q7" i="1870"/>
  <c r="P7" i="1870"/>
  <c r="AC7" i="1870" s="1"/>
  <c r="O7" i="1870"/>
  <c r="M7" i="1870"/>
  <c r="AF6" i="1870"/>
  <c r="AB6" i="1870"/>
  <c r="Q6" i="1870"/>
  <c r="P6" i="1870"/>
  <c r="AC6" i="1870" s="1"/>
  <c r="O6" i="1870"/>
  <c r="M6" i="1870"/>
  <c r="AE21" i="1873" l="1"/>
  <c r="AE19" i="1873"/>
  <c r="AE15" i="1873"/>
  <c r="AE9" i="1873"/>
  <c r="AE7" i="1873"/>
  <c r="AE20" i="1873"/>
  <c r="AE18" i="1873"/>
  <c r="AE16" i="1873"/>
  <c r="AE14" i="1873"/>
  <c r="AE12" i="1873"/>
  <c r="AE10" i="1873"/>
  <c r="AE8" i="1873"/>
  <c r="AE6" i="1873"/>
  <c r="AE11" i="1873"/>
  <c r="AE17" i="1873"/>
  <c r="AE20" i="1872"/>
  <c r="AE19" i="1872"/>
  <c r="AE6" i="1872"/>
  <c r="AE11" i="1872"/>
  <c r="AE12" i="1872"/>
  <c r="AE7" i="1872"/>
  <c r="AE21" i="1872"/>
  <c r="AE9" i="1872"/>
  <c r="AE15" i="1872"/>
  <c r="AE14" i="1872"/>
  <c r="AE10" i="1872"/>
  <c r="AE8" i="1872"/>
  <c r="AE17" i="1872"/>
  <c r="AE13" i="1872"/>
  <c r="AE16" i="1872"/>
  <c r="AD23" i="1871"/>
  <c r="AE17" i="1871" s="1"/>
  <c r="AD14" i="1870"/>
  <c r="AD11" i="1870"/>
  <c r="AD16" i="1870"/>
  <c r="AD18" i="1870"/>
  <c r="Q22" i="1870"/>
  <c r="AD13" i="1870"/>
  <c r="AD8" i="1870"/>
  <c r="AD7" i="1870"/>
  <c r="AC22" i="1870"/>
  <c r="P22" i="1870"/>
  <c r="AD15" i="1870"/>
  <c r="AD19" i="1870"/>
  <c r="AD9" i="1870"/>
  <c r="AD12" i="1870"/>
  <c r="AD6" i="1870"/>
  <c r="M17" i="1870"/>
  <c r="M21" i="1870"/>
  <c r="M10" i="1870"/>
  <c r="AB10" i="1870"/>
  <c r="AD10" i="1870" s="1"/>
  <c r="O17" i="1870"/>
  <c r="M20" i="1870"/>
  <c r="AB20" i="1870"/>
  <c r="AD20" i="1870" s="1"/>
  <c r="O21" i="1870"/>
  <c r="AB17" i="1870"/>
  <c r="AD17" i="1870" s="1"/>
  <c r="AB21" i="1870"/>
  <c r="L22" i="1870"/>
  <c r="O22" i="1870" s="1"/>
  <c r="M9" i="1870"/>
  <c r="M12" i="1870"/>
  <c r="K22" i="1870"/>
  <c r="M19" i="1870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L22" i="1869"/>
  <c r="K22" i="1869" s="1"/>
  <c r="L21" i="1869"/>
  <c r="L20" i="1869"/>
  <c r="K20" i="1869" s="1"/>
  <c r="L19" i="1869"/>
  <c r="AB19" i="1869" s="1"/>
  <c r="K19" i="1869"/>
  <c r="L18" i="1869"/>
  <c r="K18" i="1869" s="1"/>
  <c r="AF17" i="1869"/>
  <c r="Q17" i="1869"/>
  <c r="O17" i="1869"/>
  <c r="AB17" i="1869"/>
  <c r="L16" i="1869"/>
  <c r="K16" i="1869"/>
  <c r="K13" i="1869"/>
  <c r="L12" i="1869"/>
  <c r="K12" i="1869" s="1"/>
  <c r="L10" i="1869"/>
  <c r="K10" i="1869" s="1"/>
  <c r="L9" i="1869"/>
  <c r="O9" i="1869" s="1"/>
  <c r="L8" i="1869"/>
  <c r="K21" i="1869"/>
  <c r="K11" i="1869"/>
  <c r="K8" i="1869"/>
  <c r="A78" i="1869"/>
  <c r="A79" i="1869" s="1"/>
  <c r="A80" i="1869" s="1"/>
  <c r="A81" i="1869" s="1"/>
  <c r="A82" i="1869" s="1"/>
  <c r="A83" i="1869" s="1"/>
  <c r="AF62" i="1869"/>
  <c r="AF61" i="1869"/>
  <c r="AA23" i="1869"/>
  <c r="Z23" i="1869"/>
  <c r="Y23" i="1869"/>
  <c r="X23" i="1869"/>
  <c r="W23" i="1869"/>
  <c r="V23" i="1869"/>
  <c r="U23" i="1869"/>
  <c r="T23" i="1869"/>
  <c r="S23" i="1869"/>
  <c r="R23" i="1869"/>
  <c r="N23" i="1869"/>
  <c r="J23" i="1869"/>
  <c r="I23" i="1869"/>
  <c r="AF22" i="1869"/>
  <c r="AB22" i="1869"/>
  <c r="Q22" i="1869"/>
  <c r="P22" i="1869" s="1"/>
  <c r="AC22" i="1869" s="1"/>
  <c r="O22" i="1869"/>
  <c r="M22" i="1869"/>
  <c r="AF21" i="1869"/>
  <c r="Q21" i="1869"/>
  <c r="P21" i="1869" s="1"/>
  <c r="AC21" i="1869" s="1"/>
  <c r="O21" i="1869"/>
  <c r="AF20" i="1869"/>
  <c r="Q20" i="1869"/>
  <c r="P20" i="1869" s="1"/>
  <c r="AC20" i="1869" s="1"/>
  <c r="O20" i="1869"/>
  <c r="AF19" i="1869"/>
  <c r="Q19" i="1869"/>
  <c r="P19" i="1869"/>
  <c r="AC19" i="1869" s="1"/>
  <c r="M19" i="1869"/>
  <c r="AF18" i="1869"/>
  <c r="Q18" i="1869"/>
  <c r="AB18" i="1869"/>
  <c r="AF16" i="1869"/>
  <c r="AB16" i="1869"/>
  <c r="Q16" i="1869"/>
  <c r="P16" i="1869"/>
  <c r="AC16" i="1869" s="1"/>
  <c r="O16" i="1869"/>
  <c r="M16" i="1869"/>
  <c r="AF15" i="1869"/>
  <c r="AB15" i="1869"/>
  <c r="Q15" i="1869"/>
  <c r="P15" i="1869"/>
  <c r="AC15" i="1869" s="1"/>
  <c r="O15" i="1869"/>
  <c r="M15" i="1869"/>
  <c r="K15" i="1869"/>
  <c r="AF14" i="1869"/>
  <c r="AB14" i="1869"/>
  <c r="Q14" i="1869"/>
  <c r="P14" i="1869"/>
  <c r="AC14" i="1869" s="1"/>
  <c r="O14" i="1869"/>
  <c r="M14" i="1869"/>
  <c r="K14" i="1869"/>
  <c r="AF13" i="1869"/>
  <c r="Q13" i="1869"/>
  <c r="O13" i="1869"/>
  <c r="P13" i="1869"/>
  <c r="AC13" i="1869" s="1"/>
  <c r="AF12" i="1869"/>
  <c r="Q12" i="1869"/>
  <c r="P12" i="1869" s="1"/>
  <c r="AC12" i="1869" s="1"/>
  <c r="M12" i="1869"/>
  <c r="AF11" i="1869"/>
  <c r="AB11" i="1869"/>
  <c r="Q11" i="1869"/>
  <c r="P11" i="1869" s="1"/>
  <c r="AC11" i="1869" s="1"/>
  <c r="O11" i="1869"/>
  <c r="M11" i="1869"/>
  <c r="AF10" i="1869"/>
  <c r="Q10" i="1869"/>
  <c r="O10" i="1869"/>
  <c r="AF9" i="1869"/>
  <c r="Q9" i="1869"/>
  <c r="M9" i="1869"/>
  <c r="AF8" i="1869"/>
  <c r="AB8" i="1869"/>
  <c r="Q8" i="1869"/>
  <c r="O8" i="1869"/>
  <c r="M8" i="1869"/>
  <c r="AF7" i="1869"/>
  <c r="AC7" i="1869"/>
  <c r="AB7" i="1869"/>
  <c r="Q7" i="1869"/>
  <c r="P7" i="1869"/>
  <c r="O7" i="1869"/>
  <c r="M7" i="1869"/>
  <c r="K7" i="1869"/>
  <c r="AF6" i="1869"/>
  <c r="AC6" i="1869"/>
  <c r="AB6" i="1869"/>
  <c r="Q6" i="1869"/>
  <c r="P6" i="1869"/>
  <c r="O6" i="1869"/>
  <c r="M6" i="1869"/>
  <c r="K6" i="1869"/>
  <c r="AE22" i="1871" l="1"/>
  <c r="AE9" i="1871"/>
  <c r="AE11" i="1871"/>
  <c r="AE6" i="1871"/>
  <c r="AE10" i="1871"/>
  <c r="AE7" i="1871"/>
  <c r="AE12" i="1871"/>
  <c r="AE13" i="1871"/>
  <c r="AE18" i="1871"/>
  <c r="AE14" i="1871"/>
  <c r="AE8" i="1871"/>
  <c r="AE15" i="1871"/>
  <c r="AE21" i="1871"/>
  <c r="AE20" i="1871"/>
  <c r="AE16" i="1871"/>
  <c r="AE19" i="1871"/>
  <c r="AD21" i="1870"/>
  <c r="AD22" i="1870" s="1"/>
  <c r="M22" i="1870"/>
  <c r="AB22" i="1870"/>
  <c r="P9" i="1869"/>
  <c r="AC9" i="1869" s="1"/>
  <c r="L23" i="1869"/>
  <c r="O23" i="1869" s="1"/>
  <c r="AD7" i="1869"/>
  <c r="AF64" i="1869"/>
  <c r="AB9" i="1869"/>
  <c r="K9" i="1869"/>
  <c r="O19" i="1869"/>
  <c r="AD19" i="1869" s="1"/>
  <c r="AD11" i="1869"/>
  <c r="P8" i="1869"/>
  <c r="AC8" i="1869" s="1"/>
  <c r="K17" i="1869"/>
  <c r="K23" i="1869" s="1"/>
  <c r="P17" i="1869"/>
  <c r="AC17" i="1869" s="1"/>
  <c r="AD17" i="1869" s="1"/>
  <c r="AD15" i="1869"/>
  <c r="AD14" i="1869"/>
  <c r="M17" i="1869"/>
  <c r="Q23" i="1869"/>
  <c r="O12" i="1869"/>
  <c r="AB12" i="1869"/>
  <c r="P10" i="1869"/>
  <c r="AC10" i="1869" s="1"/>
  <c r="AD22" i="1869"/>
  <c r="AD9" i="1869"/>
  <c r="AD8" i="1869"/>
  <c r="AD16" i="1869"/>
  <c r="O18" i="1869"/>
  <c r="AD6" i="1869"/>
  <c r="M10" i="1869"/>
  <c r="AB10" i="1869"/>
  <c r="M13" i="1869"/>
  <c r="AB13" i="1869"/>
  <c r="AD13" i="1869" s="1"/>
  <c r="P18" i="1869"/>
  <c r="AC18" i="1869" s="1"/>
  <c r="M20" i="1869"/>
  <c r="AB20" i="1869"/>
  <c r="AD20" i="1869" s="1"/>
  <c r="M21" i="1869"/>
  <c r="AB21" i="1869"/>
  <c r="AD21" i="1869" s="1"/>
  <c r="M18" i="1869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L23" i="1868"/>
  <c r="K23" i="1868" s="1"/>
  <c r="L22" i="1868"/>
  <c r="K22" i="1868" s="1"/>
  <c r="AF20" i="1868"/>
  <c r="Q20" i="1868"/>
  <c r="L20" i="1868"/>
  <c r="AB20" i="1868" s="1"/>
  <c r="AF19" i="1868"/>
  <c r="Q19" i="1868"/>
  <c r="L19" i="1868"/>
  <c r="AB19" i="1868" s="1"/>
  <c r="K21" i="1868"/>
  <c r="L18" i="1868"/>
  <c r="K18" i="1868" s="1"/>
  <c r="L17" i="1868"/>
  <c r="L16" i="1868"/>
  <c r="L13" i="1868"/>
  <c r="K13" i="1868" s="1"/>
  <c r="K11" i="1868"/>
  <c r="L12" i="1868"/>
  <c r="K12" i="1868" s="1"/>
  <c r="L10" i="1868"/>
  <c r="K10" i="1868" s="1"/>
  <c r="L8" i="1868"/>
  <c r="K8" i="1868" s="1"/>
  <c r="K17" i="1868"/>
  <c r="K7" i="1868"/>
  <c r="AE21" i="1870" l="1"/>
  <c r="AE17" i="1870"/>
  <c r="AE15" i="1870"/>
  <c r="AE7" i="1870"/>
  <c r="AE18" i="1870"/>
  <c r="AE11" i="1870"/>
  <c r="AE8" i="1870"/>
  <c r="AE6" i="1870"/>
  <c r="AE16" i="1870"/>
  <c r="AE13" i="1870"/>
  <c r="AE19" i="1870"/>
  <c r="AE14" i="1870"/>
  <c r="AE12" i="1870"/>
  <c r="AE9" i="1870"/>
  <c r="AE20" i="1870"/>
  <c r="AE10" i="1870"/>
  <c r="AD12" i="1869"/>
  <c r="M23" i="1869"/>
  <c r="AC23" i="1869"/>
  <c r="AD10" i="1869"/>
  <c r="AD18" i="1869"/>
  <c r="AB23" i="1869"/>
  <c r="P23" i="1869"/>
  <c r="O20" i="1868"/>
  <c r="K20" i="1868"/>
  <c r="P20" i="1868"/>
  <c r="AC20" i="1868" s="1"/>
  <c r="AD20" i="1868" s="1"/>
  <c r="M20" i="1868"/>
  <c r="M19" i="1868"/>
  <c r="O19" i="1868"/>
  <c r="K19" i="1868"/>
  <c r="P19" i="1868"/>
  <c r="AC19" i="1868" s="1"/>
  <c r="AD19" i="1868" s="1"/>
  <c r="AD23" i="1869" l="1"/>
  <c r="A79" i="1868"/>
  <c r="A80" i="1868" s="1"/>
  <c r="A81" i="1868" s="1"/>
  <c r="A82" i="1868" s="1"/>
  <c r="A83" i="1868" s="1"/>
  <c r="A84" i="1868" s="1"/>
  <c r="AF63" i="1868"/>
  <c r="AF62" i="1868"/>
  <c r="AF65" i="1868" s="1"/>
  <c r="AA24" i="1868"/>
  <c r="Z24" i="1868"/>
  <c r="Y24" i="1868"/>
  <c r="X24" i="1868"/>
  <c r="W24" i="1868"/>
  <c r="V24" i="1868"/>
  <c r="U24" i="1868"/>
  <c r="T24" i="1868"/>
  <c r="S24" i="1868"/>
  <c r="R24" i="1868"/>
  <c r="N24" i="1868"/>
  <c r="J24" i="1868"/>
  <c r="I24" i="1868"/>
  <c r="AF23" i="1868"/>
  <c r="AB23" i="1868"/>
  <c r="Q23" i="1868"/>
  <c r="P23" i="1868" s="1"/>
  <c r="AC23" i="1868" s="1"/>
  <c r="O23" i="1868"/>
  <c r="M23" i="1868"/>
  <c r="AF22" i="1868"/>
  <c r="AB22" i="1868"/>
  <c r="Q22" i="1868"/>
  <c r="P22" i="1868" s="1"/>
  <c r="AC22" i="1868" s="1"/>
  <c r="O22" i="1868"/>
  <c r="M22" i="1868"/>
  <c r="AF21" i="1868"/>
  <c r="Q21" i="1868"/>
  <c r="P21" i="1868"/>
  <c r="AC21" i="1868" s="1"/>
  <c r="AF18" i="1868"/>
  <c r="AB18" i="1868"/>
  <c r="Q18" i="1868"/>
  <c r="P18" i="1868"/>
  <c r="AC18" i="1868" s="1"/>
  <c r="O18" i="1868"/>
  <c r="M18" i="1868"/>
  <c r="AF17" i="1868"/>
  <c r="AB17" i="1868"/>
  <c r="Q17" i="1868"/>
  <c r="P17" i="1868" s="1"/>
  <c r="AC17" i="1868" s="1"/>
  <c r="O17" i="1868"/>
  <c r="M17" i="1868"/>
  <c r="AF16" i="1868"/>
  <c r="AB16" i="1868"/>
  <c r="Q16" i="1868"/>
  <c r="P16" i="1868" s="1"/>
  <c r="AC16" i="1868" s="1"/>
  <c r="O16" i="1868"/>
  <c r="M16" i="1868"/>
  <c r="K16" i="1868"/>
  <c r="AF15" i="1868"/>
  <c r="AB15" i="1868"/>
  <c r="Q15" i="1868"/>
  <c r="P15" i="1868"/>
  <c r="AC15" i="1868" s="1"/>
  <c r="O15" i="1868"/>
  <c r="M15" i="1868"/>
  <c r="K15" i="1868"/>
  <c r="AF14" i="1868"/>
  <c r="AB14" i="1868"/>
  <c r="Q14" i="1868"/>
  <c r="P14" i="1868"/>
  <c r="AC14" i="1868" s="1"/>
  <c r="O14" i="1868"/>
  <c r="M14" i="1868"/>
  <c r="K14" i="1868"/>
  <c r="AF13" i="1868"/>
  <c r="AB13" i="1868"/>
  <c r="Q13" i="1868"/>
  <c r="P13" i="1868" s="1"/>
  <c r="AC13" i="1868" s="1"/>
  <c r="O13" i="1868"/>
  <c r="M13" i="1868"/>
  <c r="AF12" i="1868"/>
  <c r="AB12" i="1868"/>
  <c r="Q12" i="1868"/>
  <c r="P12" i="1868" s="1"/>
  <c r="AC12" i="1868" s="1"/>
  <c r="O12" i="1868"/>
  <c r="M12" i="1868"/>
  <c r="AF11" i="1868"/>
  <c r="AB11" i="1868"/>
  <c r="Q11" i="1868"/>
  <c r="P11" i="1868"/>
  <c r="AC11" i="1868" s="1"/>
  <c r="O11" i="1868"/>
  <c r="M11" i="1868"/>
  <c r="AF10" i="1868"/>
  <c r="AB10" i="1868"/>
  <c r="Q10" i="1868"/>
  <c r="P10" i="1868" s="1"/>
  <c r="AC10" i="1868" s="1"/>
  <c r="O10" i="1868"/>
  <c r="M10" i="1868"/>
  <c r="AF9" i="1868"/>
  <c r="AB9" i="1868"/>
  <c r="Q9" i="1868"/>
  <c r="P9" i="1868"/>
  <c r="AC9" i="1868" s="1"/>
  <c r="O9" i="1868"/>
  <c r="M9" i="1868"/>
  <c r="K9" i="1868"/>
  <c r="AF8" i="1868"/>
  <c r="Q8" i="1868"/>
  <c r="P8" i="1868"/>
  <c r="AC8" i="1868" s="1"/>
  <c r="O8" i="1868"/>
  <c r="AF7" i="1868"/>
  <c r="AB7" i="1868"/>
  <c r="Q7" i="1868"/>
  <c r="P7" i="1868"/>
  <c r="AC7" i="1868" s="1"/>
  <c r="O7" i="1868"/>
  <c r="M7" i="1868"/>
  <c r="L24" i="1868"/>
  <c r="AF6" i="1868"/>
  <c r="AC6" i="1868"/>
  <c r="AB6" i="1868"/>
  <c r="Q6" i="1868"/>
  <c r="P6" i="1868"/>
  <c r="O6" i="1868"/>
  <c r="M6" i="1868"/>
  <c r="K6" i="1868"/>
  <c r="AE17" i="1869" l="1"/>
  <c r="AE21" i="1869"/>
  <c r="AE6" i="1869"/>
  <c r="AE20" i="1869"/>
  <c r="AE22" i="1869"/>
  <c r="AE13" i="1869"/>
  <c r="AE18" i="1869"/>
  <c r="AE9" i="1869"/>
  <c r="AE8" i="1869"/>
  <c r="AE7" i="1869"/>
  <c r="AE12" i="1869"/>
  <c r="AE11" i="1869"/>
  <c r="AE16" i="1869"/>
  <c r="AE15" i="1869"/>
  <c r="AE10" i="1869"/>
  <c r="AE19" i="1869"/>
  <c r="AE14" i="1869"/>
  <c r="AD22" i="1868"/>
  <c r="AD15" i="1868"/>
  <c r="O24" i="1868"/>
  <c r="AD9" i="1868"/>
  <c r="AD17" i="1868"/>
  <c r="AD23" i="1868"/>
  <c r="Q24" i="1868"/>
  <c r="AD10" i="1868"/>
  <c r="AD13" i="1868"/>
  <c r="AD16" i="1868"/>
  <c r="AC24" i="1868"/>
  <c r="AD7" i="1868"/>
  <c r="AD11" i="1868"/>
  <c r="AD12" i="1868"/>
  <c r="AD18" i="1868"/>
  <c r="AD14" i="1868"/>
  <c r="P24" i="1868"/>
  <c r="M21" i="1868"/>
  <c r="AD6" i="1868"/>
  <c r="M8" i="1868"/>
  <c r="AB8" i="1868"/>
  <c r="AD8" i="1868" s="1"/>
  <c r="O21" i="1868"/>
  <c r="K24" i="1868"/>
  <c r="AB21" i="1868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L20" i="1867"/>
  <c r="L19" i="1867"/>
  <c r="K19" i="1867" s="1"/>
  <c r="L17" i="1867"/>
  <c r="K16" i="1867"/>
  <c r="L13" i="1867"/>
  <c r="K13" i="1867"/>
  <c r="L12" i="1867"/>
  <c r="L10" i="1867"/>
  <c r="K9" i="1867"/>
  <c r="L8" i="1867"/>
  <c r="K8" i="1867" s="1"/>
  <c r="L7" i="1867"/>
  <c r="K7" i="1867" s="1"/>
  <c r="AD21" i="1868" l="1"/>
  <c r="AD24" i="1868" s="1"/>
  <c r="M24" i="1868"/>
  <c r="AB24" i="1868"/>
  <c r="AG19" i="16"/>
  <c r="AG18" i="16"/>
  <c r="AG17" i="16"/>
  <c r="AG16" i="16"/>
  <c r="AG15" i="16"/>
  <c r="AG14" i="16"/>
  <c r="AG13" i="16"/>
  <c r="AG12" i="16"/>
  <c r="AG11" i="16"/>
  <c r="AG10" i="16"/>
  <c r="AG9" i="16"/>
  <c r="AG8" i="16"/>
  <c r="AG7" i="16"/>
  <c r="AG6" i="16"/>
  <c r="AG5" i="16"/>
  <c r="AG4" i="16"/>
  <c r="AG3" i="16"/>
  <c r="K20" i="1867"/>
  <c r="K18" i="1867"/>
  <c r="K17" i="1867"/>
  <c r="K12" i="1867"/>
  <c r="K10" i="1867"/>
  <c r="AE19" i="1868" l="1"/>
  <c r="AE20" i="1868"/>
  <c r="AE18" i="1868"/>
  <c r="AE8" i="1868"/>
  <c r="AE21" i="1868"/>
  <c r="AE16" i="1868"/>
  <c r="AE14" i="1868"/>
  <c r="AE11" i="1868"/>
  <c r="AE22" i="1868"/>
  <c r="AE17" i="1868"/>
  <c r="AE12" i="1868"/>
  <c r="AE9" i="1868"/>
  <c r="AE6" i="1868"/>
  <c r="AE15" i="1868"/>
  <c r="AE13" i="1868"/>
  <c r="AE10" i="1868"/>
  <c r="AE7" i="1868"/>
  <c r="AE23" i="1868"/>
  <c r="K11" i="1867"/>
  <c r="A77" i="1867"/>
  <c r="A78" i="1867" s="1"/>
  <c r="A79" i="1867" s="1"/>
  <c r="A80" i="1867" s="1"/>
  <c r="A81" i="1867" s="1"/>
  <c r="A82" i="1867" s="1"/>
  <c r="AF61" i="1867"/>
  <c r="AF60" i="1867"/>
  <c r="AA22" i="1867"/>
  <c r="Z22" i="1867"/>
  <c r="Y22" i="1867"/>
  <c r="X22" i="1867"/>
  <c r="W22" i="1867"/>
  <c r="V22" i="1867"/>
  <c r="U22" i="1867"/>
  <c r="T22" i="1867"/>
  <c r="S22" i="1867"/>
  <c r="R22" i="1867"/>
  <c r="N22" i="1867"/>
  <c r="J22" i="1867"/>
  <c r="I22" i="1867"/>
  <c r="AF21" i="1867"/>
  <c r="AB21" i="1867"/>
  <c r="Q21" i="1867"/>
  <c r="P21" i="1867"/>
  <c r="AC21" i="1867" s="1"/>
  <c r="O21" i="1867"/>
  <c r="M21" i="1867"/>
  <c r="K21" i="1867"/>
  <c r="AF20" i="1867"/>
  <c r="Q20" i="1867"/>
  <c r="P20" i="1867" s="1"/>
  <c r="AC20" i="1867" s="1"/>
  <c r="O20" i="1867"/>
  <c r="AF19" i="1867"/>
  <c r="Q19" i="1867"/>
  <c r="P19" i="1867" s="1"/>
  <c r="AC19" i="1867" s="1"/>
  <c r="O19" i="1867"/>
  <c r="AB19" i="1867"/>
  <c r="AF18" i="1867"/>
  <c r="AB18" i="1867"/>
  <c r="Q18" i="1867"/>
  <c r="P18" i="1867"/>
  <c r="AC18" i="1867" s="1"/>
  <c r="O18" i="1867"/>
  <c r="M18" i="1867"/>
  <c r="AF17" i="1867"/>
  <c r="Q17" i="1867"/>
  <c r="P17" i="1867" s="1"/>
  <c r="AC17" i="1867" s="1"/>
  <c r="AF16" i="1867"/>
  <c r="Q16" i="1867"/>
  <c r="P16" i="1867" s="1"/>
  <c r="AC16" i="1867" s="1"/>
  <c r="O16" i="1867"/>
  <c r="AF15" i="1867"/>
  <c r="AB15" i="1867"/>
  <c r="Q15" i="1867"/>
  <c r="P15" i="1867"/>
  <c r="AC15" i="1867" s="1"/>
  <c r="O15" i="1867"/>
  <c r="M15" i="1867"/>
  <c r="K15" i="1867"/>
  <c r="AF14" i="1867"/>
  <c r="AB14" i="1867"/>
  <c r="Q14" i="1867"/>
  <c r="P14" i="1867"/>
  <c r="AC14" i="1867" s="1"/>
  <c r="O14" i="1867"/>
  <c r="M14" i="1867"/>
  <c r="K14" i="1867"/>
  <c r="AF13" i="1867"/>
  <c r="AB13" i="1867"/>
  <c r="Q13" i="1867"/>
  <c r="P13" i="1867" s="1"/>
  <c r="AC13" i="1867" s="1"/>
  <c r="O13" i="1867"/>
  <c r="M13" i="1867"/>
  <c r="AF12" i="1867"/>
  <c r="Q12" i="1867"/>
  <c r="P12" i="1867" s="1"/>
  <c r="AC12" i="1867" s="1"/>
  <c r="O12" i="1867"/>
  <c r="AB12" i="1867"/>
  <c r="AF11" i="1867"/>
  <c r="AB11" i="1867"/>
  <c r="Q11" i="1867"/>
  <c r="P11" i="1867"/>
  <c r="AC11" i="1867" s="1"/>
  <c r="O11" i="1867"/>
  <c r="M11" i="1867"/>
  <c r="AF10" i="1867"/>
  <c r="AB10" i="1867"/>
  <c r="Q10" i="1867"/>
  <c r="P10" i="1867" s="1"/>
  <c r="AC10" i="1867" s="1"/>
  <c r="O10" i="1867"/>
  <c r="M10" i="1867"/>
  <c r="AF9" i="1867"/>
  <c r="Q9" i="1867"/>
  <c r="P9" i="1867" s="1"/>
  <c r="AC9" i="1867" s="1"/>
  <c r="AF8" i="1867"/>
  <c r="Q8" i="1867"/>
  <c r="P8" i="1867" s="1"/>
  <c r="AC8" i="1867" s="1"/>
  <c r="O8" i="1867"/>
  <c r="AF7" i="1867"/>
  <c r="AB7" i="1867"/>
  <c r="Q7" i="1867"/>
  <c r="P7" i="1867"/>
  <c r="AC7" i="1867" s="1"/>
  <c r="O7" i="1867"/>
  <c r="M7" i="1867"/>
  <c r="AF6" i="1867"/>
  <c r="AB6" i="1867"/>
  <c r="Q6" i="1867"/>
  <c r="P6" i="1867"/>
  <c r="AC6" i="1867" s="1"/>
  <c r="AD6" i="1867" s="1"/>
  <c r="O6" i="1867"/>
  <c r="M6" i="1867"/>
  <c r="K6" i="1867"/>
  <c r="AF63" i="1867" l="1"/>
  <c r="AD21" i="1867"/>
  <c r="Q22" i="1867"/>
  <c r="AD15" i="1867"/>
  <c r="AD11" i="1867"/>
  <c r="AD14" i="1867"/>
  <c r="AD18" i="1867"/>
  <c r="AD13" i="1867"/>
  <c r="AD10" i="1867"/>
  <c r="AC22" i="1867"/>
  <c r="AD19" i="1867"/>
  <c r="AD12" i="1867"/>
  <c r="AD7" i="1867"/>
  <c r="L22" i="1867"/>
  <c r="O22" i="1867" s="1"/>
  <c r="AB9" i="1867"/>
  <c r="AB17" i="1867"/>
  <c r="M16" i="1867"/>
  <c r="AB16" i="1867"/>
  <c r="AD16" i="1867" s="1"/>
  <c r="O17" i="1867"/>
  <c r="M20" i="1867"/>
  <c r="AB20" i="1867"/>
  <c r="AD20" i="1867" s="1"/>
  <c r="P22" i="1867"/>
  <c r="M9" i="1867"/>
  <c r="M17" i="1867"/>
  <c r="M8" i="1867"/>
  <c r="AB8" i="1867"/>
  <c r="O9" i="1867"/>
  <c r="M12" i="1867"/>
  <c r="K22" i="1867"/>
  <c r="M19" i="1867"/>
  <c r="M22" i="1867" l="1"/>
  <c r="AD17" i="1867"/>
  <c r="AD9" i="1867"/>
  <c r="AB22" i="1867"/>
  <c r="AD8" i="1867"/>
  <c r="AD22" i="1867" l="1"/>
  <c r="AE15" i="1867" l="1"/>
  <c r="AE14" i="1867"/>
  <c r="AE16" i="1867"/>
  <c r="AE6" i="1867"/>
  <c r="AE8" i="1867"/>
  <c r="AE13" i="1867"/>
  <c r="AE19" i="1867"/>
  <c r="AE17" i="1867"/>
  <c r="AE20" i="1867"/>
  <c r="AE9" i="1867"/>
  <c r="AE7" i="1867"/>
  <c r="AE12" i="1867"/>
  <c r="AE11" i="1867"/>
  <c r="AE10" i="1867"/>
  <c r="AE21" i="1867"/>
  <c r="AE18" i="1867"/>
</calcChain>
</file>

<file path=xl/sharedStrings.xml><?xml version="1.0" encoding="utf-8"?>
<sst xmlns="http://schemas.openxmlformats.org/spreadsheetml/2006/main" count="4925" uniqueCount="584">
  <si>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</si>
  <si>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</si>
  <si>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</si>
  <si>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</si>
  <si>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</si>
  <si>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</si>
  <si>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</si>
  <si>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</si>
  <si>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</si>
  <si>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</si>
  <si>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</si>
  <si>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</si>
  <si>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</si>
  <si>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</si>
  <si>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</si>
  <si>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</si>
  <si>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</si>
  <si>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</si>
  <si>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</si>
  <si>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</si>
  <si>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</si>
  <si>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</si>
  <si>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</si>
  <si>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</si>
  <si>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</si>
  <si>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</si>
  <si>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</si>
  <si>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</si>
  <si>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</si>
  <si>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</si>
  <si>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</si>
  <si>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</si>
  <si>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</si>
  <si>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</si>
  <si>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</si>
  <si>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</si>
  <si>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</si>
  <si>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</si>
  <si>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</si>
  <si>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</si>
  <si>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</si>
  <si>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</si>
  <si>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</si>
  <si>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</si>
  <si>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</si>
  <si>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</si>
  <si>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</si>
  <si>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</si>
  <si>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</si>
  <si>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</si>
  <si>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</si>
  <si>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</si>
  <si>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</si>
  <si>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</si>
  <si>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</si>
  <si>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</si>
  <si>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</si>
  <si>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</si>
  <si>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</si>
  <si>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</si>
  <si>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</si>
  <si>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</si>
  <si>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</si>
  <si>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</si>
  <si>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</si>
  <si>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</si>
  <si>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</si>
  <si>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</si>
  <si>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</si>
  <si>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</si>
  <si>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</si>
  <si>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</si>
  <si>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</si>
  <si>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</si>
  <si>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</si>
  <si>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</si>
  <si>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</si>
  <si>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</si>
  <si>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</si>
  <si>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</si>
  <si>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</si>
  <si>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</si>
  <si>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</si>
  <si>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</si>
  <si>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</si>
  <si>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</si>
  <si>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</si>
  <si>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</si>
  <si>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</si>
  <si>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</si>
  <si>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</si>
  <si>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</si>
  <si>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</si>
  <si>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</si>
  <si>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</si>
  <si>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</si>
  <si>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</si>
  <si>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</si>
  <si>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</si>
  <si>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</si>
  <si>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</si>
  <si>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</si>
  <si>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</si>
  <si>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</si>
  <si>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</si>
  <si>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</si>
  <si>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</si>
  <si>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</si>
  <si>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</si>
  <si>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</si>
  <si>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</si>
  <si>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</si>
  <si>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</si>
  <si>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</si>
  <si>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</si>
  <si>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</si>
  <si>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AMB0114H-JAA-R1</t>
    <phoneticPr fontId="2" type="noConversion"/>
  </si>
  <si>
    <t>BODY</t>
    <phoneticPr fontId="2" type="noConversion"/>
  </si>
  <si>
    <t>SST</t>
    <phoneticPr fontId="2" type="noConversion"/>
  </si>
  <si>
    <t>HICON</t>
    <phoneticPr fontId="2" type="noConversion"/>
  </si>
  <si>
    <t>가스</t>
    <phoneticPr fontId="2" type="noConversion"/>
  </si>
  <si>
    <t>AYE</t>
    <phoneticPr fontId="2" type="noConversion"/>
  </si>
  <si>
    <t>14호기</t>
    <phoneticPr fontId="2" type="noConversion"/>
  </si>
  <si>
    <t>15호기</t>
    <phoneticPr fontId="2" type="noConversion"/>
  </si>
  <si>
    <t>16호기</t>
    <phoneticPr fontId="2" type="noConversion"/>
  </si>
  <si>
    <t>ADAPTER</t>
    <phoneticPr fontId="2" type="noConversion"/>
  </si>
  <si>
    <t>수리후양산</t>
    <phoneticPr fontId="2" type="noConversion"/>
  </si>
  <si>
    <t>SGF2030</t>
    <phoneticPr fontId="2" type="noConversion"/>
  </si>
  <si>
    <t>품  명</t>
    <phoneticPr fontId="2" type="noConversion"/>
  </si>
  <si>
    <t>2</t>
    <phoneticPr fontId="2" type="noConversion"/>
  </si>
  <si>
    <t>발주분양산</t>
    <phoneticPr fontId="2" type="noConversion"/>
  </si>
  <si>
    <t>SLIDER</t>
    <phoneticPr fontId="2" type="noConversion"/>
  </si>
  <si>
    <t>SGF2030 N/P</t>
    <phoneticPr fontId="2" type="noConversion"/>
  </si>
  <si>
    <t>SGF2041 N/P</t>
    <phoneticPr fontId="2" type="noConversion"/>
  </si>
  <si>
    <t>.</t>
    <phoneticPr fontId="2" type="noConversion"/>
  </si>
  <si>
    <t>14</t>
    <phoneticPr fontId="2" type="noConversion"/>
  </si>
  <si>
    <t>8</t>
    <phoneticPr fontId="2" type="noConversion"/>
  </si>
  <si>
    <t>4</t>
    <phoneticPr fontId="2" type="noConversion"/>
  </si>
  <si>
    <t>SGP2030R N/P</t>
    <phoneticPr fontId="2" type="noConversion"/>
  </si>
  <si>
    <t>HDBF05-M02B1</t>
    <phoneticPr fontId="2" type="noConversion"/>
  </si>
  <si>
    <t>22P</t>
    <phoneticPr fontId="2" type="noConversion"/>
  </si>
  <si>
    <t>수정</t>
    <phoneticPr fontId="2" type="noConversion"/>
  </si>
  <si>
    <t>SGF2033</t>
    <phoneticPr fontId="2" type="noConversion"/>
  </si>
  <si>
    <t>3</t>
    <phoneticPr fontId="2" type="noConversion"/>
  </si>
  <si>
    <t>8301</t>
    <phoneticPr fontId="2" type="noConversion"/>
  </si>
  <si>
    <t>11</t>
    <phoneticPr fontId="2" type="noConversion"/>
  </si>
  <si>
    <t>BOTTOM</t>
    <phoneticPr fontId="2" type="noConversion"/>
  </si>
  <si>
    <t>COVER</t>
    <phoneticPr fontId="2" type="noConversion"/>
  </si>
  <si>
    <t>K-AR3543-1A</t>
    <phoneticPr fontId="2" type="noConversion"/>
  </si>
  <si>
    <t>KR645ABB456CA</t>
    <phoneticPr fontId="2" type="noConversion"/>
  </si>
  <si>
    <t>NP504-556-126#LB-1</t>
    <phoneticPr fontId="2" type="noConversion"/>
  </si>
  <si>
    <t>AM0172A-KAA-R2</t>
    <phoneticPr fontId="2" type="noConversion"/>
  </si>
  <si>
    <t>NP413-254-056#IN-A</t>
    <phoneticPr fontId="2" type="noConversion"/>
  </si>
  <si>
    <t>AMM0892A-KAB-R1</t>
    <phoneticPr fontId="2" type="noConversion"/>
  </si>
  <si>
    <t>HR03B-374A1</t>
    <phoneticPr fontId="2" type="noConversion"/>
  </si>
  <si>
    <t>HR03B-374A2</t>
    <phoneticPr fontId="2" type="noConversion"/>
  </si>
  <si>
    <t>SPL</t>
    <phoneticPr fontId="2" type="noConversion"/>
  </si>
  <si>
    <t>HDB75-M01A2(4C)</t>
    <phoneticPr fontId="2" type="noConversion"/>
  </si>
  <si>
    <t xml:space="preserve">SGF2041 </t>
    <phoneticPr fontId="2" type="noConversion"/>
  </si>
  <si>
    <t>HDB75-M01A1-1L(4C)</t>
    <phoneticPr fontId="2" type="noConversion"/>
  </si>
  <si>
    <t>AMM0822A-KAB-R1</t>
    <phoneticPr fontId="2" type="noConversion"/>
  </si>
  <si>
    <t>48X48 LATCH</t>
    <phoneticPr fontId="2" type="noConversion"/>
  </si>
  <si>
    <t>솔리드</t>
    <phoneticPr fontId="2" type="noConversion"/>
  </si>
  <si>
    <r>
      <t>2020년 11월 02일 일일생산현황</t>
    </r>
    <r>
      <rPr>
        <b/>
        <sz val="14"/>
        <color indexed="8"/>
        <rFont val="굴림체"/>
        <family val="3"/>
        <charset val="129"/>
      </rPr>
      <t>(03일 09시 현재)</t>
    </r>
    <phoneticPr fontId="2" type="noConversion"/>
  </si>
  <si>
    <t>11월 호기별 가동현황</t>
    <phoneticPr fontId="2" type="noConversion"/>
  </si>
  <si>
    <t>HDB75-M01A3</t>
    <phoneticPr fontId="2" type="noConversion"/>
  </si>
  <si>
    <t>RTP N/P</t>
    <phoneticPr fontId="2" type="noConversion"/>
  </si>
  <si>
    <t>HSA08-M03A1(2c)</t>
    <phoneticPr fontId="2" type="noConversion"/>
  </si>
  <si>
    <t>JD4901</t>
    <phoneticPr fontId="2" type="noConversion"/>
  </si>
  <si>
    <t>7301</t>
    <phoneticPr fontId="2" type="noConversion"/>
  </si>
  <si>
    <t>K-AR3543-1A</t>
    <phoneticPr fontId="2" type="noConversion"/>
  </si>
  <si>
    <t>SF2255</t>
    <phoneticPr fontId="2" type="noConversion"/>
  </si>
  <si>
    <t>전일 ISSUE 사항(02일)</t>
    <phoneticPr fontId="2" type="noConversion"/>
  </si>
  <si>
    <t>COVER</t>
    <phoneticPr fontId="2" type="noConversion"/>
  </si>
  <si>
    <t>수리후양산-&gt;미성형2회정지-&gt;4호기이동</t>
    <phoneticPr fontId="2" type="noConversion"/>
  </si>
  <si>
    <t>HOOK뜯김정지</t>
    <phoneticPr fontId="2" type="noConversion"/>
  </si>
  <si>
    <t>발주분양산-&gt;에젝타후퇴안됨수리</t>
    <phoneticPr fontId="2" type="noConversion"/>
  </si>
  <si>
    <t>AMM0822A-KAB-R1</t>
    <phoneticPr fontId="2" type="noConversion"/>
  </si>
  <si>
    <t>MCS</t>
    <phoneticPr fontId="2" type="noConversion"/>
  </si>
  <si>
    <t>14</t>
    <phoneticPr fontId="2" type="noConversion"/>
  </si>
  <si>
    <t>BASE</t>
    <phoneticPr fontId="2" type="noConversion"/>
  </si>
  <si>
    <t>발주분양산-&gt;코아파손정지</t>
    <phoneticPr fontId="2" type="noConversion"/>
  </si>
  <si>
    <t>KR6166CB299UA</t>
    <phoneticPr fontId="2" type="noConversion"/>
  </si>
  <si>
    <t>SST</t>
    <phoneticPr fontId="2" type="noConversion"/>
  </si>
  <si>
    <t>13</t>
    <phoneticPr fontId="2" type="noConversion"/>
  </si>
  <si>
    <t>밀핀추가테스트 2회정지</t>
    <phoneticPr fontId="2" type="noConversion"/>
  </si>
  <si>
    <t>당일 진행 사항(03일)</t>
    <phoneticPr fontId="2" type="noConversion"/>
  </si>
  <si>
    <t>5</t>
    <phoneticPr fontId="2" type="noConversion"/>
  </si>
  <si>
    <t>HDB75-M01A1-1L(4C)</t>
    <phoneticPr fontId="2" type="noConversion"/>
  </si>
  <si>
    <t>수리후양산-&gt;2CAV뜯김 막음</t>
    <phoneticPr fontId="2" type="noConversion"/>
  </si>
  <si>
    <t>11</t>
    <phoneticPr fontId="2" type="noConversion"/>
  </si>
  <si>
    <t>ADAPTER</t>
    <phoneticPr fontId="2" type="noConversion"/>
  </si>
  <si>
    <t>발주분양산-&gt;형상이상정지</t>
    <phoneticPr fontId="2" type="noConversion"/>
  </si>
  <si>
    <t>KR6105-D315UA</t>
    <phoneticPr fontId="2" type="noConversion"/>
  </si>
  <si>
    <t>발주분양산</t>
    <phoneticPr fontId="2" type="noConversion"/>
  </si>
  <si>
    <t>STOPPER</t>
    <phoneticPr fontId="2" type="noConversion"/>
  </si>
  <si>
    <t>K-JR01933-G01AWA</t>
    <phoneticPr fontId="2" type="noConversion"/>
  </si>
  <si>
    <t>AMB0172A-KAA-R2</t>
    <phoneticPr fontId="2" type="noConversion"/>
  </si>
  <si>
    <t>상측박힘정지</t>
    <phoneticPr fontId="2" type="noConversion"/>
  </si>
  <si>
    <t>15</t>
    <phoneticPr fontId="2" type="noConversion"/>
  </si>
  <si>
    <t>SAMPLE 진행 사항(02일)</t>
    <phoneticPr fontId="2" type="noConversion"/>
  </si>
  <si>
    <t>K-AR3544-1A</t>
    <phoneticPr fontId="2" type="noConversion"/>
  </si>
  <si>
    <t>LEAD GUIDE</t>
    <phoneticPr fontId="2" type="noConversion"/>
  </si>
  <si>
    <t>K-AR3547-1A</t>
    <phoneticPr fontId="2" type="noConversion"/>
  </si>
  <si>
    <t>SGF2030</t>
    <phoneticPr fontId="2" type="noConversion"/>
  </si>
  <si>
    <t>KR6166-GG200QC</t>
    <phoneticPr fontId="2" type="noConversion"/>
  </si>
  <si>
    <t>SF2255 I/V</t>
    <phoneticPr fontId="2" type="noConversion"/>
  </si>
  <si>
    <t>6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</si>
  <si>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</si>
  <si>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</si>
  <si>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2020년 11월 03일 일일생산현황</t>
    </r>
    <r>
      <rPr>
        <b/>
        <sz val="14"/>
        <color indexed="8"/>
        <rFont val="굴림체"/>
        <family val="3"/>
        <charset val="129"/>
      </rPr>
      <t>(04일 09시 현재)</t>
    </r>
    <phoneticPr fontId="2" type="noConversion"/>
  </si>
  <si>
    <t xml:space="preserve">SGF2030 </t>
    <phoneticPr fontId="2" type="noConversion"/>
  </si>
  <si>
    <t>K-JR01933-B01AZC</t>
    <phoneticPr fontId="2" type="noConversion"/>
  </si>
  <si>
    <t>SGP2020R</t>
    <phoneticPr fontId="2" type="noConversion"/>
  </si>
  <si>
    <t>전일 ISSUE 사항(03일)</t>
    <phoneticPr fontId="2" type="noConversion"/>
  </si>
  <si>
    <t>미성형정지</t>
    <phoneticPr fontId="2" type="noConversion"/>
  </si>
  <si>
    <t>코아파손수리-&gt;3C양산</t>
    <phoneticPr fontId="2" type="noConversion"/>
  </si>
  <si>
    <t>밀핀추가테스트-&gt;BURR정지</t>
    <phoneticPr fontId="2" type="noConversion"/>
  </si>
  <si>
    <t>당일 진행 사항(04일)</t>
    <phoneticPr fontId="2" type="noConversion"/>
  </si>
  <si>
    <t>7</t>
    <phoneticPr fontId="2" type="noConversion"/>
  </si>
  <si>
    <t>KR6458AB456CA</t>
    <phoneticPr fontId="2" type="noConversion"/>
  </si>
  <si>
    <t>세척후양산-&gt;BURR정지</t>
    <phoneticPr fontId="2" type="noConversion"/>
  </si>
  <si>
    <t>HDBF05-M01B1(2C)</t>
    <phoneticPr fontId="2" type="noConversion"/>
  </si>
  <si>
    <t>AMB1901B-JAA-R1</t>
    <phoneticPr fontId="2" type="noConversion"/>
  </si>
  <si>
    <t>ACTUATOR</t>
    <phoneticPr fontId="2" type="noConversion"/>
  </si>
  <si>
    <t>AMB0201A-JAA-R3</t>
    <phoneticPr fontId="2" type="noConversion"/>
  </si>
  <si>
    <t>BF1-FA078A-1</t>
    <phoneticPr fontId="2" type="noConversion"/>
  </si>
  <si>
    <t>OKINS</t>
    <phoneticPr fontId="2" type="noConversion"/>
  </si>
  <si>
    <t>LATCH</t>
    <phoneticPr fontId="2" type="noConversion"/>
  </si>
  <si>
    <t>HR03B-374A3</t>
    <phoneticPr fontId="2" type="noConversion"/>
  </si>
  <si>
    <t>12</t>
    <phoneticPr fontId="2" type="noConversion"/>
  </si>
  <si>
    <t>FLOATING</t>
    <phoneticPr fontId="2" type="noConversion"/>
  </si>
  <si>
    <t>SAMPLE 진행 사항(03일)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</si>
  <si>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</si>
  <si>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</si>
  <si>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r>
      <t>2020년 11월 04일 일일생산현황</t>
    </r>
    <r>
      <rPr>
        <b/>
        <sz val="14"/>
        <color indexed="8"/>
        <rFont val="굴림체"/>
        <family val="3"/>
        <charset val="129"/>
      </rPr>
      <t>(05일 09시 현재)</t>
    </r>
    <phoneticPr fontId="2" type="noConversion"/>
  </si>
  <si>
    <t>SGF2041</t>
    <phoneticPr fontId="2" type="noConversion"/>
  </si>
  <si>
    <t>EX08302</t>
    <phoneticPr fontId="2" type="noConversion"/>
  </si>
  <si>
    <t>K-JR01903-D180ZA</t>
    <phoneticPr fontId="2" type="noConversion"/>
  </si>
  <si>
    <t>전일 ISSUE 사항(04일)</t>
    <phoneticPr fontId="2" type="noConversion"/>
  </si>
  <si>
    <t>수리후양산-&gt;HOOK박힘수리</t>
    <phoneticPr fontId="2" type="noConversion"/>
  </si>
  <si>
    <t>코아파손수리</t>
    <phoneticPr fontId="2" type="noConversion"/>
  </si>
  <si>
    <t>HDBF05-M01B1</t>
    <phoneticPr fontId="2" type="noConversion"/>
  </si>
  <si>
    <t>발주분양산-&gt;내측뜯김수리</t>
    <phoneticPr fontId="2" type="noConversion"/>
  </si>
  <si>
    <t>발주분양산-&gt;HOOK파손정지</t>
    <phoneticPr fontId="2" type="noConversion"/>
  </si>
  <si>
    <t>발주분양산-&gt;오조립수리</t>
    <phoneticPr fontId="2" type="noConversion"/>
  </si>
  <si>
    <t>당일 진행 사항(05일)</t>
    <phoneticPr fontId="2" type="noConversion"/>
  </si>
  <si>
    <t>세척후양산</t>
    <phoneticPr fontId="2" type="noConversion"/>
  </si>
  <si>
    <t>SAMPLE 진행 사항(04일)</t>
    <phoneticPr fontId="2" type="noConversion"/>
  </si>
  <si>
    <t>금형 수리 내역(04일)</t>
    <phoneticPr fontId="2" type="noConversion"/>
  </si>
  <si>
    <t>설비 점검 내역(04일)</t>
    <phoneticPr fontId="2" type="noConversion"/>
  </si>
  <si>
    <r>
      <t>2020년 11월 05일 일일생산현황</t>
    </r>
    <r>
      <rPr>
        <b/>
        <sz val="14"/>
        <color indexed="8"/>
        <rFont val="굴림체"/>
        <family val="3"/>
        <charset val="129"/>
      </rPr>
      <t>(06일 09시 현재)</t>
    </r>
    <phoneticPr fontId="2" type="noConversion"/>
  </si>
  <si>
    <t>KR6414AGA414QB</t>
    <phoneticPr fontId="2" type="noConversion"/>
  </si>
  <si>
    <t>전일 ISSUE 사항(05일)</t>
    <phoneticPr fontId="2" type="noConversion"/>
  </si>
  <si>
    <t>이물제거-&gt;2C막음</t>
    <phoneticPr fontId="2" type="noConversion"/>
  </si>
  <si>
    <t>1</t>
    <phoneticPr fontId="2" type="noConversion"/>
  </si>
  <si>
    <t>수리후양산-&gt;설비이상정지</t>
    <phoneticPr fontId="2" type="noConversion"/>
  </si>
  <si>
    <t>4</t>
    <phoneticPr fontId="2" type="noConversion"/>
  </si>
  <si>
    <t>이물제거</t>
    <phoneticPr fontId="2" type="noConversion"/>
  </si>
  <si>
    <t>당일 진행 사항(06일)</t>
    <phoneticPr fontId="2" type="noConversion"/>
  </si>
  <si>
    <t>HSA08-M03A1</t>
    <phoneticPr fontId="2" type="noConversion"/>
  </si>
  <si>
    <t>원재료변경양산</t>
    <phoneticPr fontId="2" type="noConversion"/>
  </si>
  <si>
    <t>HDBF05-M04B1</t>
    <phoneticPr fontId="2" type="noConversion"/>
  </si>
  <si>
    <t>SHAFT</t>
    <phoneticPr fontId="2" type="noConversion"/>
  </si>
  <si>
    <t>KR6202-06KA</t>
    <phoneticPr fontId="2" type="noConversion"/>
  </si>
  <si>
    <t>AMB1901B-JAA-R1</t>
    <phoneticPr fontId="2" type="noConversion"/>
  </si>
  <si>
    <t>수리후양산</t>
    <phoneticPr fontId="2" type="noConversion"/>
  </si>
  <si>
    <t>MCS</t>
    <phoneticPr fontId="2" type="noConversion"/>
  </si>
  <si>
    <t>8</t>
    <phoneticPr fontId="2" type="noConversion"/>
  </si>
  <si>
    <t>ACTUATOR</t>
    <phoneticPr fontId="2" type="noConversion"/>
  </si>
  <si>
    <t>SAMPLE 진행 사항(05일)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</si>
  <si>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</si>
  <si>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</si>
  <si>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r>
      <t>2020년 11월 06일 일일생산현황</t>
    </r>
    <r>
      <rPr>
        <b/>
        <sz val="14"/>
        <color indexed="8"/>
        <rFont val="굴림체"/>
        <family val="3"/>
        <charset val="129"/>
      </rPr>
      <t>(07일 09시 현재)</t>
    </r>
    <phoneticPr fontId="2" type="noConversion"/>
  </si>
  <si>
    <t>HSA08-M02A1</t>
    <phoneticPr fontId="2" type="noConversion"/>
  </si>
  <si>
    <t>SAM</t>
    <phoneticPr fontId="2" type="noConversion"/>
  </si>
  <si>
    <t>AM0610C-J</t>
    <phoneticPr fontId="2" type="noConversion"/>
  </si>
  <si>
    <t>발주분양산-&gt;수축2회정지</t>
    <phoneticPr fontId="2" type="noConversion"/>
  </si>
  <si>
    <t>발주분양산-&gt;설비이상정지</t>
    <phoneticPr fontId="2" type="noConversion"/>
  </si>
  <si>
    <t>밀핀수리후양산</t>
    <phoneticPr fontId="2" type="noConversion"/>
  </si>
  <si>
    <t>당일 진행 사항(09일)</t>
    <phoneticPr fontId="2" type="noConversion"/>
  </si>
  <si>
    <t>전일 ISSUE 사항(06일)</t>
    <phoneticPr fontId="2" type="noConversion"/>
  </si>
  <si>
    <t>발주분양산-&gt;1C BURR막음</t>
    <phoneticPr fontId="2" type="noConversion"/>
  </si>
  <si>
    <t>AM0340A-K</t>
    <phoneticPr fontId="2" type="noConversion"/>
  </si>
  <si>
    <t>대치분양산</t>
    <phoneticPr fontId="2" type="noConversion"/>
  </si>
  <si>
    <t>SAMPLE 진행 사항(06일)</t>
    <phoneticPr fontId="2" type="noConversion"/>
  </si>
  <si>
    <t>288F84M-B121A</t>
    <phoneticPr fontId="2" type="noConversion"/>
  </si>
  <si>
    <t>G1300H</t>
    <phoneticPr fontId="2" type="noConversion"/>
  </si>
  <si>
    <t>요청</t>
    <phoneticPr fontId="2" type="noConversion"/>
  </si>
  <si>
    <t>오조립2회진행</t>
    <phoneticPr fontId="2" type="noConversion"/>
  </si>
  <si>
    <t>HDB08NL-78S2(3차)</t>
    <phoneticPr fontId="2" type="noConversion"/>
  </si>
  <si>
    <t>치수확인용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</si>
  <si>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</si>
  <si>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</si>
  <si>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2020년 11월 08일 일일생산현황</t>
    </r>
    <r>
      <rPr>
        <b/>
        <sz val="14"/>
        <color indexed="8"/>
        <rFont val="굴림체"/>
        <family val="3"/>
        <charset val="129"/>
      </rPr>
      <t>(09일 09시 현재)</t>
    </r>
    <phoneticPr fontId="2" type="noConversion"/>
  </si>
  <si>
    <t>AMB07U1A-KAA-R4</t>
    <phoneticPr fontId="2" type="noConversion"/>
  </si>
  <si>
    <t>전일 ISSUE 사항(08일)</t>
    <phoneticPr fontId="2" type="noConversion"/>
  </si>
  <si>
    <t>수정후양산</t>
    <phoneticPr fontId="2" type="noConversion"/>
  </si>
  <si>
    <t>SAMPLE 진행 사항(08일)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</si>
  <si>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</si>
  <si>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</si>
  <si>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2020년 11월 09일 일일생산현황</t>
    </r>
    <r>
      <rPr>
        <b/>
        <sz val="14"/>
        <color indexed="8"/>
        <rFont val="굴림체"/>
        <family val="3"/>
        <charset val="129"/>
      </rPr>
      <t>(10일 09시 현재)</t>
    </r>
    <phoneticPr fontId="2" type="noConversion"/>
  </si>
  <si>
    <t>전일 ISSUE 사항(09일)</t>
    <phoneticPr fontId="2" type="noConversion"/>
  </si>
  <si>
    <t>발주분양산-&gt;HOOK박힘정지</t>
    <phoneticPr fontId="2" type="noConversion"/>
  </si>
  <si>
    <t>SST</t>
    <phoneticPr fontId="2" type="noConversion"/>
  </si>
  <si>
    <t>6</t>
    <phoneticPr fontId="2" type="noConversion"/>
  </si>
  <si>
    <t>SHAFT</t>
    <phoneticPr fontId="2" type="noConversion"/>
  </si>
  <si>
    <t>KR6202-06KA</t>
    <phoneticPr fontId="2" type="noConversion"/>
  </si>
  <si>
    <t>수리후양산-&gt;설비이상정지</t>
    <phoneticPr fontId="2" type="noConversion"/>
  </si>
  <si>
    <t>HICON</t>
    <phoneticPr fontId="2" type="noConversion"/>
  </si>
  <si>
    <t>8</t>
    <phoneticPr fontId="2" type="noConversion"/>
  </si>
  <si>
    <t>STOPPER</t>
    <phoneticPr fontId="2" type="noConversion"/>
  </si>
  <si>
    <t>HDBF05-M04B1</t>
    <phoneticPr fontId="2" type="noConversion"/>
  </si>
  <si>
    <t>수리후양산</t>
    <phoneticPr fontId="2" type="noConversion"/>
  </si>
  <si>
    <t>13</t>
    <phoneticPr fontId="2" type="noConversion"/>
  </si>
  <si>
    <t>BASE</t>
    <phoneticPr fontId="2" type="noConversion"/>
  </si>
  <si>
    <t>HR03B-374A1</t>
    <phoneticPr fontId="2" type="noConversion"/>
  </si>
  <si>
    <t>15</t>
    <phoneticPr fontId="2" type="noConversion"/>
  </si>
  <si>
    <t>AMB0172A-KAA-R2</t>
    <phoneticPr fontId="2" type="noConversion"/>
  </si>
  <si>
    <t>치수NG정지</t>
    <phoneticPr fontId="2" type="noConversion"/>
  </si>
  <si>
    <t>당일 진행 사항(10일)</t>
    <phoneticPr fontId="2" type="noConversion"/>
  </si>
  <si>
    <t>NP628-1056-001#IN-B</t>
    <phoneticPr fontId="2" type="noConversion"/>
  </si>
  <si>
    <t>KR6166CB299UA</t>
    <phoneticPr fontId="2" type="noConversion"/>
  </si>
  <si>
    <t>양산성TEST</t>
    <phoneticPr fontId="2" type="noConversion"/>
  </si>
  <si>
    <t>MCS</t>
    <phoneticPr fontId="2" type="noConversion"/>
  </si>
  <si>
    <t>SAMPLE 진행 사항(09일)</t>
    <phoneticPr fontId="2" type="noConversion"/>
  </si>
  <si>
    <t>288F84M-B122A</t>
    <phoneticPr fontId="2" type="noConversion"/>
  </si>
  <si>
    <t>K-JR01903-D180ZA(증)</t>
    <phoneticPr fontId="2" type="noConversion"/>
  </si>
  <si>
    <t>SGP2020R</t>
    <phoneticPr fontId="2" type="noConversion"/>
  </si>
  <si>
    <t>수정</t>
    <phoneticPr fontId="2" type="noConversion"/>
  </si>
  <si>
    <t>14</t>
    <phoneticPr fontId="2" type="noConversion"/>
  </si>
  <si>
    <t>치수NG 2회진행</t>
    <phoneticPr fontId="2" type="noConversion"/>
  </si>
  <si>
    <t>HDB08NL-78S2(3차)</t>
    <phoneticPr fontId="2" type="noConversion"/>
  </si>
  <si>
    <t>SLIDER</t>
    <phoneticPr fontId="2" type="noConversion"/>
  </si>
  <si>
    <t>SGF2030 N/P</t>
    <phoneticPr fontId="2" type="noConversion"/>
  </si>
  <si>
    <t>10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</si>
  <si>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</si>
  <si>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</si>
  <si>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2020년 11월 10일 일일생산현황</t>
    </r>
    <r>
      <rPr>
        <b/>
        <sz val="14"/>
        <color indexed="8"/>
        <rFont val="굴림체"/>
        <family val="3"/>
        <charset val="129"/>
      </rPr>
      <t>(11일 09시 현재)</t>
    </r>
    <phoneticPr fontId="2" type="noConversion"/>
  </si>
  <si>
    <t>AMB07U1A-KAA-R5</t>
    <phoneticPr fontId="2" type="noConversion"/>
  </si>
  <si>
    <t>LG35</t>
    <phoneticPr fontId="2" type="noConversion"/>
  </si>
  <si>
    <t>전일 ISSUE 사항(10일)</t>
    <phoneticPr fontId="2" type="noConversion"/>
  </si>
  <si>
    <t>발주분양산-&gt;코아파손수리</t>
    <phoneticPr fontId="2" type="noConversion"/>
  </si>
  <si>
    <t>수정2회 후 양산</t>
    <phoneticPr fontId="2" type="noConversion"/>
  </si>
  <si>
    <t>밀핀테스트-&gt;상측박힘수리</t>
    <phoneticPr fontId="2" type="noConversion"/>
  </si>
  <si>
    <t>당일 진행 사항(11일)</t>
    <phoneticPr fontId="2" type="noConversion"/>
  </si>
  <si>
    <t>HDB75-M01A5-1L</t>
    <phoneticPr fontId="2" type="noConversion"/>
  </si>
  <si>
    <t>AMB0129A-KAA-R5</t>
    <phoneticPr fontId="2" type="noConversion"/>
  </si>
  <si>
    <t>AMB0354A-KAA-R1</t>
    <phoneticPr fontId="2" type="noConversion"/>
  </si>
  <si>
    <t>AMB0222A-KAA-R2</t>
    <phoneticPr fontId="2" type="noConversion"/>
  </si>
  <si>
    <t>AMB1915B-KAA-R1</t>
    <phoneticPr fontId="2" type="noConversion"/>
  </si>
  <si>
    <t>SAMPLE 진행 사항(10일)</t>
    <phoneticPr fontId="2" type="noConversion"/>
  </si>
  <si>
    <t>2회진행</t>
    <phoneticPr fontId="2" type="noConversion"/>
  </si>
  <si>
    <t>AMB20D7B-KAA-R1</t>
    <phoneticPr fontId="2" type="noConversion"/>
  </si>
  <si>
    <t>NP635-315-006#IN-A</t>
    <phoneticPr fontId="2" type="noConversion"/>
  </si>
  <si>
    <t>NP635-315-006#LB</t>
    <phoneticPr fontId="2" type="noConversion"/>
  </si>
  <si>
    <t>HDB08QL-102B1</t>
    <phoneticPr fontId="2" type="noConversion"/>
  </si>
  <si>
    <t>NP635-315-006#IN-B</t>
    <phoneticPr fontId="2" type="noConversion"/>
  </si>
  <si>
    <t>신작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</si>
  <si>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</si>
  <si>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</si>
  <si>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2020년 11월 11일 일일생산현황</t>
    </r>
    <r>
      <rPr>
        <b/>
        <sz val="14"/>
        <color indexed="8"/>
        <rFont val="굴림체"/>
        <family val="3"/>
        <charset val="129"/>
      </rPr>
      <t>(12일 09시 현재)</t>
    </r>
    <phoneticPr fontId="2" type="noConversion"/>
  </si>
  <si>
    <t>SGF2050</t>
    <phoneticPr fontId="2" type="noConversion"/>
  </si>
  <si>
    <t>HRCS-03C13</t>
    <phoneticPr fontId="2" type="noConversion"/>
  </si>
  <si>
    <t>런너막힘정지</t>
    <phoneticPr fontId="2" type="noConversion"/>
  </si>
  <si>
    <t>코아파손정지</t>
    <phoneticPr fontId="2" type="noConversion"/>
  </si>
  <si>
    <t>발주분양산-&gt;가스수리-&gt;런너막힘수리</t>
    <phoneticPr fontId="2" type="noConversion"/>
  </si>
  <si>
    <t>전일 ISSUE 사항(11일)</t>
    <phoneticPr fontId="2" type="noConversion"/>
  </si>
  <si>
    <t>당일 진행 사항(12일)</t>
    <phoneticPr fontId="2" type="noConversion"/>
  </si>
  <si>
    <t>LH-01A1</t>
    <phoneticPr fontId="2" type="noConversion"/>
  </si>
  <si>
    <t>AMB20E4B-KAA-R2</t>
    <phoneticPr fontId="2" type="noConversion"/>
  </si>
  <si>
    <t>KR6454-A352YA</t>
    <phoneticPr fontId="2" type="noConversion"/>
  </si>
  <si>
    <t>SAMPLE 진행 사항(11일)</t>
    <phoneticPr fontId="2" type="noConversion"/>
  </si>
  <si>
    <t>금형 수리 내역(11일)</t>
    <phoneticPr fontId="2" type="noConversion"/>
  </si>
  <si>
    <t>설비 점검 내역(11일)</t>
    <phoneticPr fontId="2" type="noConversion"/>
  </si>
  <si>
    <r>
      <t>2020년 11월 12일 일일생산현황</t>
    </r>
    <r>
      <rPr>
        <b/>
        <sz val="14"/>
        <color indexed="8"/>
        <rFont val="굴림체"/>
        <family val="3"/>
        <charset val="129"/>
      </rPr>
      <t>(13일 09시 현재)</t>
    </r>
    <phoneticPr fontId="2" type="noConversion"/>
  </si>
  <si>
    <t>F/A</t>
    <phoneticPr fontId="2" type="noConversion"/>
  </si>
  <si>
    <t>전일 ISSUE 사항(12일)</t>
    <phoneticPr fontId="2" type="noConversion"/>
  </si>
  <si>
    <t>수리후양산-&gt;코아파손정지</t>
    <phoneticPr fontId="2" type="noConversion"/>
  </si>
  <si>
    <t>수리후양산-&gt;가스수리</t>
    <phoneticPr fontId="2" type="noConversion"/>
  </si>
  <si>
    <t>12</t>
    <phoneticPr fontId="2" type="noConversion"/>
  </si>
  <si>
    <t>F/A</t>
    <phoneticPr fontId="2" type="noConversion"/>
  </si>
  <si>
    <t>AMB20E4B-KAA-R2</t>
    <phoneticPr fontId="2" type="noConversion"/>
  </si>
  <si>
    <t>발주분양산</t>
    <phoneticPr fontId="2" type="noConversion"/>
  </si>
  <si>
    <t>LH-01A1</t>
    <phoneticPr fontId="2" type="noConversion"/>
  </si>
  <si>
    <t>5</t>
    <phoneticPr fontId="2" type="noConversion"/>
  </si>
  <si>
    <t>LATCH</t>
    <phoneticPr fontId="2" type="noConversion"/>
  </si>
  <si>
    <t>당일 진행 사항(16일)</t>
    <phoneticPr fontId="2" type="noConversion"/>
  </si>
  <si>
    <t>AMB0355A-KAA-R2</t>
    <phoneticPr fontId="2" type="noConversion"/>
  </si>
  <si>
    <t>MCS</t>
    <phoneticPr fontId="2" type="noConversion"/>
  </si>
  <si>
    <t>COVER</t>
    <phoneticPr fontId="2" type="noConversion"/>
  </si>
  <si>
    <t>NP413-77549#IN-B</t>
    <phoneticPr fontId="2" type="noConversion"/>
  </si>
  <si>
    <t>AYE</t>
    <phoneticPr fontId="2" type="noConversion"/>
  </si>
  <si>
    <t>13</t>
    <phoneticPr fontId="2" type="noConversion"/>
  </si>
  <si>
    <t>AMB0443A-KAA-R1</t>
    <phoneticPr fontId="2" type="noConversion"/>
  </si>
  <si>
    <t>STOPPER</t>
    <phoneticPr fontId="2" type="noConversion"/>
  </si>
  <si>
    <t>14</t>
    <phoneticPr fontId="2" type="noConversion"/>
  </si>
  <si>
    <t>HRCS-00C11A/12</t>
    <phoneticPr fontId="2" type="noConversion"/>
  </si>
  <si>
    <t>11</t>
    <phoneticPr fontId="2" type="noConversion"/>
  </si>
  <si>
    <t>TOP/BOTTOM</t>
    <phoneticPr fontId="2" type="noConversion"/>
  </si>
  <si>
    <t>SAMPLE 진행 사항(12일)</t>
    <phoneticPr fontId="2" type="noConversion"/>
  </si>
  <si>
    <t>K-AR3464-1A</t>
    <phoneticPr fontId="2" type="noConversion"/>
  </si>
  <si>
    <t>SST</t>
    <phoneticPr fontId="2" type="noConversion"/>
  </si>
  <si>
    <t>SGF2033 N/P</t>
    <phoneticPr fontId="2" type="noConversion"/>
  </si>
  <si>
    <t>수정</t>
    <phoneticPr fontId="2" type="noConversion"/>
  </si>
  <si>
    <t>10</t>
    <phoneticPr fontId="2" type="noConversion"/>
  </si>
  <si>
    <t>K-AR3545-1A</t>
    <phoneticPr fontId="2" type="noConversion"/>
  </si>
  <si>
    <t>SLIDER</t>
    <phoneticPr fontId="2" type="noConversion"/>
  </si>
  <si>
    <t>Pattern Cover</t>
    <phoneticPr fontId="2" type="noConversion"/>
  </si>
  <si>
    <t>아람</t>
    <phoneticPr fontId="2" type="noConversion"/>
  </si>
  <si>
    <t>RTP</t>
    <phoneticPr fontId="2" type="noConversion"/>
  </si>
  <si>
    <t>NP595-352-012#LB-1</t>
    <phoneticPr fontId="2" type="noConversion"/>
  </si>
  <si>
    <t>SGP2030R N/P</t>
    <phoneticPr fontId="2" type="noConversion"/>
  </si>
  <si>
    <t>AMB20D7B-KAA-R1</t>
    <phoneticPr fontId="2" type="noConversion"/>
  </si>
  <si>
    <t>SF2255 I/V</t>
    <phoneticPr fontId="2" type="noConversion"/>
  </si>
  <si>
    <t>AMB1901D-JAA-R2</t>
    <phoneticPr fontId="2" type="noConversion"/>
  </si>
  <si>
    <t>ACTUATOR</t>
    <phoneticPr fontId="2" type="noConversion"/>
  </si>
  <si>
    <t>SGF2030</t>
    <phoneticPr fontId="2" type="noConversion"/>
  </si>
  <si>
    <t>요청</t>
    <phoneticPr fontId="2" type="noConversion"/>
  </si>
  <si>
    <t>금형 수리 내역(12일)</t>
    <phoneticPr fontId="2" type="noConversion"/>
  </si>
  <si>
    <t>설비 점검 내역(12일)</t>
    <phoneticPr fontId="2" type="noConversion"/>
  </si>
  <si>
    <r>
      <t>2020년 11월 16일 일일생산현황</t>
    </r>
    <r>
      <rPr>
        <b/>
        <sz val="14"/>
        <color indexed="8"/>
        <rFont val="굴림체"/>
        <family val="3"/>
        <charset val="129"/>
      </rPr>
      <t>(17일 09시 현재)</t>
    </r>
    <phoneticPr fontId="2" type="noConversion"/>
  </si>
  <si>
    <t>AMB2071B-KAA-R3</t>
    <phoneticPr fontId="2" type="noConversion"/>
  </si>
  <si>
    <t>HRCS-00C11A/12A</t>
    <phoneticPr fontId="2" type="noConversion"/>
  </si>
  <si>
    <t>2*1</t>
    <phoneticPr fontId="2" type="noConversion"/>
  </si>
  <si>
    <t>전일 ISSUE 사항(16일)</t>
    <phoneticPr fontId="2" type="noConversion"/>
  </si>
  <si>
    <t>코아파손수리후양산</t>
    <phoneticPr fontId="2" type="noConversion"/>
  </si>
  <si>
    <t>가스수리-&gt;게이트파손정지</t>
    <phoneticPr fontId="2" type="noConversion"/>
  </si>
  <si>
    <t>당일 진행 사항(17일)</t>
    <phoneticPr fontId="2" type="noConversion"/>
  </si>
  <si>
    <t>수리후양산-&gt;오조립수리</t>
    <phoneticPr fontId="2" type="noConversion"/>
  </si>
  <si>
    <t>AMB0150A-KAA-R1</t>
    <phoneticPr fontId="2" type="noConversion"/>
  </si>
  <si>
    <t>AM0148B-K-R2</t>
    <phoneticPr fontId="2" type="noConversion"/>
  </si>
  <si>
    <t>9</t>
    <phoneticPr fontId="2" type="noConversion"/>
  </si>
  <si>
    <t>AMM0890A-KAC-R1</t>
    <phoneticPr fontId="2" type="noConversion"/>
  </si>
  <si>
    <t>SAMPLE 진행 사항(16일)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</si>
  <si>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</si>
  <si>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</si>
  <si>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2020년 11월 17일 일일생산현황</t>
    </r>
    <r>
      <rPr>
        <b/>
        <sz val="14"/>
        <color indexed="8"/>
        <rFont val="굴림체"/>
        <family val="3"/>
        <charset val="129"/>
      </rPr>
      <t>(18일 09시 현재)</t>
    </r>
    <phoneticPr fontId="2" type="noConversion"/>
  </si>
  <si>
    <t>전일 ISSUE 사항(17일)</t>
    <phoneticPr fontId="2" type="noConversion"/>
  </si>
  <si>
    <t>LATCH C</t>
    <phoneticPr fontId="2" type="noConversion"/>
  </si>
  <si>
    <t>설비이상정지</t>
    <phoneticPr fontId="2" type="noConversion"/>
  </si>
  <si>
    <t>발주분양산-&gt;BURR수리</t>
    <phoneticPr fontId="2" type="noConversion"/>
  </si>
  <si>
    <t>발주분양산-&gt;런너낙하불량코아파손(사고)</t>
    <phoneticPr fontId="2" type="noConversion"/>
  </si>
  <si>
    <t>당일 진행 사항(18일)</t>
    <phoneticPr fontId="2" type="noConversion"/>
  </si>
  <si>
    <t>테스트</t>
    <phoneticPr fontId="2" type="noConversion"/>
  </si>
  <si>
    <t>LOWER PLATE</t>
    <phoneticPr fontId="2" type="noConversion"/>
  </si>
  <si>
    <t>SAMPLE 진행 사항(17일)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</si>
  <si>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</si>
  <si>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</si>
  <si>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2020년 11월 18일 일일생산현황</t>
    </r>
    <r>
      <rPr>
        <b/>
        <sz val="14"/>
        <color indexed="8"/>
        <rFont val="굴림체"/>
        <family val="3"/>
        <charset val="129"/>
      </rPr>
      <t>(19일 09시 현재)</t>
    </r>
    <phoneticPr fontId="2" type="noConversion"/>
  </si>
  <si>
    <t>테스트메카</t>
    <phoneticPr fontId="2" type="noConversion"/>
  </si>
  <si>
    <t>전일 ISSUE 사항(18일)</t>
    <phoneticPr fontId="2" type="noConversion"/>
  </si>
  <si>
    <t>런너막힘수리</t>
    <phoneticPr fontId="2" type="noConversion"/>
  </si>
  <si>
    <t>하측뜯김정지</t>
    <phoneticPr fontId="2" type="noConversion"/>
  </si>
  <si>
    <t>당일 진행 사항(19일)</t>
    <phoneticPr fontId="2" type="noConversion"/>
  </si>
  <si>
    <t>LOWER PLATE B</t>
    <phoneticPr fontId="2" type="noConversion"/>
  </si>
  <si>
    <t>KR6166-GAB178QA</t>
    <phoneticPr fontId="2" type="noConversion"/>
  </si>
  <si>
    <t>KR6166-B299UA</t>
    <phoneticPr fontId="2" type="noConversion"/>
  </si>
  <si>
    <t>SAMPLE 진행 사항(18일)</t>
    <phoneticPr fontId="2" type="noConversion"/>
  </si>
  <si>
    <t>K-AR3546-1A</t>
    <phoneticPr fontId="2" type="noConversion"/>
  </si>
  <si>
    <t>SGF2030TC</t>
    <phoneticPr fontId="2" type="noConversion"/>
  </si>
  <si>
    <t>금형 수리 내역(18일)</t>
    <phoneticPr fontId="2" type="noConversion"/>
  </si>
  <si>
    <t>설비 점검 내역(18일)</t>
    <phoneticPr fontId="2" type="noConversion"/>
  </si>
  <si>
    <r>
      <t>2020년 11월 19일 일일생산현황</t>
    </r>
    <r>
      <rPr>
        <b/>
        <sz val="14"/>
        <color indexed="8"/>
        <rFont val="굴림체"/>
        <family val="3"/>
        <charset val="129"/>
      </rPr>
      <t>(20일 09시 현재)</t>
    </r>
    <phoneticPr fontId="2" type="noConversion"/>
  </si>
  <si>
    <t>전일 ISSUE 사항(19일)</t>
    <phoneticPr fontId="2" type="noConversion"/>
  </si>
  <si>
    <t>수리후양산-&gt;코아파손수리</t>
    <phoneticPr fontId="2" type="noConversion"/>
  </si>
  <si>
    <t>당일 진행 사항(20일)</t>
    <phoneticPr fontId="2" type="noConversion"/>
  </si>
  <si>
    <t>LATCH PLATE</t>
    <phoneticPr fontId="2" type="noConversion"/>
  </si>
  <si>
    <t>HR03A-06B2</t>
    <phoneticPr fontId="2" type="noConversion"/>
  </si>
  <si>
    <t>치수확인후양산</t>
    <phoneticPr fontId="2" type="noConversion"/>
  </si>
  <si>
    <t>SAMPLE 진행 사항(19일)</t>
    <phoneticPr fontId="2" type="noConversion"/>
  </si>
  <si>
    <t>NP413-082-092#GP</t>
    <phoneticPr fontId="2" type="noConversion"/>
  </si>
  <si>
    <t>NP413-187-092#IN-B</t>
    <phoneticPr fontId="2" type="noConversion"/>
  </si>
  <si>
    <t>PX13322 W/T,ER010688</t>
    <phoneticPr fontId="2" type="noConversion"/>
  </si>
  <si>
    <t>원재료</t>
    <phoneticPr fontId="2" type="noConversion"/>
  </si>
  <si>
    <t>각20EA</t>
    <phoneticPr fontId="2" type="noConversion"/>
  </si>
  <si>
    <t>AMM08006A-KAA-R1</t>
    <phoneticPr fontId="2" type="noConversion"/>
  </si>
  <si>
    <t>GN2330</t>
    <phoneticPr fontId="2" type="noConversion"/>
  </si>
  <si>
    <t>금형 수리 내역(19일)</t>
    <phoneticPr fontId="2" type="noConversion"/>
  </si>
  <si>
    <t>설비 점검 내역(19일)</t>
    <phoneticPr fontId="2" type="noConversion"/>
  </si>
  <si>
    <r>
      <t>2020년 11월 20일 일일생산현황</t>
    </r>
    <r>
      <rPr>
        <b/>
        <sz val="14"/>
        <color indexed="8"/>
        <rFont val="굴림체"/>
        <family val="3"/>
        <charset val="129"/>
      </rPr>
      <t>(21일 09시 현재)</t>
    </r>
    <phoneticPr fontId="2" type="noConversion"/>
  </si>
  <si>
    <t>PLATE</t>
    <phoneticPr fontId="2" type="noConversion"/>
  </si>
  <si>
    <t>전일 ISSUE 사항(20일)</t>
    <phoneticPr fontId="2" type="noConversion"/>
  </si>
  <si>
    <t>당일 진행 사항(22일)</t>
    <phoneticPr fontId="2" type="noConversion"/>
  </si>
  <si>
    <t>SAMPLE 진행 사항(20일)</t>
    <phoneticPr fontId="2" type="noConversion"/>
  </si>
  <si>
    <t>HRCS-00C11C(3.0MM)</t>
    <phoneticPr fontId="2" type="noConversion"/>
  </si>
  <si>
    <t>TOP</t>
    <phoneticPr fontId="2" type="noConversion"/>
  </si>
  <si>
    <t>옵션</t>
    <phoneticPr fontId="2" type="noConversion"/>
  </si>
  <si>
    <t>밀핀수리 2회진행</t>
    <phoneticPr fontId="2" type="noConversion"/>
  </si>
  <si>
    <t>HR03B-406A3</t>
    <phoneticPr fontId="2" type="noConversion"/>
  </si>
  <si>
    <t>HDBB08-078H1</t>
    <phoneticPr fontId="2" type="noConversion"/>
  </si>
  <si>
    <t>HOLDER</t>
    <phoneticPr fontId="2" type="noConversion"/>
  </si>
  <si>
    <t>Pattern Cover-1</t>
    <phoneticPr fontId="2" type="noConversion"/>
  </si>
  <si>
    <t>S475,LCP ESD,ULTEM ESD</t>
    <phoneticPr fontId="2" type="noConversion"/>
  </si>
  <si>
    <t>각 700</t>
    <phoneticPr fontId="2" type="noConversion"/>
  </si>
  <si>
    <t>PUSHER</t>
    <phoneticPr fontId="2" type="noConversion"/>
  </si>
  <si>
    <t>HR03B-406A1</t>
    <phoneticPr fontId="2" type="noConversion"/>
  </si>
  <si>
    <t>뜯김</t>
    <phoneticPr fontId="2" type="noConversion"/>
  </si>
  <si>
    <t>HR03B-406A2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</si>
  <si>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</si>
  <si>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</si>
  <si>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2020년 11월 23일 일일생산현황</t>
    </r>
    <r>
      <rPr>
        <b/>
        <sz val="14"/>
        <color indexed="8"/>
        <rFont val="굴림체"/>
        <family val="3"/>
        <charset val="129"/>
      </rPr>
      <t>(24일 09시 현재)</t>
    </r>
    <phoneticPr fontId="2" type="noConversion"/>
  </si>
  <si>
    <t>SPL/발주</t>
    <phoneticPr fontId="2" type="noConversion"/>
  </si>
  <si>
    <t>NP413-187-092#IN-A</t>
    <phoneticPr fontId="2" type="noConversion"/>
  </si>
  <si>
    <t>SGP2030R</t>
    <phoneticPr fontId="2" type="noConversion"/>
  </si>
  <si>
    <t>전일 ISSUE 사항(23일)</t>
    <phoneticPr fontId="2" type="noConversion"/>
  </si>
  <si>
    <t>치수확인후양산-&gt;치수수정</t>
    <phoneticPr fontId="2" type="noConversion"/>
  </si>
  <si>
    <t>발주분양산-&gt;가공불량정지</t>
    <phoneticPr fontId="2" type="noConversion"/>
  </si>
  <si>
    <t>게이트파손수리</t>
    <phoneticPr fontId="2" type="noConversion"/>
  </si>
  <si>
    <t>당일 진행 사항(24일)</t>
    <phoneticPr fontId="2" type="noConversion"/>
  </si>
  <si>
    <t>AMM0822B-KAB-R1</t>
    <phoneticPr fontId="2" type="noConversion"/>
  </si>
  <si>
    <t>SAMPLE 진행 사항(23일)</t>
    <phoneticPr fontId="2" type="noConversion"/>
  </si>
  <si>
    <t>HDBB08-078F2</t>
    <phoneticPr fontId="2" type="noConversion"/>
  </si>
  <si>
    <t>BURR수리</t>
    <phoneticPr fontId="2" type="noConversion"/>
  </si>
  <si>
    <t>HDBB08-078B3</t>
    <phoneticPr fontId="2" type="noConversion"/>
  </si>
  <si>
    <t>치수NG수리 2회진행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</si>
  <si>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</si>
  <si>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</si>
  <si>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2020년 11월 24일 일일생산현황</t>
    </r>
    <r>
      <rPr>
        <b/>
        <sz val="14"/>
        <color indexed="8"/>
        <rFont val="굴림체"/>
        <family val="3"/>
        <charset val="129"/>
      </rPr>
      <t>(25일 09시 현재)</t>
    </r>
    <phoneticPr fontId="2" type="noConversion"/>
  </si>
  <si>
    <t>전일 ISSUE 사항(24일)</t>
    <phoneticPr fontId="2" type="noConversion"/>
  </si>
  <si>
    <t>코아파손2회정지</t>
    <phoneticPr fontId="2" type="noConversion"/>
  </si>
  <si>
    <t>발주분양산-&gt;뜯김정지</t>
    <phoneticPr fontId="2" type="noConversion"/>
  </si>
  <si>
    <t>발주분양산-&gt;단차2회정지</t>
    <phoneticPr fontId="2" type="noConversion"/>
  </si>
  <si>
    <t>당일 진행 사항(25일)</t>
    <phoneticPr fontId="2" type="noConversion"/>
  </si>
  <si>
    <t>SAMPLE 진행 사항(24일)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</si>
  <si>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</si>
  <si>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</si>
  <si>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r>
      <t>2020년 11월 25일 일일생산현황</t>
    </r>
    <r>
      <rPr>
        <b/>
        <sz val="14"/>
        <color indexed="8"/>
        <rFont val="굴림체"/>
        <family val="3"/>
        <charset val="129"/>
      </rPr>
      <t>(26일 09시 현재)</t>
    </r>
    <phoneticPr fontId="2" type="noConversion"/>
  </si>
  <si>
    <t>전일 ISSUE 사항(25일)</t>
    <phoneticPr fontId="2" type="noConversion"/>
  </si>
  <si>
    <t>당일 진행 사항(26일)</t>
    <phoneticPr fontId="2" type="noConversion"/>
  </si>
  <si>
    <t>30P(4POST)</t>
    <phoneticPr fontId="2" type="noConversion"/>
  </si>
  <si>
    <t>16</t>
    <phoneticPr fontId="2" type="noConversion"/>
  </si>
  <si>
    <t>SAMPLE 진행 사항(25일)</t>
    <phoneticPr fontId="2" type="noConversion"/>
  </si>
  <si>
    <t>HDBB08-078B4</t>
    <phoneticPr fontId="2" type="noConversion"/>
  </si>
  <si>
    <t>AMM08007A-KAA-R1</t>
    <phoneticPr fontId="2" type="noConversion"/>
  </si>
  <si>
    <t>금형 수리 내역(25일)</t>
    <phoneticPr fontId="2" type="noConversion"/>
  </si>
  <si>
    <t>설비 점검 내역(25일)</t>
    <phoneticPr fontId="2" type="noConversion"/>
  </si>
  <si>
    <r>
      <t>2020년 11월 26일 일일생산현황</t>
    </r>
    <r>
      <rPr>
        <b/>
        <sz val="14"/>
        <color indexed="8"/>
        <rFont val="굴림체"/>
        <family val="3"/>
        <charset val="129"/>
      </rPr>
      <t>(27일 09시 현재)</t>
    </r>
    <phoneticPr fontId="2" type="noConversion"/>
  </si>
  <si>
    <t>LCP ESD</t>
    <phoneticPr fontId="2" type="noConversion"/>
  </si>
  <si>
    <t>AMB1932A-KAA-R1</t>
    <phoneticPr fontId="2" type="noConversion"/>
  </si>
  <si>
    <t>30P</t>
    <phoneticPr fontId="2" type="noConversion"/>
  </si>
  <si>
    <t>전일 ISSUE 사항(26일)</t>
    <phoneticPr fontId="2" type="noConversion"/>
  </si>
  <si>
    <t>발주분양산-&gt;미성형정지</t>
    <phoneticPr fontId="2" type="noConversion"/>
  </si>
  <si>
    <t>당일 진행 사항(27일)</t>
    <phoneticPr fontId="2" type="noConversion"/>
  </si>
  <si>
    <t>AMB0182A-KAA-R1</t>
    <phoneticPr fontId="2" type="noConversion"/>
  </si>
  <si>
    <t>IC GUIDE</t>
    <phoneticPr fontId="2" type="noConversion"/>
  </si>
  <si>
    <t>HSB05-M008B4</t>
    <phoneticPr fontId="2" type="noConversion"/>
  </si>
  <si>
    <t>SAMPLE 진행 사항(26일)</t>
    <phoneticPr fontId="2" type="noConversion"/>
  </si>
  <si>
    <t>K-AR3549-1A</t>
    <phoneticPr fontId="2" type="noConversion"/>
  </si>
  <si>
    <t>상측박힘2회</t>
    <phoneticPr fontId="2" type="noConversion"/>
  </si>
  <si>
    <t>K-AR3548-1A</t>
    <phoneticPr fontId="2" type="noConversion"/>
  </si>
  <si>
    <t>하측뜯김수리</t>
    <phoneticPr fontId="2" type="noConversion"/>
  </si>
  <si>
    <t>K-AR3553-1A</t>
    <phoneticPr fontId="2" type="noConversion"/>
  </si>
  <si>
    <t>CAM</t>
    <phoneticPr fontId="2" type="noConversion"/>
  </si>
  <si>
    <t>K-AR3552-1A</t>
    <phoneticPr fontId="2" type="noConversion"/>
  </si>
  <si>
    <t>K-AR3550-1A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</si>
  <si>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</si>
  <si>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</si>
  <si>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r>
      <t>2020년 11월 27일(주간) 일일생산현황</t>
    </r>
    <r>
      <rPr>
        <b/>
        <sz val="14"/>
        <color indexed="8"/>
        <rFont val="굴림체"/>
        <family val="3"/>
        <charset val="129"/>
      </rPr>
      <t>(28일 09시 현재)</t>
    </r>
    <phoneticPr fontId="2" type="noConversion"/>
  </si>
  <si>
    <t>STOPPPER</t>
    <phoneticPr fontId="2" type="noConversion"/>
  </si>
  <si>
    <t>AM0182A-KAA-R1</t>
    <phoneticPr fontId="2" type="noConversion"/>
  </si>
  <si>
    <t>전일 ISSUE 사항(27일)</t>
    <phoneticPr fontId="2" type="noConversion"/>
  </si>
  <si>
    <t>당일 진행 사항(30일)</t>
    <phoneticPr fontId="2" type="noConversion"/>
  </si>
  <si>
    <t>AM0164A-A</t>
    <phoneticPr fontId="2" type="noConversion"/>
  </si>
  <si>
    <t>38P</t>
    <phoneticPr fontId="2" type="noConversion"/>
  </si>
  <si>
    <t>GUIDE</t>
    <phoneticPr fontId="2" type="noConversion"/>
  </si>
  <si>
    <t>001-906-50</t>
    <phoneticPr fontId="2" type="noConversion"/>
  </si>
  <si>
    <t>SAMPLE 진행 사항(27일)</t>
    <phoneticPr fontId="2" type="noConversion"/>
  </si>
  <si>
    <t>SGF2033,2050 N/P</t>
    <phoneticPr fontId="2" type="noConversion"/>
  </si>
  <si>
    <t>각 120EA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</si>
  <si>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</si>
  <si>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</si>
  <si>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2020년 11월 30일 일일생산현황</t>
    </r>
    <r>
      <rPr>
        <b/>
        <sz val="14"/>
        <color indexed="8"/>
        <rFont val="굴림체"/>
        <family val="3"/>
        <charset val="129"/>
      </rPr>
      <t>(01일 09시 현재)</t>
    </r>
    <phoneticPr fontId="2" type="noConversion"/>
  </si>
  <si>
    <t>E PR</t>
    <phoneticPr fontId="2" type="noConversion"/>
  </si>
  <si>
    <t>전일 ISSUE 사항(30일)</t>
    <phoneticPr fontId="2" type="noConversion"/>
  </si>
  <si>
    <t>당일 진행 사항(01일)</t>
    <phoneticPr fontId="2" type="noConversion"/>
  </si>
  <si>
    <t>K-JR01734-E092TA(1C)</t>
    <phoneticPr fontId="2" type="noConversion"/>
  </si>
  <si>
    <t>KR6156BA841YA</t>
    <phoneticPr fontId="2" type="noConversion"/>
  </si>
  <si>
    <t>HSB05-M001B1(2C)</t>
    <phoneticPr fontId="2" type="noConversion"/>
  </si>
  <si>
    <t>AAM0818D-KAB-R3</t>
    <phoneticPr fontId="2" type="noConversion"/>
  </si>
  <si>
    <t>HSB05-M002B1-15BI(증)</t>
    <phoneticPr fontId="2" type="noConversion"/>
  </si>
  <si>
    <t>SAMPLE 진행 사항(30일)</t>
    <phoneticPr fontId="2" type="noConversion"/>
  </si>
  <si>
    <t>금형 수리 내역(30일)</t>
    <phoneticPr fontId="2" type="noConversion"/>
  </si>
  <si>
    <t>설비 점검 내역(30일)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</si>
</sst>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96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/>
    </xf>
    <xf numFmtId="41" fontId="8" fillId="0" borderId="6" xfId="4" applyFont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Border="1" applyAlignment="1">
      <alignment horizontal="center" vertical="center"/>
    </xf>
    <xf numFmtId="9" fontId="9" fillId="0" borderId="7" xfId="3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 wrapText="1"/>
    </xf>
    <xf numFmtId="178" fontId="8" fillId="0" borderId="10" xfId="4" applyNumberFormat="1" applyFont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4" fillId="0" borderId="7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 wrapText="1"/>
    </xf>
    <xf numFmtId="41" fontId="8" fillId="0" borderId="8" xfId="4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>
      <alignment vertical="center"/>
    </xf>
    <xf numFmtId="0" fontId="13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 shrinkToFit="1"/>
    </xf>
    <xf numFmtId="41" fontId="13" fillId="0" borderId="0" xfId="4" applyFont="1">
      <alignment vertical="center"/>
    </xf>
    <xf numFmtId="49" fontId="13" fillId="0" borderId="0" xfId="2" applyNumberFormat="1" applyFont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8" fillId="30" borderId="8" xfId="2" applyFont="1" applyFill="1" applyBorder="1" applyAlignment="1">
      <alignment horizontal="center" vertical="center"/>
    </xf>
    <xf numFmtId="0" fontId="7" fillId="30" borderId="51" xfId="0" applyFont="1" applyFill="1" applyBorder="1" applyAlignment="1">
      <alignment horizontal="center" vertical="center"/>
    </xf>
    <xf numFmtId="9" fontId="7" fillId="30" borderId="11" xfId="8" applyFont="1" applyFill="1" applyBorder="1" applyAlignment="1">
      <alignment horizontal="center" vertical="center"/>
    </xf>
    <xf numFmtId="9" fontId="7" fillId="30" borderId="9" xfId="8" applyFont="1" applyFill="1" applyBorder="1" applyAlignment="1">
      <alignment horizontal="center" vertical="center"/>
    </xf>
    <xf numFmtId="9" fontId="7" fillId="30" borderId="12" xfId="8" applyFont="1" applyFill="1" applyBorder="1" applyAlignment="1">
      <alignment horizontal="center" vertical="center"/>
    </xf>
    <xf numFmtId="9" fontId="7" fillId="30" borderId="51" xfId="8" applyFont="1" applyFill="1" applyBorder="1" applyAlignment="1">
      <alignment horizontal="center" vertical="center"/>
    </xf>
    <xf numFmtId="49" fontId="13" fillId="0" borderId="17" xfId="2" applyNumberFormat="1" applyFont="1" applyBorder="1" applyAlignment="1">
      <alignment horizontal="center" vertical="center" shrinkToFit="1"/>
    </xf>
    <xf numFmtId="0" fontId="8" fillId="29" borderId="8" xfId="2" applyFont="1" applyFill="1" applyBorder="1" applyAlignment="1">
      <alignment horizontal="center" vertical="center"/>
    </xf>
    <xf numFmtId="0" fontId="7" fillId="29" borderId="53" xfId="0" applyFont="1" applyFill="1" applyBorder="1" applyAlignment="1">
      <alignment horizontal="center" vertical="center"/>
    </xf>
    <xf numFmtId="9" fontId="7" fillId="29" borderId="38" xfId="8" applyFont="1" applyFill="1" applyBorder="1" applyAlignment="1">
      <alignment horizontal="center" vertical="center"/>
    </xf>
    <xf numFmtId="9" fontId="7" fillId="29" borderId="24" xfId="8" applyFont="1" applyFill="1" applyBorder="1" applyAlignment="1">
      <alignment horizontal="center" vertical="center"/>
    </xf>
    <xf numFmtId="9" fontId="7" fillId="29" borderId="33" xfId="8" applyFont="1" applyFill="1" applyBorder="1" applyAlignment="1">
      <alignment horizontal="center" vertical="center"/>
    </xf>
    <xf numFmtId="9" fontId="7" fillId="29" borderId="31" xfId="8" applyFont="1" applyFill="1" applyBorder="1" applyAlignment="1">
      <alignment horizontal="center" vertical="center"/>
    </xf>
    <xf numFmtId="9" fontId="7" fillId="29" borderId="53" xfId="8" applyFont="1" applyFill="1" applyBorder="1" applyAlignment="1">
      <alignment horizontal="center" vertical="center"/>
    </xf>
    <xf numFmtId="9" fontId="7" fillId="29" borderId="3" xfId="8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60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26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1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54" xfId="2" applyNumberFormat="1" applyFont="1" applyBorder="1" applyAlignment="1">
      <alignment horizontal="left" vertical="center" shrinkToFit="1"/>
    </xf>
    <xf numFmtId="49" fontId="13" fillId="0" borderId="61" xfId="2" applyNumberFormat="1" applyFont="1" applyBorder="1" applyAlignment="1">
      <alignment horizontal="left" vertical="center" shrinkToFit="1"/>
    </xf>
    <xf numFmtId="49" fontId="13" fillId="0" borderId="62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0" fontId="17" fillId="0" borderId="0" xfId="2" applyFont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 wrapText="1"/>
    </xf>
    <xf numFmtId="0" fontId="13" fillId="0" borderId="26" xfId="2" applyFont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41" fontId="13" fillId="0" borderId="9" xfId="4" applyFont="1" applyBorder="1" applyAlignment="1">
      <alignment horizontal="right" vertical="center"/>
    </xf>
    <xf numFmtId="0" fontId="13" fillId="0" borderId="9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49" fontId="13" fillId="0" borderId="5" xfId="2" applyNumberFormat="1" applyFont="1" applyBorder="1" applyAlignment="1">
      <alignment horizontal="left" vertical="center" shrinkToFit="1"/>
    </xf>
    <xf numFmtId="49" fontId="13" fillId="0" borderId="63" xfId="2" applyNumberFormat="1" applyFont="1" applyBorder="1" applyAlignment="1">
      <alignment horizontal="left" vertical="center" shrinkToFit="1"/>
    </xf>
    <xf numFmtId="49" fontId="13" fillId="0" borderId="64" xfId="2" applyNumberFormat="1" applyFont="1" applyBorder="1" applyAlignment="1">
      <alignment horizontal="left" vertical="center" shrinkToFit="1"/>
    </xf>
    <xf numFmtId="0" fontId="9" fillId="0" borderId="27" xfId="0" applyFont="1" applyBorder="1" applyAlignment="1">
      <alignment horizontal="center" vertical="center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4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6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7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7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8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10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10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'02'!$D$6:$D$21</c:f>
              <c:strCache>
                <c:ptCount val="15"/>
                <c:pt idx="0">
                  <c:v>SLIDER</c:v>
                </c:pt>
                <c:pt idx="1">
                  <c:v>COVER</c:v>
                </c:pt>
                <c:pt idx="2">
                  <c:v>COVER</c:v>
                </c:pt>
                <c:pt idx="3">
                  <c:v>BOTTOM</c:v>
                </c:pt>
                <c:pt idx="4">
                  <c:v>BASE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ADAPTER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'02'!$L$6:$L$21</c:f>
              <c:numCache>
                <c:formatCode>_(* #,##0_);_(* \(#,##0\);_(* "-"_);_(@_)</c:formatCode>
                <c:ptCount val="16"/>
                <c:pt idx="1">
                  <c:v>23552</c:v>
                </c:pt>
                <c:pt idx="2">
                  <c:v>12262</c:v>
                </c:pt>
                <c:pt idx="4">
                  <c:v>6230</c:v>
                </c:pt>
                <c:pt idx="6">
                  <c:v>4646</c:v>
                </c:pt>
                <c:pt idx="7">
                  <c:v>3566</c:v>
                </c:pt>
                <c:pt idx="11">
                  <c:v>22068</c:v>
                </c:pt>
                <c:pt idx="13">
                  <c:v>921</c:v>
                </c:pt>
                <c:pt idx="14">
                  <c:v>4186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60-41E0-86A3-2E7D566A699E}"/>
            </c:ext>
          </c:extLst>
        </c:ser>
        <c:ser>
          <c:idx val="1"/>
          <c:order val="1"/>
          <c:tx>
            <c:v>계획</c:v>
          </c:tx>
          <c:cat>
            <c:strRef>
              <c:f>'02'!$D$6:$D$21</c:f>
              <c:strCache>
                <c:ptCount val="15"/>
                <c:pt idx="0">
                  <c:v>SLIDER</c:v>
                </c:pt>
                <c:pt idx="1">
                  <c:v>COVER</c:v>
                </c:pt>
                <c:pt idx="2">
                  <c:v>COVER</c:v>
                </c:pt>
                <c:pt idx="3">
                  <c:v>BOTTOM</c:v>
                </c:pt>
                <c:pt idx="4">
                  <c:v>BASE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ADAPTER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'02'!$J$6:$J$21</c:f>
              <c:numCache>
                <c:formatCode>_(* #,##0_);_(* \(#,##0\);_(* "-"_);_(@_)</c:formatCode>
                <c:ptCount val="16"/>
                <c:pt idx="0">
                  <c:v>2814</c:v>
                </c:pt>
                <c:pt idx="1">
                  <c:v>23552</c:v>
                </c:pt>
                <c:pt idx="2">
                  <c:v>12262</c:v>
                </c:pt>
                <c:pt idx="3">
                  <c:v>5165</c:v>
                </c:pt>
                <c:pt idx="4">
                  <c:v>6230</c:v>
                </c:pt>
                <c:pt idx="5">
                  <c:v>2057</c:v>
                </c:pt>
                <c:pt idx="6">
                  <c:v>4646</c:v>
                </c:pt>
                <c:pt idx="7">
                  <c:v>3566</c:v>
                </c:pt>
                <c:pt idx="9">
                  <c:v>5214</c:v>
                </c:pt>
                <c:pt idx="10">
                  <c:v>5165</c:v>
                </c:pt>
                <c:pt idx="11">
                  <c:v>22068</c:v>
                </c:pt>
                <c:pt idx="12">
                  <c:v>4089</c:v>
                </c:pt>
                <c:pt idx="13">
                  <c:v>921</c:v>
                </c:pt>
                <c:pt idx="14">
                  <c:v>4186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60-41E0-86A3-2E7D566A6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'02'!$AD$6:$AD$21</c:f>
              <c:strCache>
                <c:ptCount val="16"/>
                <c:pt idx="0">
                  <c:v>0%</c:v>
                </c:pt>
                <c:pt idx="1">
                  <c:v>100%</c:v>
                </c:pt>
                <c:pt idx="2">
                  <c:v>100%</c:v>
                </c:pt>
                <c:pt idx="3">
                  <c:v>0%</c:v>
                </c:pt>
                <c:pt idx="4">
                  <c:v>58%</c:v>
                </c:pt>
                <c:pt idx="5">
                  <c:v>0%</c:v>
                </c:pt>
                <c:pt idx="6">
                  <c:v>92%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50%</c:v>
                </c:pt>
                <c:pt idx="14">
                  <c:v>79%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SLIDER</c:v>
                </c:pt>
                <c:pt idx="1">
                  <c:v>COVER</c:v>
                </c:pt>
                <c:pt idx="2">
                  <c:v>COVER</c:v>
                </c:pt>
                <c:pt idx="3">
                  <c:v>BOTTOM</c:v>
                </c:pt>
                <c:pt idx="4">
                  <c:v>BASE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ADAPTER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'02'!$AD$6:$AD$21</c:f>
              <c:numCache>
                <c:formatCode>0%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0.58333333333333337</c:v>
                </c:pt>
                <c:pt idx="5">
                  <c:v>0</c:v>
                </c:pt>
                <c:pt idx="6">
                  <c:v>0.91666666666666663</c:v>
                </c:pt>
                <c:pt idx="7">
                  <c:v>0.83333333333333337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0.5</c:v>
                </c:pt>
                <c:pt idx="14">
                  <c:v>0.79166666666666663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F4-4BE0-90CA-12E83602DC6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8F4-4BE0-90CA-12E83602DC6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SLIDER</c:v>
                </c:pt>
                <c:pt idx="1">
                  <c:v>COVER</c:v>
                </c:pt>
                <c:pt idx="2">
                  <c:v>COVER</c:v>
                </c:pt>
                <c:pt idx="3">
                  <c:v>BOTTOM</c:v>
                </c:pt>
                <c:pt idx="4">
                  <c:v>BASE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ADAPTER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'02'!$AE$6:$AE$21</c:f>
              <c:numCache>
                <c:formatCode>0%</c:formatCode>
                <c:ptCount val="16"/>
                <c:pt idx="0">
                  <c:v>0.4140625</c:v>
                </c:pt>
                <c:pt idx="1">
                  <c:v>0.4140625</c:v>
                </c:pt>
                <c:pt idx="2">
                  <c:v>0.4140625</c:v>
                </c:pt>
                <c:pt idx="3">
                  <c:v>0.4140625</c:v>
                </c:pt>
                <c:pt idx="4">
                  <c:v>0.4140625</c:v>
                </c:pt>
                <c:pt idx="5">
                  <c:v>0.4140625</c:v>
                </c:pt>
                <c:pt idx="6">
                  <c:v>0.4140625</c:v>
                </c:pt>
                <c:pt idx="7">
                  <c:v>0.4140625</c:v>
                </c:pt>
                <c:pt idx="8">
                  <c:v>0.4140625</c:v>
                </c:pt>
                <c:pt idx="9">
                  <c:v>0.4140625</c:v>
                </c:pt>
                <c:pt idx="10">
                  <c:v>0.4140625</c:v>
                </c:pt>
                <c:pt idx="11">
                  <c:v>0.4140625</c:v>
                </c:pt>
                <c:pt idx="12">
                  <c:v>0.4140625</c:v>
                </c:pt>
                <c:pt idx="13">
                  <c:v>0.4140625</c:v>
                </c:pt>
                <c:pt idx="14">
                  <c:v>0.4140625</c:v>
                </c:pt>
                <c:pt idx="15">
                  <c:v>0.4140625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F4-4BE0-90CA-12E83602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'02'!$D$6:$D$21</c:f>
              <c:strCache>
                <c:ptCount val="15"/>
                <c:pt idx="0">
                  <c:v>SLIDER</c:v>
                </c:pt>
                <c:pt idx="1">
                  <c:v>COVER</c:v>
                </c:pt>
                <c:pt idx="2">
                  <c:v>COVER</c:v>
                </c:pt>
                <c:pt idx="3">
                  <c:v>BOTTOM</c:v>
                </c:pt>
                <c:pt idx="4">
                  <c:v>BASE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ADAPTER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'02'!$L$6:$L$21</c:f>
              <c:numCache>
                <c:formatCode>_(* #,##0_);_(* \(#,##0\);_(* "-"_);_(@_)</c:formatCode>
                <c:ptCount val="16"/>
                <c:pt idx="1">
                  <c:v>23552</c:v>
                </c:pt>
                <c:pt idx="2">
                  <c:v>12262</c:v>
                </c:pt>
                <c:pt idx="4">
                  <c:v>6230</c:v>
                </c:pt>
                <c:pt idx="6">
                  <c:v>4646</c:v>
                </c:pt>
                <c:pt idx="7">
                  <c:v>3566</c:v>
                </c:pt>
                <c:pt idx="11">
                  <c:v>22068</c:v>
                </c:pt>
                <c:pt idx="13">
                  <c:v>921</c:v>
                </c:pt>
                <c:pt idx="14">
                  <c:v>4186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59-44CC-8606-4F1D9872A4FD}"/>
            </c:ext>
          </c:extLst>
        </c:ser>
        <c:ser>
          <c:idx val="1"/>
          <c:order val="1"/>
          <c:tx>
            <c:v>계획</c:v>
          </c:tx>
          <c:cat>
            <c:strRef>
              <c:f>'02'!$D$6:$D$21</c:f>
              <c:strCache>
                <c:ptCount val="15"/>
                <c:pt idx="0">
                  <c:v>SLIDER</c:v>
                </c:pt>
                <c:pt idx="1">
                  <c:v>COVER</c:v>
                </c:pt>
                <c:pt idx="2">
                  <c:v>COVER</c:v>
                </c:pt>
                <c:pt idx="3">
                  <c:v>BOTTOM</c:v>
                </c:pt>
                <c:pt idx="4">
                  <c:v>BASE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ADAPTER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'02'!$J$6:$J$21</c:f>
              <c:numCache>
                <c:formatCode>_(* #,##0_);_(* \(#,##0\);_(* "-"_);_(@_)</c:formatCode>
                <c:ptCount val="16"/>
                <c:pt idx="0">
                  <c:v>2814</c:v>
                </c:pt>
                <c:pt idx="1">
                  <c:v>23552</c:v>
                </c:pt>
                <c:pt idx="2">
                  <c:v>12262</c:v>
                </c:pt>
                <c:pt idx="3">
                  <c:v>5165</c:v>
                </c:pt>
                <c:pt idx="4">
                  <c:v>6230</c:v>
                </c:pt>
                <c:pt idx="5">
                  <c:v>2057</c:v>
                </c:pt>
                <c:pt idx="6">
                  <c:v>4646</c:v>
                </c:pt>
                <c:pt idx="7">
                  <c:v>3566</c:v>
                </c:pt>
                <c:pt idx="9">
                  <c:v>5214</c:v>
                </c:pt>
                <c:pt idx="10">
                  <c:v>5165</c:v>
                </c:pt>
                <c:pt idx="11">
                  <c:v>22068</c:v>
                </c:pt>
                <c:pt idx="12">
                  <c:v>4089</c:v>
                </c:pt>
                <c:pt idx="13">
                  <c:v>921</c:v>
                </c:pt>
                <c:pt idx="14">
                  <c:v>4186</c:v>
                </c:pt>
                <c:pt idx="15">
                  <c:v>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59-44CC-8606-4F1D9872A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'02'!$AD$6:$AD$21</c:f>
              <c:strCache>
                <c:ptCount val="16"/>
                <c:pt idx="0">
                  <c:v>0%</c:v>
                </c:pt>
                <c:pt idx="1">
                  <c:v>100%</c:v>
                </c:pt>
                <c:pt idx="2">
                  <c:v>100%</c:v>
                </c:pt>
                <c:pt idx="3">
                  <c:v>0%</c:v>
                </c:pt>
                <c:pt idx="4">
                  <c:v>58%</c:v>
                </c:pt>
                <c:pt idx="5">
                  <c:v>0%</c:v>
                </c:pt>
                <c:pt idx="6">
                  <c:v>92%</c:v>
                </c:pt>
                <c:pt idx="7">
                  <c:v>83%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50%</c:v>
                </c:pt>
                <c:pt idx="14">
                  <c:v>79%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SLIDER</c:v>
                </c:pt>
                <c:pt idx="1">
                  <c:v>COVER</c:v>
                </c:pt>
                <c:pt idx="2">
                  <c:v>COVER</c:v>
                </c:pt>
                <c:pt idx="3">
                  <c:v>BOTTOM</c:v>
                </c:pt>
                <c:pt idx="4">
                  <c:v>BASE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ADAPTER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'02'!$AD$6:$AD$21</c:f>
              <c:numCache>
                <c:formatCode>0%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0.58333333333333337</c:v>
                </c:pt>
                <c:pt idx="5">
                  <c:v>0</c:v>
                </c:pt>
                <c:pt idx="6">
                  <c:v>0.91666666666666663</c:v>
                </c:pt>
                <c:pt idx="7">
                  <c:v>0.83333333333333337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0.5</c:v>
                </c:pt>
                <c:pt idx="14">
                  <c:v>0.79166666666666663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4-41B6-89B3-7B4B783A0C4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BD4-41B6-89B3-7B4B783A0C4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SLIDER</c:v>
                </c:pt>
                <c:pt idx="1">
                  <c:v>COVER</c:v>
                </c:pt>
                <c:pt idx="2">
                  <c:v>COVER</c:v>
                </c:pt>
                <c:pt idx="3">
                  <c:v>BOTTOM</c:v>
                </c:pt>
                <c:pt idx="4">
                  <c:v>BASE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ADAPTER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'02'!$AE$6:$AE$21</c:f>
              <c:numCache>
                <c:formatCode>0%</c:formatCode>
                <c:ptCount val="16"/>
                <c:pt idx="0">
                  <c:v>0.4140625</c:v>
                </c:pt>
                <c:pt idx="1">
                  <c:v>0.4140625</c:v>
                </c:pt>
                <c:pt idx="2">
                  <c:v>0.4140625</c:v>
                </c:pt>
                <c:pt idx="3">
                  <c:v>0.4140625</c:v>
                </c:pt>
                <c:pt idx="4">
                  <c:v>0.4140625</c:v>
                </c:pt>
                <c:pt idx="5">
                  <c:v>0.4140625</c:v>
                </c:pt>
                <c:pt idx="6">
                  <c:v>0.4140625</c:v>
                </c:pt>
                <c:pt idx="7">
                  <c:v>0.4140625</c:v>
                </c:pt>
                <c:pt idx="8">
                  <c:v>0.4140625</c:v>
                </c:pt>
                <c:pt idx="9">
                  <c:v>0.4140625</c:v>
                </c:pt>
                <c:pt idx="10">
                  <c:v>0.4140625</c:v>
                </c:pt>
                <c:pt idx="11">
                  <c:v>0.4140625</c:v>
                </c:pt>
                <c:pt idx="12">
                  <c:v>0.4140625</c:v>
                </c:pt>
                <c:pt idx="13">
                  <c:v>0.4140625</c:v>
                </c:pt>
                <c:pt idx="14">
                  <c:v>0.4140625</c:v>
                </c:pt>
                <c:pt idx="15">
                  <c:v>0.4140625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D4-41B6-89B3-7B4B783A0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259-481F-AA25-6C70A5C834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0.4140625</c:v>
                </c:pt>
                <c:pt idx="2">
                  <c:v>0.40277777777777779</c:v>
                </c:pt>
                <c:pt idx="3">
                  <c:v>0.46813725490196079</c:v>
                </c:pt>
                <c:pt idx="4">
                  <c:v>0.546875</c:v>
                </c:pt>
                <c:pt idx="5">
                  <c:v>0.54656862745098045</c:v>
                </c:pt>
                <c:pt idx="7">
                  <c:v>2.34375E-2</c:v>
                </c:pt>
                <c:pt idx="8">
                  <c:v>0.5546875</c:v>
                </c:pt>
                <c:pt idx="9">
                  <c:v>0.49218750000000006</c:v>
                </c:pt>
                <c:pt idx="10">
                  <c:v>0.64583333333333326</c:v>
                </c:pt>
                <c:pt idx="11">
                  <c:v>0.56770833333333326</c:v>
                </c:pt>
                <c:pt idx="15">
                  <c:v>0.46813725490196079</c:v>
                </c:pt>
                <c:pt idx="16">
                  <c:v>0.55208333333333337</c:v>
                </c:pt>
                <c:pt idx="17">
                  <c:v>0.54166666666666663</c:v>
                </c:pt>
                <c:pt idx="18">
                  <c:v>0.57812500000000011</c:v>
                </c:pt>
                <c:pt idx="19">
                  <c:v>0.47135416666666669</c:v>
                </c:pt>
                <c:pt idx="22">
                  <c:v>0.31510416666666663</c:v>
                </c:pt>
                <c:pt idx="23">
                  <c:v>0.46614583333333331</c:v>
                </c:pt>
                <c:pt idx="24">
                  <c:v>0.33854166666666669</c:v>
                </c:pt>
                <c:pt idx="25">
                  <c:v>0.29166666666666663</c:v>
                </c:pt>
                <c:pt idx="26">
                  <c:v>0.19531249999999997</c:v>
                </c:pt>
                <c:pt idx="29">
                  <c:v>0.546875</c:v>
                </c:pt>
                <c:pt idx="31">
                  <c:v>0.31424291938997817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59-481F-AA25-6C70A5C83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259-481F-AA25-6C70A5C8341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9-481F-AA25-6C70A5C83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'03'!$D$6:$D$23</c:f>
              <c:strCache>
                <c:ptCount val="17"/>
                <c:pt idx="0">
                  <c:v>SLIDER</c:v>
                </c:pt>
                <c:pt idx="1">
                  <c:v>COVER</c:v>
                </c:pt>
                <c:pt idx="2">
                  <c:v>COVER</c:v>
                </c:pt>
                <c:pt idx="3">
                  <c:v>BOTTOM</c:v>
                </c:pt>
                <c:pt idx="4">
                  <c:v>BASE</c:v>
                </c:pt>
                <c:pt idx="5">
                  <c:v>ADAPTER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SLIDER</c:v>
                </c:pt>
                <c:pt idx="12">
                  <c:v>BASE</c:v>
                </c:pt>
                <c:pt idx="13">
                  <c:v>ADAPTER</c:v>
                </c:pt>
                <c:pt idx="14">
                  <c:v>LEAD GUIDE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'03'!$L$6:$L$23</c:f>
              <c:numCache>
                <c:formatCode>_(* #,##0_);_(* \(#,##0\);_(* "-"_);_(@_)</c:formatCode>
                <c:ptCount val="18"/>
                <c:pt idx="2">
                  <c:v>13056</c:v>
                </c:pt>
                <c:pt idx="4">
                  <c:v>10705</c:v>
                </c:pt>
                <c:pt idx="5">
                  <c:v>1247</c:v>
                </c:pt>
                <c:pt idx="6">
                  <c:v>3593</c:v>
                </c:pt>
                <c:pt idx="7">
                  <c:v>3316</c:v>
                </c:pt>
                <c:pt idx="10">
                  <c:v>4826</c:v>
                </c:pt>
                <c:pt idx="11">
                  <c:v>13308</c:v>
                </c:pt>
                <c:pt idx="12">
                  <c:v>677</c:v>
                </c:pt>
                <c:pt idx="13">
                  <c:v>1101</c:v>
                </c:pt>
                <c:pt idx="14">
                  <c:v>623</c:v>
                </c:pt>
                <c:pt idx="15">
                  <c:v>1252</c:v>
                </c:pt>
                <c:pt idx="16">
                  <c:v>3247</c:v>
                </c:pt>
                <c:pt idx="17">
                  <c:v>29516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1-4929-988C-AB1AD4355D47}"/>
            </c:ext>
          </c:extLst>
        </c:ser>
        <c:ser>
          <c:idx val="1"/>
          <c:order val="1"/>
          <c:tx>
            <c:v>계획</c:v>
          </c:tx>
          <c:cat>
            <c:strRef>
              <c:f>'03'!$D$6:$D$23</c:f>
              <c:strCache>
                <c:ptCount val="17"/>
                <c:pt idx="0">
                  <c:v>SLIDER</c:v>
                </c:pt>
                <c:pt idx="1">
                  <c:v>COVER</c:v>
                </c:pt>
                <c:pt idx="2">
                  <c:v>COVER</c:v>
                </c:pt>
                <c:pt idx="3">
                  <c:v>BOTTOM</c:v>
                </c:pt>
                <c:pt idx="4">
                  <c:v>BASE</c:v>
                </c:pt>
                <c:pt idx="5">
                  <c:v>ADAPTER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SLIDER</c:v>
                </c:pt>
                <c:pt idx="12">
                  <c:v>BASE</c:v>
                </c:pt>
                <c:pt idx="13">
                  <c:v>ADAPTER</c:v>
                </c:pt>
                <c:pt idx="14">
                  <c:v>LEAD GUIDE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'03'!$J$6:$J$23</c:f>
              <c:numCache>
                <c:formatCode>_(* #,##0_);_(* \(#,##0\);_(* "-"_);_(@_)</c:formatCode>
                <c:ptCount val="18"/>
                <c:pt idx="0">
                  <c:v>2814</c:v>
                </c:pt>
                <c:pt idx="1">
                  <c:v>23552</c:v>
                </c:pt>
                <c:pt idx="2">
                  <c:v>13056</c:v>
                </c:pt>
                <c:pt idx="3">
                  <c:v>5165</c:v>
                </c:pt>
                <c:pt idx="4">
                  <c:v>10705</c:v>
                </c:pt>
                <c:pt idx="5">
                  <c:v>1247</c:v>
                </c:pt>
                <c:pt idx="6">
                  <c:v>3593</c:v>
                </c:pt>
                <c:pt idx="7">
                  <c:v>3316</c:v>
                </c:pt>
                <c:pt idx="9">
                  <c:v>5214</c:v>
                </c:pt>
                <c:pt idx="10">
                  <c:v>4826</c:v>
                </c:pt>
                <c:pt idx="11">
                  <c:v>13308</c:v>
                </c:pt>
                <c:pt idx="12">
                  <c:v>677</c:v>
                </c:pt>
                <c:pt idx="13">
                  <c:v>1101</c:v>
                </c:pt>
                <c:pt idx="14">
                  <c:v>623</c:v>
                </c:pt>
                <c:pt idx="15">
                  <c:v>1252</c:v>
                </c:pt>
                <c:pt idx="16">
                  <c:v>3247</c:v>
                </c:pt>
                <c:pt idx="17">
                  <c:v>29516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81-4929-988C-AB1AD4355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88%</c:v>
                </c:pt>
                <c:pt idx="5">
                  <c:v>25%</c:v>
                </c:pt>
                <c:pt idx="6">
                  <c:v>75%</c:v>
                </c:pt>
                <c:pt idx="7">
                  <c:v>79%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71%</c:v>
                </c:pt>
                <c:pt idx="12">
                  <c:v>17%</c:v>
                </c:pt>
                <c:pt idx="13">
                  <c:v>21%</c:v>
                </c:pt>
                <c:pt idx="14">
                  <c:v>17%</c:v>
                </c:pt>
                <c:pt idx="15">
                  <c:v>29%</c:v>
                </c:pt>
                <c:pt idx="16">
                  <c:v>63%</c:v>
                </c:pt>
                <c:pt idx="17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'03'!$D$6:$D$23</c:f>
              <c:strCache>
                <c:ptCount val="17"/>
                <c:pt idx="0">
                  <c:v>SLIDER</c:v>
                </c:pt>
                <c:pt idx="1">
                  <c:v>COVER</c:v>
                </c:pt>
                <c:pt idx="2">
                  <c:v>COVER</c:v>
                </c:pt>
                <c:pt idx="3">
                  <c:v>BOTTOM</c:v>
                </c:pt>
                <c:pt idx="4">
                  <c:v>BASE</c:v>
                </c:pt>
                <c:pt idx="5">
                  <c:v>ADAPTER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SLIDER</c:v>
                </c:pt>
                <c:pt idx="12">
                  <c:v>BASE</c:v>
                </c:pt>
                <c:pt idx="13">
                  <c:v>ADAPTER</c:v>
                </c:pt>
                <c:pt idx="14">
                  <c:v>LEAD GUIDE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'03'!$AD$6:$AD$23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0.875</c:v>
                </c:pt>
                <c:pt idx="5">
                  <c:v>0.25</c:v>
                </c:pt>
                <c:pt idx="6">
                  <c:v>0.75</c:v>
                </c:pt>
                <c:pt idx="7">
                  <c:v>0.79166666666666663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0.70833333333333337</c:v>
                </c:pt>
                <c:pt idx="12">
                  <c:v>0.16666666666666666</c:v>
                </c:pt>
                <c:pt idx="13">
                  <c:v>0.20833333333333334</c:v>
                </c:pt>
                <c:pt idx="14">
                  <c:v>0.16666666666666666</c:v>
                </c:pt>
                <c:pt idx="15">
                  <c:v>0.29166666666666669</c:v>
                </c:pt>
                <c:pt idx="16">
                  <c:v>0.625</c:v>
                </c:pt>
                <c:pt idx="17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4E-417C-BED7-6E618081ADA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4E-417C-BED7-6E618081ADA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'03'!$D$6:$D$23</c:f>
              <c:strCache>
                <c:ptCount val="17"/>
                <c:pt idx="0">
                  <c:v>SLIDER</c:v>
                </c:pt>
                <c:pt idx="1">
                  <c:v>COVER</c:v>
                </c:pt>
                <c:pt idx="2">
                  <c:v>COVER</c:v>
                </c:pt>
                <c:pt idx="3">
                  <c:v>BOTTOM</c:v>
                </c:pt>
                <c:pt idx="4">
                  <c:v>BASE</c:v>
                </c:pt>
                <c:pt idx="5">
                  <c:v>ADAPTER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SLIDER</c:v>
                </c:pt>
                <c:pt idx="12">
                  <c:v>BASE</c:v>
                </c:pt>
                <c:pt idx="13">
                  <c:v>ADAPTER</c:v>
                </c:pt>
                <c:pt idx="14">
                  <c:v>LEAD GUIDE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'03'!$AE$6:$AE$23</c:f>
              <c:numCache>
                <c:formatCode>0%</c:formatCode>
                <c:ptCount val="18"/>
                <c:pt idx="0">
                  <c:v>0.40277777777777779</c:v>
                </c:pt>
                <c:pt idx="1">
                  <c:v>0.40277777777777779</c:v>
                </c:pt>
                <c:pt idx="2">
                  <c:v>0.40277777777777779</c:v>
                </c:pt>
                <c:pt idx="3">
                  <c:v>0.40277777777777779</c:v>
                </c:pt>
                <c:pt idx="4">
                  <c:v>0.40277777777777779</c:v>
                </c:pt>
                <c:pt idx="5">
                  <c:v>0.40277777777777779</c:v>
                </c:pt>
                <c:pt idx="6">
                  <c:v>0.40277777777777779</c:v>
                </c:pt>
                <c:pt idx="7">
                  <c:v>0.40277777777777779</c:v>
                </c:pt>
                <c:pt idx="8">
                  <c:v>0.40277777777777779</c:v>
                </c:pt>
                <c:pt idx="9">
                  <c:v>0.40277777777777779</c:v>
                </c:pt>
                <c:pt idx="10">
                  <c:v>0.40277777777777779</c:v>
                </c:pt>
                <c:pt idx="11">
                  <c:v>0.40277777777777779</c:v>
                </c:pt>
                <c:pt idx="12">
                  <c:v>0.40277777777777779</c:v>
                </c:pt>
                <c:pt idx="13">
                  <c:v>0.40277777777777779</c:v>
                </c:pt>
                <c:pt idx="14">
                  <c:v>0.40277777777777779</c:v>
                </c:pt>
                <c:pt idx="15">
                  <c:v>0.40277777777777779</c:v>
                </c:pt>
                <c:pt idx="16">
                  <c:v>0.40277777777777779</c:v>
                </c:pt>
                <c:pt idx="17">
                  <c:v>0.40277777777777779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4E-417C-BED7-6E618081A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'03'!$D$6:$D$23</c:f>
              <c:strCache>
                <c:ptCount val="17"/>
                <c:pt idx="0">
                  <c:v>SLIDER</c:v>
                </c:pt>
                <c:pt idx="1">
                  <c:v>COVER</c:v>
                </c:pt>
                <c:pt idx="2">
                  <c:v>COVER</c:v>
                </c:pt>
                <c:pt idx="3">
                  <c:v>BOTTOM</c:v>
                </c:pt>
                <c:pt idx="4">
                  <c:v>BASE</c:v>
                </c:pt>
                <c:pt idx="5">
                  <c:v>ADAPTER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SLIDER</c:v>
                </c:pt>
                <c:pt idx="12">
                  <c:v>BASE</c:v>
                </c:pt>
                <c:pt idx="13">
                  <c:v>ADAPTER</c:v>
                </c:pt>
                <c:pt idx="14">
                  <c:v>LEAD GUIDE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'03'!$L$6:$L$23</c:f>
              <c:numCache>
                <c:formatCode>_(* #,##0_);_(* \(#,##0\);_(* "-"_);_(@_)</c:formatCode>
                <c:ptCount val="18"/>
                <c:pt idx="2">
                  <c:v>13056</c:v>
                </c:pt>
                <c:pt idx="4">
                  <c:v>10705</c:v>
                </c:pt>
                <c:pt idx="5">
                  <c:v>1247</c:v>
                </c:pt>
                <c:pt idx="6">
                  <c:v>3593</c:v>
                </c:pt>
                <c:pt idx="7">
                  <c:v>3316</c:v>
                </c:pt>
                <c:pt idx="10">
                  <c:v>4826</c:v>
                </c:pt>
                <c:pt idx="11">
                  <c:v>13308</c:v>
                </c:pt>
                <c:pt idx="12">
                  <c:v>677</c:v>
                </c:pt>
                <c:pt idx="13">
                  <c:v>1101</c:v>
                </c:pt>
                <c:pt idx="14">
                  <c:v>623</c:v>
                </c:pt>
                <c:pt idx="15">
                  <c:v>1252</c:v>
                </c:pt>
                <c:pt idx="16">
                  <c:v>3247</c:v>
                </c:pt>
                <c:pt idx="17">
                  <c:v>29516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DA-4A35-A134-9658C0FBDF23}"/>
            </c:ext>
          </c:extLst>
        </c:ser>
        <c:ser>
          <c:idx val="1"/>
          <c:order val="1"/>
          <c:tx>
            <c:v>계획</c:v>
          </c:tx>
          <c:cat>
            <c:strRef>
              <c:f>'03'!$D$6:$D$23</c:f>
              <c:strCache>
                <c:ptCount val="17"/>
                <c:pt idx="0">
                  <c:v>SLIDER</c:v>
                </c:pt>
                <c:pt idx="1">
                  <c:v>COVER</c:v>
                </c:pt>
                <c:pt idx="2">
                  <c:v>COVER</c:v>
                </c:pt>
                <c:pt idx="3">
                  <c:v>BOTTOM</c:v>
                </c:pt>
                <c:pt idx="4">
                  <c:v>BASE</c:v>
                </c:pt>
                <c:pt idx="5">
                  <c:v>ADAPTER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SLIDER</c:v>
                </c:pt>
                <c:pt idx="12">
                  <c:v>BASE</c:v>
                </c:pt>
                <c:pt idx="13">
                  <c:v>ADAPTER</c:v>
                </c:pt>
                <c:pt idx="14">
                  <c:v>LEAD GUIDE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'03'!$J$6:$J$23</c:f>
              <c:numCache>
                <c:formatCode>_(* #,##0_);_(* \(#,##0\);_(* "-"_);_(@_)</c:formatCode>
                <c:ptCount val="18"/>
                <c:pt idx="0">
                  <c:v>2814</c:v>
                </c:pt>
                <c:pt idx="1">
                  <c:v>23552</c:v>
                </c:pt>
                <c:pt idx="2">
                  <c:v>13056</c:v>
                </c:pt>
                <c:pt idx="3">
                  <c:v>5165</c:v>
                </c:pt>
                <c:pt idx="4">
                  <c:v>10705</c:v>
                </c:pt>
                <c:pt idx="5">
                  <c:v>1247</c:v>
                </c:pt>
                <c:pt idx="6">
                  <c:v>3593</c:v>
                </c:pt>
                <c:pt idx="7">
                  <c:v>3316</c:v>
                </c:pt>
                <c:pt idx="9">
                  <c:v>5214</c:v>
                </c:pt>
                <c:pt idx="10">
                  <c:v>4826</c:v>
                </c:pt>
                <c:pt idx="11">
                  <c:v>13308</c:v>
                </c:pt>
                <c:pt idx="12">
                  <c:v>677</c:v>
                </c:pt>
                <c:pt idx="13">
                  <c:v>1101</c:v>
                </c:pt>
                <c:pt idx="14">
                  <c:v>623</c:v>
                </c:pt>
                <c:pt idx="15">
                  <c:v>1252</c:v>
                </c:pt>
                <c:pt idx="16">
                  <c:v>3247</c:v>
                </c:pt>
                <c:pt idx="17">
                  <c:v>29516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DA-4A35-A134-9658C0FBD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0%</c:v>
                </c:pt>
                <c:pt idx="4">
                  <c:v>88%</c:v>
                </c:pt>
                <c:pt idx="5">
                  <c:v>25%</c:v>
                </c:pt>
                <c:pt idx="6">
                  <c:v>75%</c:v>
                </c:pt>
                <c:pt idx="7">
                  <c:v>79%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71%</c:v>
                </c:pt>
                <c:pt idx="12">
                  <c:v>17%</c:v>
                </c:pt>
                <c:pt idx="13">
                  <c:v>21%</c:v>
                </c:pt>
                <c:pt idx="14">
                  <c:v>17%</c:v>
                </c:pt>
                <c:pt idx="15">
                  <c:v>29%</c:v>
                </c:pt>
                <c:pt idx="16">
                  <c:v>63%</c:v>
                </c:pt>
                <c:pt idx="17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'03'!$D$6:$D$23</c:f>
              <c:strCache>
                <c:ptCount val="17"/>
                <c:pt idx="0">
                  <c:v>SLIDER</c:v>
                </c:pt>
                <c:pt idx="1">
                  <c:v>COVER</c:v>
                </c:pt>
                <c:pt idx="2">
                  <c:v>COVER</c:v>
                </c:pt>
                <c:pt idx="3">
                  <c:v>BOTTOM</c:v>
                </c:pt>
                <c:pt idx="4">
                  <c:v>BASE</c:v>
                </c:pt>
                <c:pt idx="5">
                  <c:v>ADAPTER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SLIDER</c:v>
                </c:pt>
                <c:pt idx="12">
                  <c:v>BASE</c:v>
                </c:pt>
                <c:pt idx="13">
                  <c:v>ADAPTER</c:v>
                </c:pt>
                <c:pt idx="14">
                  <c:v>LEAD GUIDE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'03'!$AD$6:$AD$23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0.875</c:v>
                </c:pt>
                <c:pt idx="5">
                  <c:v>0.25</c:v>
                </c:pt>
                <c:pt idx="6">
                  <c:v>0.75</c:v>
                </c:pt>
                <c:pt idx="7">
                  <c:v>0.79166666666666663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0.70833333333333337</c:v>
                </c:pt>
                <c:pt idx="12">
                  <c:v>0.16666666666666666</c:v>
                </c:pt>
                <c:pt idx="13">
                  <c:v>0.20833333333333334</c:v>
                </c:pt>
                <c:pt idx="14">
                  <c:v>0.16666666666666666</c:v>
                </c:pt>
                <c:pt idx="15">
                  <c:v>0.29166666666666669</c:v>
                </c:pt>
                <c:pt idx="16">
                  <c:v>0.625</c:v>
                </c:pt>
                <c:pt idx="17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5C-472E-B438-C009BDABAE0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C5C-472E-B438-C009BDABAE0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'03'!$D$6:$D$23</c:f>
              <c:strCache>
                <c:ptCount val="17"/>
                <c:pt idx="0">
                  <c:v>SLIDER</c:v>
                </c:pt>
                <c:pt idx="1">
                  <c:v>COVER</c:v>
                </c:pt>
                <c:pt idx="2">
                  <c:v>COVER</c:v>
                </c:pt>
                <c:pt idx="3">
                  <c:v>BOTTOM</c:v>
                </c:pt>
                <c:pt idx="4">
                  <c:v>BASE</c:v>
                </c:pt>
                <c:pt idx="5">
                  <c:v>ADAPTER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SLIDER</c:v>
                </c:pt>
                <c:pt idx="12">
                  <c:v>BASE</c:v>
                </c:pt>
                <c:pt idx="13">
                  <c:v>ADAPTER</c:v>
                </c:pt>
                <c:pt idx="14">
                  <c:v>LEAD GUIDE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'03'!$AE$6:$AE$23</c:f>
              <c:numCache>
                <c:formatCode>0%</c:formatCode>
                <c:ptCount val="18"/>
                <c:pt idx="0">
                  <c:v>0.40277777777777779</c:v>
                </c:pt>
                <c:pt idx="1">
                  <c:v>0.40277777777777779</c:v>
                </c:pt>
                <c:pt idx="2">
                  <c:v>0.40277777777777779</c:v>
                </c:pt>
                <c:pt idx="3">
                  <c:v>0.40277777777777779</c:v>
                </c:pt>
                <c:pt idx="4">
                  <c:v>0.40277777777777779</c:v>
                </c:pt>
                <c:pt idx="5">
                  <c:v>0.40277777777777779</c:v>
                </c:pt>
                <c:pt idx="6">
                  <c:v>0.40277777777777779</c:v>
                </c:pt>
                <c:pt idx="7">
                  <c:v>0.40277777777777779</c:v>
                </c:pt>
                <c:pt idx="8">
                  <c:v>0.40277777777777779</c:v>
                </c:pt>
                <c:pt idx="9">
                  <c:v>0.40277777777777779</c:v>
                </c:pt>
                <c:pt idx="10">
                  <c:v>0.40277777777777779</c:v>
                </c:pt>
                <c:pt idx="11">
                  <c:v>0.40277777777777779</c:v>
                </c:pt>
                <c:pt idx="12">
                  <c:v>0.40277777777777779</c:v>
                </c:pt>
                <c:pt idx="13">
                  <c:v>0.40277777777777779</c:v>
                </c:pt>
                <c:pt idx="14">
                  <c:v>0.40277777777777779</c:v>
                </c:pt>
                <c:pt idx="15">
                  <c:v>0.40277777777777779</c:v>
                </c:pt>
                <c:pt idx="16">
                  <c:v>0.40277777777777779</c:v>
                </c:pt>
                <c:pt idx="17">
                  <c:v>0.40277777777777779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5C-472E-B438-C009BDABA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51C-4E3E-9D5C-274374F774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0.4140625</c:v>
                </c:pt>
                <c:pt idx="2">
                  <c:v>0.40277777777777779</c:v>
                </c:pt>
                <c:pt idx="3">
                  <c:v>0.46813725490196079</c:v>
                </c:pt>
                <c:pt idx="4">
                  <c:v>0.546875</c:v>
                </c:pt>
                <c:pt idx="5">
                  <c:v>0.54656862745098045</c:v>
                </c:pt>
                <c:pt idx="7">
                  <c:v>2.34375E-2</c:v>
                </c:pt>
                <c:pt idx="8">
                  <c:v>0.5546875</c:v>
                </c:pt>
                <c:pt idx="9">
                  <c:v>0.49218750000000006</c:v>
                </c:pt>
                <c:pt idx="10">
                  <c:v>0.64583333333333326</c:v>
                </c:pt>
                <c:pt idx="11">
                  <c:v>0.56770833333333326</c:v>
                </c:pt>
                <c:pt idx="15">
                  <c:v>0.46813725490196079</c:v>
                </c:pt>
                <c:pt idx="16">
                  <c:v>0.55208333333333337</c:v>
                </c:pt>
                <c:pt idx="17">
                  <c:v>0.54166666666666663</c:v>
                </c:pt>
                <c:pt idx="18">
                  <c:v>0.57812500000000011</c:v>
                </c:pt>
                <c:pt idx="19">
                  <c:v>0.47135416666666669</c:v>
                </c:pt>
                <c:pt idx="22">
                  <c:v>0.31510416666666663</c:v>
                </c:pt>
                <c:pt idx="23">
                  <c:v>0.46614583333333331</c:v>
                </c:pt>
                <c:pt idx="24">
                  <c:v>0.33854166666666669</c:v>
                </c:pt>
                <c:pt idx="25">
                  <c:v>0.29166666666666663</c:v>
                </c:pt>
                <c:pt idx="26">
                  <c:v>0.19531249999999997</c:v>
                </c:pt>
                <c:pt idx="29">
                  <c:v>0.546875</c:v>
                </c:pt>
                <c:pt idx="31">
                  <c:v>0.31424291938997817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1C-4E3E-9D5C-274374F77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51C-4E3E-9D5C-274374F7743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1C-4E3E-9D5C-274374F77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'04'!$D$6:$D$22</c:f>
              <c:strCache>
                <c:ptCount val="16"/>
                <c:pt idx="0">
                  <c:v>SLIDER</c:v>
                </c:pt>
                <c:pt idx="1">
                  <c:v>COVER</c:v>
                </c:pt>
                <c:pt idx="2">
                  <c:v>COVER</c:v>
                </c:pt>
                <c:pt idx="3">
                  <c:v>BASE</c:v>
                </c:pt>
                <c:pt idx="4">
                  <c:v>BASE</c:v>
                </c:pt>
                <c:pt idx="5">
                  <c:v>ADAPTER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STOPPER</c:v>
                </c:pt>
                <c:pt idx="12">
                  <c:v>FLOATING</c:v>
                </c:pt>
                <c:pt idx="13">
                  <c:v>BOTTOM</c:v>
                </c:pt>
                <c:pt idx="14">
                  <c:v>ADAPTER</c:v>
                </c:pt>
                <c:pt idx="15">
                  <c:v>BASE</c:v>
                </c:pt>
              </c:strCache>
            </c:strRef>
          </c:cat>
          <c:val>
            <c:numRef>
              <c:f>'04'!$L$6:$L$22</c:f>
              <c:numCache>
                <c:formatCode>_(* #,##0_);_(* \(#,##0\);_(* "-"_);_(@_)</c:formatCode>
                <c:ptCount val="17"/>
                <c:pt idx="2">
                  <c:v>12924</c:v>
                </c:pt>
                <c:pt idx="3">
                  <c:v>7346</c:v>
                </c:pt>
                <c:pt idx="4">
                  <c:v>16663</c:v>
                </c:pt>
                <c:pt idx="6">
                  <c:v>3896</c:v>
                </c:pt>
                <c:pt idx="10">
                  <c:v>2642</c:v>
                </c:pt>
                <c:pt idx="11">
                  <c:v>2991</c:v>
                </c:pt>
                <c:pt idx="12">
                  <c:v>1178</c:v>
                </c:pt>
                <c:pt idx="13">
                  <c:v>5050</c:v>
                </c:pt>
                <c:pt idx="14">
                  <c:v>5363</c:v>
                </c:pt>
                <c:pt idx="15">
                  <c:v>5615</c:v>
                </c:pt>
                <c:pt idx="16">
                  <c:v>33412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FA-4DB8-B44C-1050C99CE0BA}"/>
            </c:ext>
          </c:extLst>
        </c:ser>
        <c:ser>
          <c:idx val="1"/>
          <c:order val="1"/>
          <c:tx>
            <c:v>계획</c:v>
          </c:tx>
          <c:cat>
            <c:strRef>
              <c:f>'04'!$D$6:$D$22</c:f>
              <c:strCache>
                <c:ptCount val="16"/>
                <c:pt idx="0">
                  <c:v>SLIDER</c:v>
                </c:pt>
                <c:pt idx="1">
                  <c:v>COVER</c:v>
                </c:pt>
                <c:pt idx="2">
                  <c:v>COVER</c:v>
                </c:pt>
                <c:pt idx="3">
                  <c:v>BASE</c:v>
                </c:pt>
                <c:pt idx="4">
                  <c:v>BASE</c:v>
                </c:pt>
                <c:pt idx="5">
                  <c:v>ADAPTER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STOPPER</c:v>
                </c:pt>
                <c:pt idx="12">
                  <c:v>FLOATING</c:v>
                </c:pt>
                <c:pt idx="13">
                  <c:v>BOTTOM</c:v>
                </c:pt>
                <c:pt idx="14">
                  <c:v>ADAPTER</c:v>
                </c:pt>
                <c:pt idx="15">
                  <c:v>BASE</c:v>
                </c:pt>
              </c:strCache>
            </c:strRef>
          </c:cat>
          <c:val>
            <c:numRef>
              <c:f>'04'!$J$6:$J$22</c:f>
              <c:numCache>
                <c:formatCode>_(* #,##0_);_(* \(#,##0\);_(* "-"_);_(@_)</c:formatCode>
                <c:ptCount val="17"/>
                <c:pt idx="0">
                  <c:v>2814</c:v>
                </c:pt>
                <c:pt idx="1">
                  <c:v>23552</c:v>
                </c:pt>
                <c:pt idx="2">
                  <c:v>12924</c:v>
                </c:pt>
                <c:pt idx="3">
                  <c:v>7346</c:v>
                </c:pt>
                <c:pt idx="4">
                  <c:v>16663</c:v>
                </c:pt>
                <c:pt idx="5">
                  <c:v>1247</c:v>
                </c:pt>
                <c:pt idx="6">
                  <c:v>3896</c:v>
                </c:pt>
                <c:pt idx="7">
                  <c:v>3316</c:v>
                </c:pt>
                <c:pt idx="9">
                  <c:v>5214</c:v>
                </c:pt>
                <c:pt idx="10">
                  <c:v>2642</c:v>
                </c:pt>
                <c:pt idx="11">
                  <c:v>2991</c:v>
                </c:pt>
                <c:pt idx="12">
                  <c:v>1178</c:v>
                </c:pt>
                <c:pt idx="13">
                  <c:v>5050</c:v>
                </c:pt>
                <c:pt idx="14">
                  <c:v>5363</c:v>
                </c:pt>
                <c:pt idx="15">
                  <c:v>5615</c:v>
                </c:pt>
                <c:pt idx="16">
                  <c:v>33412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FA-4DB8-B44C-1050C99CE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79%</c:v>
                </c:pt>
                <c:pt idx="4">
                  <c:v>92%</c:v>
                </c:pt>
                <c:pt idx="5">
                  <c:v>0%</c:v>
                </c:pt>
                <c:pt idx="6">
                  <c:v>79%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29%</c:v>
                </c:pt>
                <c:pt idx="11">
                  <c:v>54%</c:v>
                </c:pt>
                <c:pt idx="12">
                  <c:v>25%</c:v>
                </c:pt>
                <c:pt idx="13">
                  <c:v>92%</c:v>
                </c:pt>
                <c:pt idx="14">
                  <c:v>100%</c:v>
                </c:pt>
                <c:pt idx="15">
                  <c:v>100%</c:v>
                </c:pt>
                <c:pt idx="16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'04'!$D$6:$D$22</c:f>
              <c:strCache>
                <c:ptCount val="16"/>
                <c:pt idx="0">
                  <c:v>SLIDER</c:v>
                </c:pt>
                <c:pt idx="1">
                  <c:v>COVER</c:v>
                </c:pt>
                <c:pt idx="2">
                  <c:v>COVER</c:v>
                </c:pt>
                <c:pt idx="3">
                  <c:v>BASE</c:v>
                </c:pt>
                <c:pt idx="4">
                  <c:v>BASE</c:v>
                </c:pt>
                <c:pt idx="5">
                  <c:v>ADAPTER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STOPPER</c:v>
                </c:pt>
                <c:pt idx="12">
                  <c:v>FLOATING</c:v>
                </c:pt>
                <c:pt idx="13">
                  <c:v>BOTTOM</c:v>
                </c:pt>
                <c:pt idx="14">
                  <c:v>ADAPTER</c:v>
                </c:pt>
                <c:pt idx="15">
                  <c:v>BASE</c:v>
                </c:pt>
              </c:strCache>
            </c:strRef>
          </c:cat>
          <c:val>
            <c:numRef>
              <c:f>'04'!$AD$6:$AD$22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0.79166666666666663</c:v>
                </c:pt>
                <c:pt idx="4">
                  <c:v>0.91666666666666663</c:v>
                </c:pt>
                <c:pt idx="5">
                  <c:v>0</c:v>
                </c:pt>
                <c:pt idx="6">
                  <c:v>0.79166666666666663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0.29166666666666669</c:v>
                </c:pt>
                <c:pt idx="11">
                  <c:v>0.54166666666666663</c:v>
                </c:pt>
                <c:pt idx="12">
                  <c:v>0.25</c:v>
                </c:pt>
                <c:pt idx="13">
                  <c:v>0.91666666666666663</c:v>
                </c:pt>
                <c:pt idx="14">
                  <c:v>1</c:v>
                </c:pt>
                <c:pt idx="15">
                  <c:v>1</c:v>
                </c:pt>
                <c:pt idx="16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16-42C5-A907-F2DEC5B57C4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216-42C5-A907-F2DEC5B57C4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'04'!$D$6:$D$22</c:f>
              <c:strCache>
                <c:ptCount val="16"/>
                <c:pt idx="0">
                  <c:v>SLIDER</c:v>
                </c:pt>
                <c:pt idx="1">
                  <c:v>COVER</c:v>
                </c:pt>
                <c:pt idx="2">
                  <c:v>COVER</c:v>
                </c:pt>
                <c:pt idx="3">
                  <c:v>BASE</c:v>
                </c:pt>
                <c:pt idx="4">
                  <c:v>BASE</c:v>
                </c:pt>
                <c:pt idx="5">
                  <c:v>ADAPTER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STOPPER</c:v>
                </c:pt>
                <c:pt idx="12">
                  <c:v>FLOATING</c:v>
                </c:pt>
                <c:pt idx="13">
                  <c:v>BOTTOM</c:v>
                </c:pt>
                <c:pt idx="14">
                  <c:v>ADAPTER</c:v>
                </c:pt>
                <c:pt idx="15">
                  <c:v>BASE</c:v>
                </c:pt>
              </c:strCache>
            </c:strRef>
          </c:cat>
          <c:val>
            <c:numRef>
              <c:f>'04'!$AE$6:$AE$22</c:f>
              <c:numCache>
                <c:formatCode>0%</c:formatCode>
                <c:ptCount val="17"/>
                <c:pt idx="0">
                  <c:v>0.46813725490196079</c:v>
                </c:pt>
                <c:pt idx="1">
                  <c:v>0.46813725490196079</c:v>
                </c:pt>
                <c:pt idx="2">
                  <c:v>0.46813725490196079</c:v>
                </c:pt>
                <c:pt idx="3">
                  <c:v>0.46813725490196079</c:v>
                </c:pt>
                <c:pt idx="4">
                  <c:v>0.46813725490196079</c:v>
                </c:pt>
                <c:pt idx="5">
                  <c:v>0.46813725490196079</c:v>
                </c:pt>
                <c:pt idx="6">
                  <c:v>0.46813725490196079</c:v>
                </c:pt>
                <c:pt idx="7">
                  <c:v>0.46813725490196079</c:v>
                </c:pt>
                <c:pt idx="8">
                  <c:v>0.46813725490196079</c:v>
                </c:pt>
                <c:pt idx="9">
                  <c:v>0.46813725490196079</c:v>
                </c:pt>
                <c:pt idx="10">
                  <c:v>0.46813725490196079</c:v>
                </c:pt>
                <c:pt idx="11">
                  <c:v>0.46813725490196079</c:v>
                </c:pt>
                <c:pt idx="12">
                  <c:v>0.46813725490196079</c:v>
                </c:pt>
                <c:pt idx="13">
                  <c:v>0.46813725490196079</c:v>
                </c:pt>
                <c:pt idx="14">
                  <c:v>0.46813725490196079</c:v>
                </c:pt>
                <c:pt idx="15">
                  <c:v>0.46813725490196079</c:v>
                </c:pt>
                <c:pt idx="16">
                  <c:v>0.46813725490196079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16-42C5-A907-F2DEC5B57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'04'!$D$6:$D$22</c:f>
              <c:strCache>
                <c:ptCount val="16"/>
                <c:pt idx="0">
                  <c:v>SLIDER</c:v>
                </c:pt>
                <c:pt idx="1">
                  <c:v>COVER</c:v>
                </c:pt>
                <c:pt idx="2">
                  <c:v>COVER</c:v>
                </c:pt>
                <c:pt idx="3">
                  <c:v>BASE</c:v>
                </c:pt>
                <c:pt idx="4">
                  <c:v>BASE</c:v>
                </c:pt>
                <c:pt idx="5">
                  <c:v>ADAPTER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STOPPER</c:v>
                </c:pt>
                <c:pt idx="12">
                  <c:v>FLOATING</c:v>
                </c:pt>
                <c:pt idx="13">
                  <c:v>BOTTOM</c:v>
                </c:pt>
                <c:pt idx="14">
                  <c:v>ADAPTER</c:v>
                </c:pt>
                <c:pt idx="15">
                  <c:v>BASE</c:v>
                </c:pt>
              </c:strCache>
            </c:strRef>
          </c:cat>
          <c:val>
            <c:numRef>
              <c:f>'04'!$L$6:$L$22</c:f>
              <c:numCache>
                <c:formatCode>_(* #,##0_);_(* \(#,##0\);_(* "-"_);_(@_)</c:formatCode>
                <c:ptCount val="17"/>
                <c:pt idx="2">
                  <c:v>12924</c:v>
                </c:pt>
                <c:pt idx="3">
                  <c:v>7346</c:v>
                </c:pt>
                <c:pt idx="4">
                  <c:v>16663</c:v>
                </c:pt>
                <c:pt idx="6">
                  <c:v>3896</c:v>
                </c:pt>
                <c:pt idx="10">
                  <c:v>2642</c:v>
                </c:pt>
                <c:pt idx="11">
                  <c:v>2991</c:v>
                </c:pt>
                <c:pt idx="12">
                  <c:v>1178</c:v>
                </c:pt>
                <c:pt idx="13">
                  <c:v>5050</c:v>
                </c:pt>
                <c:pt idx="14">
                  <c:v>5363</c:v>
                </c:pt>
                <c:pt idx="15">
                  <c:v>5615</c:v>
                </c:pt>
                <c:pt idx="16">
                  <c:v>33412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B7-4E6A-B5A2-44049860C438}"/>
            </c:ext>
          </c:extLst>
        </c:ser>
        <c:ser>
          <c:idx val="1"/>
          <c:order val="1"/>
          <c:tx>
            <c:v>계획</c:v>
          </c:tx>
          <c:cat>
            <c:strRef>
              <c:f>'04'!$D$6:$D$22</c:f>
              <c:strCache>
                <c:ptCount val="16"/>
                <c:pt idx="0">
                  <c:v>SLIDER</c:v>
                </c:pt>
                <c:pt idx="1">
                  <c:v>COVER</c:v>
                </c:pt>
                <c:pt idx="2">
                  <c:v>COVER</c:v>
                </c:pt>
                <c:pt idx="3">
                  <c:v>BASE</c:v>
                </c:pt>
                <c:pt idx="4">
                  <c:v>BASE</c:v>
                </c:pt>
                <c:pt idx="5">
                  <c:v>ADAPTER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STOPPER</c:v>
                </c:pt>
                <c:pt idx="12">
                  <c:v>FLOATING</c:v>
                </c:pt>
                <c:pt idx="13">
                  <c:v>BOTTOM</c:v>
                </c:pt>
                <c:pt idx="14">
                  <c:v>ADAPTER</c:v>
                </c:pt>
                <c:pt idx="15">
                  <c:v>BASE</c:v>
                </c:pt>
              </c:strCache>
            </c:strRef>
          </c:cat>
          <c:val>
            <c:numRef>
              <c:f>'04'!$J$6:$J$22</c:f>
              <c:numCache>
                <c:formatCode>_(* #,##0_);_(* \(#,##0\);_(* "-"_);_(@_)</c:formatCode>
                <c:ptCount val="17"/>
                <c:pt idx="0">
                  <c:v>2814</c:v>
                </c:pt>
                <c:pt idx="1">
                  <c:v>23552</c:v>
                </c:pt>
                <c:pt idx="2">
                  <c:v>12924</c:v>
                </c:pt>
                <c:pt idx="3">
                  <c:v>7346</c:v>
                </c:pt>
                <c:pt idx="4">
                  <c:v>16663</c:v>
                </c:pt>
                <c:pt idx="5">
                  <c:v>1247</c:v>
                </c:pt>
                <c:pt idx="6">
                  <c:v>3896</c:v>
                </c:pt>
                <c:pt idx="7">
                  <c:v>3316</c:v>
                </c:pt>
                <c:pt idx="9">
                  <c:v>5214</c:v>
                </c:pt>
                <c:pt idx="10">
                  <c:v>2642</c:v>
                </c:pt>
                <c:pt idx="11">
                  <c:v>2991</c:v>
                </c:pt>
                <c:pt idx="12">
                  <c:v>1178</c:v>
                </c:pt>
                <c:pt idx="13">
                  <c:v>5050</c:v>
                </c:pt>
                <c:pt idx="14">
                  <c:v>5363</c:v>
                </c:pt>
                <c:pt idx="15">
                  <c:v>5615</c:v>
                </c:pt>
                <c:pt idx="16">
                  <c:v>33412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B7-4E6A-B5A2-44049860C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79%</c:v>
                </c:pt>
                <c:pt idx="4">
                  <c:v>92%</c:v>
                </c:pt>
                <c:pt idx="5">
                  <c:v>0%</c:v>
                </c:pt>
                <c:pt idx="6">
                  <c:v>79%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29%</c:v>
                </c:pt>
                <c:pt idx="11">
                  <c:v>54%</c:v>
                </c:pt>
                <c:pt idx="12">
                  <c:v>25%</c:v>
                </c:pt>
                <c:pt idx="13">
                  <c:v>92%</c:v>
                </c:pt>
                <c:pt idx="14">
                  <c:v>100%</c:v>
                </c:pt>
                <c:pt idx="15">
                  <c:v>100%</c:v>
                </c:pt>
                <c:pt idx="16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'04'!$D$6:$D$22</c:f>
              <c:strCache>
                <c:ptCount val="16"/>
                <c:pt idx="0">
                  <c:v>SLIDER</c:v>
                </c:pt>
                <c:pt idx="1">
                  <c:v>COVER</c:v>
                </c:pt>
                <c:pt idx="2">
                  <c:v>COVER</c:v>
                </c:pt>
                <c:pt idx="3">
                  <c:v>BASE</c:v>
                </c:pt>
                <c:pt idx="4">
                  <c:v>BASE</c:v>
                </c:pt>
                <c:pt idx="5">
                  <c:v>ADAPTER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STOPPER</c:v>
                </c:pt>
                <c:pt idx="12">
                  <c:v>FLOATING</c:v>
                </c:pt>
                <c:pt idx="13">
                  <c:v>BOTTOM</c:v>
                </c:pt>
                <c:pt idx="14">
                  <c:v>ADAPTER</c:v>
                </c:pt>
                <c:pt idx="15">
                  <c:v>BASE</c:v>
                </c:pt>
              </c:strCache>
            </c:strRef>
          </c:cat>
          <c:val>
            <c:numRef>
              <c:f>'04'!$AD$6:$AD$22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0.79166666666666663</c:v>
                </c:pt>
                <c:pt idx="4">
                  <c:v>0.91666666666666663</c:v>
                </c:pt>
                <c:pt idx="5">
                  <c:v>0</c:v>
                </c:pt>
                <c:pt idx="6">
                  <c:v>0.79166666666666663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0.29166666666666669</c:v>
                </c:pt>
                <c:pt idx="11">
                  <c:v>0.54166666666666663</c:v>
                </c:pt>
                <c:pt idx="12">
                  <c:v>0.25</c:v>
                </c:pt>
                <c:pt idx="13">
                  <c:v>0.91666666666666663</c:v>
                </c:pt>
                <c:pt idx="14">
                  <c:v>1</c:v>
                </c:pt>
                <c:pt idx="15">
                  <c:v>1</c:v>
                </c:pt>
                <c:pt idx="16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FF-42A7-8D9F-EC72A96E676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CFF-42A7-8D9F-EC72A96E676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'04'!$D$6:$D$22</c:f>
              <c:strCache>
                <c:ptCount val="16"/>
                <c:pt idx="0">
                  <c:v>SLIDER</c:v>
                </c:pt>
                <c:pt idx="1">
                  <c:v>COVER</c:v>
                </c:pt>
                <c:pt idx="2">
                  <c:v>COVER</c:v>
                </c:pt>
                <c:pt idx="3">
                  <c:v>BASE</c:v>
                </c:pt>
                <c:pt idx="4">
                  <c:v>BASE</c:v>
                </c:pt>
                <c:pt idx="5">
                  <c:v>ADAPTER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LATCH</c:v>
                </c:pt>
                <c:pt idx="11">
                  <c:v>STOPPER</c:v>
                </c:pt>
                <c:pt idx="12">
                  <c:v>FLOATING</c:v>
                </c:pt>
                <c:pt idx="13">
                  <c:v>BOTTOM</c:v>
                </c:pt>
                <c:pt idx="14">
                  <c:v>ADAPTER</c:v>
                </c:pt>
                <c:pt idx="15">
                  <c:v>BASE</c:v>
                </c:pt>
              </c:strCache>
            </c:strRef>
          </c:cat>
          <c:val>
            <c:numRef>
              <c:f>'04'!$AE$6:$AE$22</c:f>
              <c:numCache>
                <c:formatCode>0%</c:formatCode>
                <c:ptCount val="17"/>
                <c:pt idx="0">
                  <c:v>0.46813725490196079</c:v>
                </c:pt>
                <c:pt idx="1">
                  <c:v>0.46813725490196079</c:v>
                </c:pt>
                <c:pt idx="2">
                  <c:v>0.46813725490196079</c:v>
                </c:pt>
                <c:pt idx="3">
                  <c:v>0.46813725490196079</c:v>
                </c:pt>
                <c:pt idx="4">
                  <c:v>0.46813725490196079</c:v>
                </c:pt>
                <c:pt idx="5">
                  <c:v>0.46813725490196079</c:v>
                </c:pt>
                <c:pt idx="6">
                  <c:v>0.46813725490196079</c:v>
                </c:pt>
                <c:pt idx="7">
                  <c:v>0.46813725490196079</c:v>
                </c:pt>
                <c:pt idx="8">
                  <c:v>0.46813725490196079</c:v>
                </c:pt>
                <c:pt idx="9">
                  <c:v>0.46813725490196079</c:v>
                </c:pt>
                <c:pt idx="10">
                  <c:v>0.46813725490196079</c:v>
                </c:pt>
                <c:pt idx="11">
                  <c:v>0.46813725490196079</c:v>
                </c:pt>
                <c:pt idx="12">
                  <c:v>0.46813725490196079</c:v>
                </c:pt>
                <c:pt idx="13">
                  <c:v>0.46813725490196079</c:v>
                </c:pt>
                <c:pt idx="14">
                  <c:v>0.46813725490196079</c:v>
                </c:pt>
                <c:pt idx="15">
                  <c:v>0.46813725490196079</c:v>
                </c:pt>
                <c:pt idx="16">
                  <c:v>0.46813725490196079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FF-42A7-8D9F-EC72A96E6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79E-443E-A496-FC3E259D4D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0.4140625</c:v>
                </c:pt>
                <c:pt idx="2">
                  <c:v>0.40277777777777779</c:v>
                </c:pt>
                <c:pt idx="3">
                  <c:v>0.46813725490196079</c:v>
                </c:pt>
                <c:pt idx="4">
                  <c:v>0.546875</c:v>
                </c:pt>
                <c:pt idx="5">
                  <c:v>0.54656862745098045</c:v>
                </c:pt>
                <c:pt idx="7">
                  <c:v>2.34375E-2</c:v>
                </c:pt>
                <c:pt idx="8">
                  <c:v>0.5546875</c:v>
                </c:pt>
                <c:pt idx="9">
                  <c:v>0.49218750000000006</c:v>
                </c:pt>
                <c:pt idx="10">
                  <c:v>0.64583333333333326</c:v>
                </c:pt>
                <c:pt idx="11">
                  <c:v>0.56770833333333326</c:v>
                </c:pt>
                <c:pt idx="15">
                  <c:v>0.46813725490196079</c:v>
                </c:pt>
                <c:pt idx="16">
                  <c:v>0.55208333333333337</c:v>
                </c:pt>
                <c:pt idx="17">
                  <c:v>0.54166666666666663</c:v>
                </c:pt>
                <c:pt idx="18">
                  <c:v>0.57812500000000011</c:v>
                </c:pt>
                <c:pt idx="19">
                  <c:v>0.47135416666666669</c:v>
                </c:pt>
                <c:pt idx="22">
                  <c:v>0.31510416666666663</c:v>
                </c:pt>
                <c:pt idx="23">
                  <c:v>0.46614583333333331</c:v>
                </c:pt>
                <c:pt idx="24">
                  <c:v>0.33854166666666669</c:v>
                </c:pt>
                <c:pt idx="25">
                  <c:v>0.29166666666666663</c:v>
                </c:pt>
                <c:pt idx="26">
                  <c:v>0.19531249999999997</c:v>
                </c:pt>
                <c:pt idx="29">
                  <c:v>0.546875</c:v>
                </c:pt>
                <c:pt idx="31">
                  <c:v>0.31424291938997817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9E-443E-A496-FC3E259D4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79E-443E-A496-FC3E259D4D0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9E-443E-A496-FC3E259D4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BASE</c:v>
                </c:pt>
                <c:pt idx="5">
                  <c:v>ADAPTER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FLOATING</c:v>
                </c:pt>
                <c:pt idx="12">
                  <c:v>BOTTOM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'05'!$L$6:$L$21</c:f>
              <c:numCache>
                <c:formatCode>_(* #,##0_);_(* \(#,##0\);_(* "-"_);_(@_)</c:formatCode>
                <c:ptCount val="16"/>
                <c:pt idx="0">
                  <c:v>645</c:v>
                </c:pt>
                <c:pt idx="1">
                  <c:v>4913</c:v>
                </c:pt>
                <c:pt idx="2">
                  <c:v>14994</c:v>
                </c:pt>
                <c:pt idx="3">
                  <c:v>9814</c:v>
                </c:pt>
                <c:pt idx="4">
                  <c:v>14968</c:v>
                </c:pt>
                <c:pt idx="6">
                  <c:v>4100</c:v>
                </c:pt>
                <c:pt idx="7">
                  <c:v>269</c:v>
                </c:pt>
                <c:pt idx="10">
                  <c:v>6138</c:v>
                </c:pt>
                <c:pt idx="12">
                  <c:v>5888</c:v>
                </c:pt>
                <c:pt idx="13">
                  <c:v>2054</c:v>
                </c:pt>
                <c:pt idx="14">
                  <c:v>5568</c:v>
                </c:pt>
                <c:pt idx="15">
                  <c:v>34840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AD-416B-A72B-0499C5FFDDDE}"/>
            </c:ext>
          </c:extLst>
        </c:ser>
        <c:ser>
          <c:idx val="1"/>
          <c:order val="1"/>
          <c:tx>
            <c:v>계획</c:v>
          </c:tx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BASE</c:v>
                </c:pt>
                <c:pt idx="5">
                  <c:v>ADAPTER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FLOATING</c:v>
                </c:pt>
                <c:pt idx="12">
                  <c:v>BOTTOM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'05'!$J$6:$J$21</c:f>
              <c:numCache>
                <c:formatCode>_(* #,##0_);_(* \(#,##0\);_(* "-"_);_(@_)</c:formatCode>
                <c:ptCount val="16"/>
                <c:pt idx="0">
                  <c:v>645</c:v>
                </c:pt>
                <c:pt idx="1">
                  <c:v>4913</c:v>
                </c:pt>
                <c:pt idx="2">
                  <c:v>14994</c:v>
                </c:pt>
                <c:pt idx="3">
                  <c:v>9814</c:v>
                </c:pt>
                <c:pt idx="4">
                  <c:v>14968</c:v>
                </c:pt>
                <c:pt idx="5">
                  <c:v>1247</c:v>
                </c:pt>
                <c:pt idx="6">
                  <c:v>4100</c:v>
                </c:pt>
                <c:pt idx="7">
                  <c:v>269</c:v>
                </c:pt>
                <c:pt idx="9">
                  <c:v>5214</c:v>
                </c:pt>
                <c:pt idx="10">
                  <c:v>6138</c:v>
                </c:pt>
                <c:pt idx="11">
                  <c:v>1178</c:v>
                </c:pt>
                <c:pt idx="12">
                  <c:v>5888</c:v>
                </c:pt>
                <c:pt idx="13">
                  <c:v>2054</c:v>
                </c:pt>
                <c:pt idx="14">
                  <c:v>5568</c:v>
                </c:pt>
                <c:pt idx="15">
                  <c:v>34840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AD-416B-A72B-0499C5FFD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'05'!$AD$6:$AD$21</c:f>
              <c:strCache>
                <c:ptCount val="16"/>
                <c:pt idx="0">
                  <c:v>17%</c:v>
                </c:pt>
                <c:pt idx="1">
                  <c:v>96%</c:v>
                </c:pt>
                <c:pt idx="2">
                  <c:v>100%</c:v>
                </c:pt>
                <c:pt idx="3">
                  <c:v>92%</c:v>
                </c:pt>
                <c:pt idx="4">
                  <c:v>92%</c:v>
                </c:pt>
                <c:pt idx="5">
                  <c:v>0%</c:v>
                </c:pt>
                <c:pt idx="6">
                  <c:v>83%</c:v>
                </c:pt>
                <c:pt idx="7">
                  <c:v>13%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38%</c:v>
                </c:pt>
                <c:pt idx="14">
                  <c:v>100%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BASE</c:v>
                </c:pt>
                <c:pt idx="5">
                  <c:v>ADAPTER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FLOATING</c:v>
                </c:pt>
                <c:pt idx="12">
                  <c:v>BOTTOM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'05'!$AD$6:$AD$21</c:f>
              <c:numCache>
                <c:formatCode>0%</c:formatCode>
                <c:ptCount val="16"/>
                <c:pt idx="0">
                  <c:v>0.16666666666666666</c:v>
                </c:pt>
                <c:pt idx="1">
                  <c:v>0.95833333333333337</c:v>
                </c:pt>
                <c:pt idx="2">
                  <c:v>1</c:v>
                </c:pt>
                <c:pt idx="3">
                  <c:v>0.91666666666666663</c:v>
                </c:pt>
                <c:pt idx="4">
                  <c:v>0.91666666666666663</c:v>
                </c:pt>
                <c:pt idx="5">
                  <c:v>0</c:v>
                </c:pt>
                <c:pt idx="6">
                  <c:v>0.83333333333333337</c:v>
                </c:pt>
                <c:pt idx="7">
                  <c:v>0.125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0.375</c:v>
                </c:pt>
                <c:pt idx="14">
                  <c:v>1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4A-4D56-B338-12803F1636D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94A-4D56-B338-12803F1636D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BASE</c:v>
                </c:pt>
                <c:pt idx="5">
                  <c:v>ADAPTER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FLOATING</c:v>
                </c:pt>
                <c:pt idx="12">
                  <c:v>BOTTOM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'05'!$AE$6:$AE$21</c:f>
              <c:numCache>
                <c:formatCode>0%</c:formatCode>
                <c:ptCount val="16"/>
                <c:pt idx="0">
                  <c:v>0.546875</c:v>
                </c:pt>
                <c:pt idx="1">
                  <c:v>0.546875</c:v>
                </c:pt>
                <c:pt idx="2">
                  <c:v>0.546875</c:v>
                </c:pt>
                <c:pt idx="3">
                  <c:v>0.546875</c:v>
                </c:pt>
                <c:pt idx="4">
                  <c:v>0.546875</c:v>
                </c:pt>
                <c:pt idx="5">
                  <c:v>0.546875</c:v>
                </c:pt>
                <c:pt idx="6">
                  <c:v>0.546875</c:v>
                </c:pt>
                <c:pt idx="7">
                  <c:v>0.546875</c:v>
                </c:pt>
                <c:pt idx="8">
                  <c:v>0.546875</c:v>
                </c:pt>
                <c:pt idx="9">
                  <c:v>0.546875</c:v>
                </c:pt>
                <c:pt idx="10">
                  <c:v>0.546875</c:v>
                </c:pt>
                <c:pt idx="11">
                  <c:v>0.546875</c:v>
                </c:pt>
                <c:pt idx="12">
                  <c:v>0.546875</c:v>
                </c:pt>
                <c:pt idx="13">
                  <c:v>0.546875</c:v>
                </c:pt>
                <c:pt idx="14">
                  <c:v>0.546875</c:v>
                </c:pt>
                <c:pt idx="15">
                  <c:v>0.546875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4A-4D56-B338-12803F163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BASE</c:v>
                </c:pt>
                <c:pt idx="5">
                  <c:v>ADAPTER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FLOATING</c:v>
                </c:pt>
                <c:pt idx="12">
                  <c:v>BOTTOM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'05'!$L$6:$L$21</c:f>
              <c:numCache>
                <c:formatCode>_(* #,##0_);_(* \(#,##0\);_(* "-"_);_(@_)</c:formatCode>
                <c:ptCount val="16"/>
                <c:pt idx="0">
                  <c:v>645</c:v>
                </c:pt>
                <c:pt idx="1">
                  <c:v>4913</c:v>
                </c:pt>
                <c:pt idx="2">
                  <c:v>14994</c:v>
                </c:pt>
                <c:pt idx="3">
                  <c:v>9814</c:v>
                </c:pt>
                <c:pt idx="4">
                  <c:v>14968</c:v>
                </c:pt>
                <c:pt idx="6">
                  <c:v>4100</c:v>
                </c:pt>
                <c:pt idx="7">
                  <c:v>269</c:v>
                </c:pt>
                <c:pt idx="10">
                  <c:v>6138</c:v>
                </c:pt>
                <c:pt idx="12">
                  <c:v>5888</c:v>
                </c:pt>
                <c:pt idx="13">
                  <c:v>2054</c:v>
                </c:pt>
                <c:pt idx="14">
                  <c:v>5568</c:v>
                </c:pt>
                <c:pt idx="15">
                  <c:v>34840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02-4372-83EA-C0277EBFEAD4}"/>
            </c:ext>
          </c:extLst>
        </c:ser>
        <c:ser>
          <c:idx val="1"/>
          <c:order val="1"/>
          <c:tx>
            <c:v>계획</c:v>
          </c:tx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BASE</c:v>
                </c:pt>
                <c:pt idx="5">
                  <c:v>ADAPTER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FLOATING</c:v>
                </c:pt>
                <c:pt idx="12">
                  <c:v>BOTTOM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'05'!$J$6:$J$21</c:f>
              <c:numCache>
                <c:formatCode>_(* #,##0_);_(* \(#,##0\);_(* "-"_);_(@_)</c:formatCode>
                <c:ptCount val="16"/>
                <c:pt idx="0">
                  <c:v>645</c:v>
                </c:pt>
                <c:pt idx="1">
                  <c:v>4913</c:v>
                </c:pt>
                <c:pt idx="2">
                  <c:v>14994</c:v>
                </c:pt>
                <c:pt idx="3">
                  <c:v>9814</c:v>
                </c:pt>
                <c:pt idx="4">
                  <c:v>14968</c:v>
                </c:pt>
                <c:pt idx="5">
                  <c:v>1247</c:v>
                </c:pt>
                <c:pt idx="6">
                  <c:v>4100</c:v>
                </c:pt>
                <c:pt idx="7">
                  <c:v>269</c:v>
                </c:pt>
                <c:pt idx="9">
                  <c:v>5214</c:v>
                </c:pt>
                <c:pt idx="10">
                  <c:v>6138</c:v>
                </c:pt>
                <c:pt idx="11">
                  <c:v>1178</c:v>
                </c:pt>
                <c:pt idx="12">
                  <c:v>5888</c:v>
                </c:pt>
                <c:pt idx="13">
                  <c:v>2054</c:v>
                </c:pt>
                <c:pt idx="14">
                  <c:v>5568</c:v>
                </c:pt>
                <c:pt idx="15">
                  <c:v>34840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02-4372-83EA-C0277EBFE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'05'!$AD$6:$AD$21</c:f>
              <c:strCache>
                <c:ptCount val="16"/>
                <c:pt idx="0">
                  <c:v>17%</c:v>
                </c:pt>
                <c:pt idx="1">
                  <c:v>96%</c:v>
                </c:pt>
                <c:pt idx="2">
                  <c:v>100%</c:v>
                </c:pt>
                <c:pt idx="3">
                  <c:v>92%</c:v>
                </c:pt>
                <c:pt idx="4">
                  <c:v>92%</c:v>
                </c:pt>
                <c:pt idx="5">
                  <c:v>0%</c:v>
                </c:pt>
                <c:pt idx="6">
                  <c:v>83%</c:v>
                </c:pt>
                <c:pt idx="7">
                  <c:v>13%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38%</c:v>
                </c:pt>
                <c:pt idx="14">
                  <c:v>100%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BASE</c:v>
                </c:pt>
                <c:pt idx="5">
                  <c:v>ADAPTER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FLOATING</c:v>
                </c:pt>
                <c:pt idx="12">
                  <c:v>BOTTOM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'05'!$AD$6:$AD$21</c:f>
              <c:numCache>
                <c:formatCode>0%</c:formatCode>
                <c:ptCount val="16"/>
                <c:pt idx="0">
                  <c:v>0.16666666666666666</c:v>
                </c:pt>
                <c:pt idx="1">
                  <c:v>0.95833333333333337</c:v>
                </c:pt>
                <c:pt idx="2">
                  <c:v>1</c:v>
                </c:pt>
                <c:pt idx="3">
                  <c:v>0.91666666666666663</c:v>
                </c:pt>
                <c:pt idx="4">
                  <c:v>0.91666666666666663</c:v>
                </c:pt>
                <c:pt idx="5">
                  <c:v>0</c:v>
                </c:pt>
                <c:pt idx="6">
                  <c:v>0.83333333333333337</c:v>
                </c:pt>
                <c:pt idx="7">
                  <c:v>0.125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0.375</c:v>
                </c:pt>
                <c:pt idx="14">
                  <c:v>1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C8-4E28-917F-A3EFD2D72B6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5C8-4E28-917F-A3EFD2D72B6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BASE</c:v>
                </c:pt>
                <c:pt idx="5">
                  <c:v>ADAPTER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FLOATING</c:v>
                </c:pt>
                <c:pt idx="12">
                  <c:v>BOTTOM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'05'!$AE$6:$AE$21</c:f>
              <c:numCache>
                <c:formatCode>0%</c:formatCode>
                <c:ptCount val="16"/>
                <c:pt idx="0">
                  <c:v>0.546875</c:v>
                </c:pt>
                <c:pt idx="1">
                  <c:v>0.546875</c:v>
                </c:pt>
                <c:pt idx="2">
                  <c:v>0.546875</c:v>
                </c:pt>
                <c:pt idx="3">
                  <c:v>0.546875</c:v>
                </c:pt>
                <c:pt idx="4">
                  <c:v>0.546875</c:v>
                </c:pt>
                <c:pt idx="5">
                  <c:v>0.546875</c:v>
                </c:pt>
                <c:pt idx="6">
                  <c:v>0.546875</c:v>
                </c:pt>
                <c:pt idx="7">
                  <c:v>0.546875</c:v>
                </c:pt>
                <c:pt idx="8">
                  <c:v>0.546875</c:v>
                </c:pt>
                <c:pt idx="9">
                  <c:v>0.546875</c:v>
                </c:pt>
                <c:pt idx="10">
                  <c:v>0.546875</c:v>
                </c:pt>
                <c:pt idx="11">
                  <c:v>0.546875</c:v>
                </c:pt>
                <c:pt idx="12">
                  <c:v>0.546875</c:v>
                </c:pt>
                <c:pt idx="13">
                  <c:v>0.546875</c:v>
                </c:pt>
                <c:pt idx="14">
                  <c:v>0.546875</c:v>
                </c:pt>
                <c:pt idx="15">
                  <c:v>0.546875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C8-4E28-917F-A3EFD2D72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0A8-408A-BE79-C594428A8D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0.4140625</c:v>
                </c:pt>
                <c:pt idx="2">
                  <c:v>0.40277777777777779</c:v>
                </c:pt>
                <c:pt idx="3">
                  <c:v>0.46813725490196079</c:v>
                </c:pt>
                <c:pt idx="4">
                  <c:v>0.546875</c:v>
                </c:pt>
                <c:pt idx="5">
                  <c:v>0.54656862745098045</c:v>
                </c:pt>
                <c:pt idx="7">
                  <c:v>2.34375E-2</c:v>
                </c:pt>
                <c:pt idx="8">
                  <c:v>0.5546875</c:v>
                </c:pt>
                <c:pt idx="9">
                  <c:v>0.49218750000000006</c:v>
                </c:pt>
                <c:pt idx="10">
                  <c:v>0.64583333333333326</c:v>
                </c:pt>
                <c:pt idx="11">
                  <c:v>0.56770833333333326</c:v>
                </c:pt>
                <c:pt idx="15">
                  <c:v>0.46813725490196079</c:v>
                </c:pt>
                <c:pt idx="16">
                  <c:v>0.55208333333333337</c:v>
                </c:pt>
                <c:pt idx="17">
                  <c:v>0.54166666666666663</c:v>
                </c:pt>
                <c:pt idx="18">
                  <c:v>0.57812500000000011</c:v>
                </c:pt>
                <c:pt idx="19">
                  <c:v>0.47135416666666669</c:v>
                </c:pt>
                <c:pt idx="22">
                  <c:v>0.31510416666666663</c:v>
                </c:pt>
                <c:pt idx="23">
                  <c:v>0.46614583333333331</c:v>
                </c:pt>
                <c:pt idx="24">
                  <c:v>0.33854166666666669</c:v>
                </c:pt>
                <c:pt idx="25">
                  <c:v>0.29166666666666663</c:v>
                </c:pt>
                <c:pt idx="26">
                  <c:v>0.19531249999999997</c:v>
                </c:pt>
                <c:pt idx="29">
                  <c:v>0.546875</c:v>
                </c:pt>
                <c:pt idx="31">
                  <c:v>0.31424291938997817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A8-408A-BE79-C594428A8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0A8-408A-BE79-C594428A8D9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A8-408A-BE79-C594428A8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SLIDER</c:v>
                </c:pt>
                <c:pt idx="12">
                  <c:v>SAM</c:v>
                </c:pt>
                <c:pt idx="13">
                  <c:v>BOTTOM</c:v>
                </c:pt>
                <c:pt idx="14">
                  <c:v>ADAPTER</c:v>
                </c:pt>
                <c:pt idx="15">
                  <c:v>BASE</c:v>
                </c:pt>
              </c:strCache>
            </c:strRef>
          </c:cat>
          <c:val>
            <c:numRef>
              <c:f>'06'!$L$6:$L$22</c:f>
              <c:numCache>
                <c:formatCode>_(* #,##0_);_(* \(#,##0\);_(* "-"_);_(@_)</c:formatCode>
                <c:ptCount val="17"/>
                <c:pt idx="1">
                  <c:v>5878</c:v>
                </c:pt>
                <c:pt idx="2">
                  <c:v>3314</c:v>
                </c:pt>
                <c:pt idx="3">
                  <c:v>10270</c:v>
                </c:pt>
                <c:pt idx="4">
                  <c:v>3366</c:v>
                </c:pt>
                <c:pt idx="5">
                  <c:v>49500</c:v>
                </c:pt>
                <c:pt idx="6">
                  <c:v>5014</c:v>
                </c:pt>
                <c:pt idx="7">
                  <c:v>4652</c:v>
                </c:pt>
                <c:pt idx="10">
                  <c:v>5924</c:v>
                </c:pt>
                <c:pt idx="11">
                  <c:v>3144</c:v>
                </c:pt>
                <c:pt idx="12">
                  <c:v>2580</c:v>
                </c:pt>
                <c:pt idx="13">
                  <c:v>4029</c:v>
                </c:pt>
                <c:pt idx="15">
                  <c:v>5347</c:v>
                </c:pt>
                <c:pt idx="16">
                  <c:v>28200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3C-43E7-997A-3A2088B89899}"/>
            </c:ext>
          </c:extLst>
        </c:ser>
        <c:ser>
          <c:idx val="1"/>
          <c:order val="1"/>
          <c:tx>
            <c:v>계획</c:v>
          </c:tx>
          <c:cat>
            <c:strRef>
              <c:f>'06'!$D$6:$D$22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SLIDER</c:v>
                </c:pt>
                <c:pt idx="12">
                  <c:v>SAM</c:v>
                </c:pt>
                <c:pt idx="13">
                  <c:v>BOTTOM</c:v>
                </c:pt>
                <c:pt idx="14">
                  <c:v>ADAPTER</c:v>
                </c:pt>
                <c:pt idx="15">
                  <c:v>BASE</c:v>
                </c:pt>
              </c:strCache>
            </c:strRef>
          </c:cat>
          <c:val>
            <c:numRef>
              <c:f>'06'!$J$6:$J$22</c:f>
              <c:numCache>
                <c:formatCode>_(* #,##0_);_(* \(#,##0\);_(* "-"_);_(@_)</c:formatCode>
                <c:ptCount val="17"/>
                <c:pt idx="0">
                  <c:v>645</c:v>
                </c:pt>
                <c:pt idx="1">
                  <c:v>5878</c:v>
                </c:pt>
                <c:pt idx="2">
                  <c:v>3314</c:v>
                </c:pt>
                <c:pt idx="3">
                  <c:v>10270</c:v>
                </c:pt>
                <c:pt idx="4">
                  <c:v>3366</c:v>
                </c:pt>
                <c:pt idx="5">
                  <c:v>49500</c:v>
                </c:pt>
                <c:pt idx="6">
                  <c:v>5014</c:v>
                </c:pt>
                <c:pt idx="7">
                  <c:v>4652</c:v>
                </c:pt>
                <c:pt idx="9">
                  <c:v>5214</c:v>
                </c:pt>
                <c:pt idx="10">
                  <c:v>5924</c:v>
                </c:pt>
                <c:pt idx="11">
                  <c:v>3144</c:v>
                </c:pt>
                <c:pt idx="12">
                  <c:v>2580</c:v>
                </c:pt>
                <c:pt idx="13">
                  <c:v>4029</c:v>
                </c:pt>
                <c:pt idx="14">
                  <c:v>2054</c:v>
                </c:pt>
                <c:pt idx="15">
                  <c:v>5347</c:v>
                </c:pt>
                <c:pt idx="16">
                  <c:v>28200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3C-43E7-997A-3A2088B89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'06'!$AD$6:$AD$22</c:f>
              <c:strCache>
                <c:ptCount val="17"/>
                <c:pt idx="0">
                  <c:v>0%</c:v>
                </c:pt>
                <c:pt idx="1">
                  <c:v>100%</c:v>
                </c:pt>
                <c:pt idx="2">
                  <c:v>33%</c:v>
                </c:pt>
                <c:pt idx="3">
                  <c:v>100%</c:v>
                </c:pt>
                <c:pt idx="4">
                  <c:v>33%</c:v>
                </c:pt>
                <c:pt idx="5">
                  <c:v>79%</c:v>
                </c:pt>
                <c:pt idx="6">
                  <c:v>100%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17%</c:v>
                </c:pt>
                <c:pt idx="12">
                  <c:v>67%</c:v>
                </c:pt>
                <c:pt idx="13">
                  <c:v>75%</c:v>
                </c:pt>
                <c:pt idx="14">
                  <c:v>0%</c:v>
                </c:pt>
                <c:pt idx="15">
                  <c:v>92%</c:v>
                </c:pt>
                <c:pt idx="16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SLIDER</c:v>
                </c:pt>
                <c:pt idx="12">
                  <c:v>SAM</c:v>
                </c:pt>
                <c:pt idx="13">
                  <c:v>BOTTOM</c:v>
                </c:pt>
                <c:pt idx="14">
                  <c:v>ADAPTER</c:v>
                </c:pt>
                <c:pt idx="15">
                  <c:v>BASE</c:v>
                </c:pt>
              </c:strCache>
            </c:strRef>
          </c:cat>
          <c:val>
            <c:numRef>
              <c:f>'06'!$AD$6:$AD$22</c:f>
              <c:numCache>
                <c:formatCode>0%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0.33333333333333331</c:v>
                </c:pt>
                <c:pt idx="3">
                  <c:v>1</c:v>
                </c:pt>
                <c:pt idx="4">
                  <c:v>0.33333333333333331</c:v>
                </c:pt>
                <c:pt idx="5">
                  <c:v>0.79166666666666663</c:v>
                </c:pt>
                <c:pt idx="6">
                  <c:v>1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0.16666666666666666</c:v>
                </c:pt>
                <c:pt idx="12">
                  <c:v>0.66666666666666663</c:v>
                </c:pt>
                <c:pt idx="13">
                  <c:v>0.75</c:v>
                </c:pt>
                <c:pt idx="14">
                  <c:v>0</c:v>
                </c:pt>
                <c:pt idx="15">
                  <c:v>0.91666666666666663</c:v>
                </c:pt>
                <c:pt idx="16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A4-499B-9E21-33E22046A98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AA4-499B-9E21-33E22046A98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SLIDER</c:v>
                </c:pt>
                <c:pt idx="12">
                  <c:v>SAM</c:v>
                </c:pt>
                <c:pt idx="13">
                  <c:v>BOTTOM</c:v>
                </c:pt>
                <c:pt idx="14">
                  <c:v>ADAPTER</c:v>
                </c:pt>
                <c:pt idx="15">
                  <c:v>BASE</c:v>
                </c:pt>
              </c:strCache>
            </c:strRef>
          </c:cat>
          <c:val>
            <c:numRef>
              <c:f>'06'!$AE$6:$AE$22</c:f>
              <c:numCache>
                <c:formatCode>0%</c:formatCode>
                <c:ptCount val="17"/>
                <c:pt idx="0">
                  <c:v>0.54656862745098045</c:v>
                </c:pt>
                <c:pt idx="1">
                  <c:v>0.54656862745098045</c:v>
                </c:pt>
                <c:pt idx="2">
                  <c:v>0.54656862745098045</c:v>
                </c:pt>
                <c:pt idx="3">
                  <c:v>0.54656862745098045</c:v>
                </c:pt>
                <c:pt idx="4">
                  <c:v>0.54656862745098045</c:v>
                </c:pt>
                <c:pt idx="5">
                  <c:v>0.54656862745098045</c:v>
                </c:pt>
                <c:pt idx="6">
                  <c:v>0.54656862745098045</c:v>
                </c:pt>
                <c:pt idx="7">
                  <c:v>0.54656862745098045</c:v>
                </c:pt>
                <c:pt idx="8">
                  <c:v>0.54656862745098045</c:v>
                </c:pt>
                <c:pt idx="9">
                  <c:v>0.54656862745098045</c:v>
                </c:pt>
                <c:pt idx="10">
                  <c:v>0.54656862745098045</c:v>
                </c:pt>
                <c:pt idx="11">
                  <c:v>0.54656862745098045</c:v>
                </c:pt>
                <c:pt idx="12">
                  <c:v>0.54656862745098045</c:v>
                </c:pt>
                <c:pt idx="13">
                  <c:v>0.54656862745098045</c:v>
                </c:pt>
                <c:pt idx="14">
                  <c:v>0.54656862745098045</c:v>
                </c:pt>
                <c:pt idx="15">
                  <c:v>0.54656862745098045</c:v>
                </c:pt>
                <c:pt idx="16">
                  <c:v>0.54656862745098045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A4-499B-9E21-33E22046A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SLIDER</c:v>
                </c:pt>
                <c:pt idx="12">
                  <c:v>SAM</c:v>
                </c:pt>
                <c:pt idx="13">
                  <c:v>BOTTOM</c:v>
                </c:pt>
                <c:pt idx="14">
                  <c:v>ADAPTER</c:v>
                </c:pt>
                <c:pt idx="15">
                  <c:v>BASE</c:v>
                </c:pt>
              </c:strCache>
            </c:strRef>
          </c:cat>
          <c:val>
            <c:numRef>
              <c:f>'06'!$L$6:$L$22</c:f>
              <c:numCache>
                <c:formatCode>_(* #,##0_);_(* \(#,##0\);_(* "-"_);_(@_)</c:formatCode>
                <c:ptCount val="17"/>
                <c:pt idx="1">
                  <c:v>5878</c:v>
                </c:pt>
                <c:pt idx="2">
                  <c:v>3314</c:v>
                </c:pt>
                <c:pt idx="3">
                  <c:v>10270</c:v>
                </c:pt>
                <c:pt idx="4">
                  <c:v>3366</c:v>
                </c:pt>
                <c:pt idx="5">
                  <c:v>49500</c:v>
                </c:pt>
                <c:pt idx="6">
                  <c:v>5014</c:v>
                </c:pt>
                <c:pt idx="7">
                  <c:v>4652</c:v>
                </c:pt>
                <c:pt idx="10">
                  <c:v>5924</c:v>
                </c:pt>
                <c:pt idx="11">
                  <c:v>3144</c:v>
                </c:pt>
                <c:pt idx="12">
                  <c:v>2580</c:v>
                </c:pt>
                <c:pt idx="13">
                  <c:v>4029</c:v>
                </c:pt>
                <c:pt idx="15">
                  <c:v>5347</c:v>
                </c:pt>
                <c:pt idx="16">
                  <c:v>28200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63-4F77-A9E1-3884CAFBF811}"/>
            </c:ext>
          </c:extLst>
        </c:ser>
        <c:ser>
          <c:idx val="1"/>
          <c:order val="1"/>
          <c:tx>
            <c:v>계획</c:v>
          </c:tx>
          <c:cat>
            <c:strRef>
              <c:f>'06'!$D$6:$D$22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SLIDER</c:v>
                </c:pt>
                <c:pt idx="12">
                  <c:v>SAM</c:v>
                </c:pt>
                <c:pt idx="13">
                  <c:v>BOTTOM</c:v>
                </c:pt>
                <c:pt idx="14">
                  <c:v>ADAPTER</c:v>
                </c:pt>
                <c:pt idx="15">
                  <c:v>BASE</c:v>
                </c:pt>
              </c:strCache>
            </c:strRef>
          </c:cat>
          <c:val>
            <c:numRef>
              <c:f>'06'!$J$6:$J$22</c:f>
              <c:numCache>
                <c:formatCode>_(* #,##0_);_(* \(#,##0\);_(* "-"_);_(@_)</c:formatCode>
                <c:ptCount val="17"/>
                <c:pt idx="0">
                  <c:v>645</c:v>
                </c:pt>
                <c:pt idx="1">
                  <c:v>5878</c:v>
                </c:pt>
                <c:pt idx="2">
                  <c:v>3314</c:v>
                </c:pt>
                <c:pt idx="3">
                  <c:v>10270</c:v>
                </c:pt>
                <c:pt idx="4">
                  <c:v>3366</c:v>
                </c:pt>
                <c:pt idx="5">
                  <c:v>49500</c:v>
                </c:pt>
                <c:pt idx="6">
                  <c:v>5014</c:v>
                </c:pt>
                <c:pt idx="7">
                  <c:v>4652</c:v>
                </c:pt>
                <c:pt idx="9">
                  <c:v>5214</c:v>
                </c:pt>
                <c:pt idx="10">
                  <c:v>5924</c:v>
                </c:pt>
                <c:pt idx="11">
                  <c:v>3144</c:v>
                </c:pt>
                <c:pt idx="12">
                  <c:v>2580</c:v>
                </c:pt>
                <c:pt idx="13">
                  <c:v>4029</c:v>
                </c:pt>
                <c:pt idx="14">
                  <c:v>2054</c:v>
                </c:pt>
                <c:pt idx="15">
                  <c:v>5347</c:v>
                </c:pt>
                <c:pt idx="16">
                  <c:v>28200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63-4F77-A9E1-3884CAFBF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'06'!$AD$6:$AD$22</c:f>
              <c:strCache>
                <c:ptCount val="17"/>
                <c:pt idx="0">
                  <c:v>0%</c:v>
                </c:pt>
                <c:pt idx="1">
                  <c:v>100%</c:v>
                </c:pt>
                <c:pt idx="2">
                  <c:v>33%</c:v>
                </c:pt>
                <c:pt idx="3">
                  <c:v>100%</c:v>
                </c:pt>
                <c:pt idx="4">
                  <c:v>33%</c:v>
                </c:pt>
                <c:pt idx="5">
                  <c:v>79%</c:v>
                </c:pt>
                <c:pt idx="6">
                  <c:v>100%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17%</c:v>
                </c:pt>
                <c:pt idx="12">
                  <c:v>67%</c:v>
                </c:pt>
                <c:pt idx="13">
                  <c:v>75%</c:v>
                </c:pt>
                <c:pt idx="14">
                  <c:v>0%</c:v>
                </c:pt>
                <c:pt idx="15">
                  <c:v>92%</c:v>
                </c:pt>
                <c:pt idx="16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SLIDER</c:v>
                </c:pt>
                <c:pt idx="12">
                  <c:v>SAM</c:v>
                </c:pt>
                <c:pt idx="13">
                  <c:v>BOTTOM</c:v>
                </c:pt>
                <c:pt idx="14">
                  <c:v>ADAPTER</c:v>
                </c:pt>
                <c:pt idx="15">
                  <c:v>BASE</c:v>
                </c:pt>
              </c:strCache>
            </c:strRef>
          </c:cat>
          <c:val>
            <c:numRef>
              <c:f>'06'!$AD$6:$AD$22</c:f>
              <c:numCache>
                <c:formatCode>0%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0.33333333333333331</c:v>
                </c:pt>
                <c:pt idx="3">
                  <c:v>1</c:v>
                </c:pt>
                <c:pt idx="4">
                  <c:v>0.33333333333333331</c:v>
                </c:pt>
                <c:pt idx="5">
                  <c:v>0.79166666666666663</c:v>
                </c:pt>
                <c:pt idx="6">
                  <c:v>1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0.16666666666666666</c:v>
                </c:pt>
                <c:pt idx="12">
                  <c:v>0.66666666666666663</c:v>
                </c:pt>
                <c:pt idx="13">
                  <c:v>0.75</c:v>
                </c:pt>
                <c:pt idx="14">
                  <c:v>0</c:v>
                </c:pt>
                <c:pt idx="15">
                  <c:v>0.91666666666666663</c:v>
                </c:pt>
                <c:pt idx="16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79-43CD-84D2-BFB816E6FBC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79-43CD-84D2-BFB816E6FBC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'06'!$D$6:$D$22</c:f>
              <c:strCache>
                <c:ptCount val="16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SLIDER</c:v>
                </c:pt>
                <c:pt idx="12">
                  <c:v>SAM</c:v>
                </c:pt>
                <c:pt idx="13">
                  <c:v>BOTTOM</c:v>
                </c:pt>
                <c:pt idx="14">
                  <c:v>ADAPTER</c:v>
                </c:pt>
                <c:pt idx="15">
                  <c:v>BASE</c:v>
                </c:pt>
              </c:strCache>
            </c:strRef>
          </c:cat>
          <c:val>
            <c:numRef>
              <c:f>'06'!$AE$6:$AE$22</c:f>
              <c:numCache>
                <c:formatCode>0%</c:formatCode>
                <c:ptCount val="17"/>
                <c:pt idx="0">
                  <c:v>0.54656862745098045</c:v>
                </c:pt>
                <c:pt idx="1">
                  <c:v>0.54656862745098045</c:v>
                </c:pt>
                <c:pt idx="2">
                  <c:v>0.54656862745098045</c:v>
                </c:pt>
                <c:pt idx="3">
                  <c:v>0.54656862745098045</c:v>
                </c:pt>
                <c:pt idx="4">
                  <c:v>0.54656862745098045</c:v>
                </c:pt>
                <c:pt idx="5">
                  <c:v>0.54656862745098045</c:v>
                </c:pt>
                <c:pt idx="6">
                  <c:v>0.54656862745098045</c:v>
                </c:pt>
                <c:pt idx="7">
                  <c:v>0.54656862745098045</c:v>
                </c:pt>
                <c:pt idx="8">
                  <c:v>0.54656862745098045</c:v>
                </c:pt>
                <c:pt idx="9">
                  <c:v>0.54656862745098045</c:v>
                </c:pt>
                <c:pt idx="10">
                  <c:v>0.54656862745098045</c:v>
                </c:pt>
                <c:pt idx="11">
                  <c:v>0.54656862745098045</c:v>
                </c:pt>
                <c:pt idx="12">
                  <c:v>0.54656862745098045</c:v>
                </c:pt>
                <c:pt idx="13">
                  <c:v>0.54656862745098045</c:v>
                </c:pt>
                <c:pt idx="14">
                  <c:v>0.54656862745098045</c:v>
                </c:pt>
                <c:pt idx="15">
                  <c:v>0.54656862745098045</c:v>
                </c:pt>
                <c:pt idx="16">
                  <c:v>0.54656862745098045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79-43CD-84D2-BFB816E6F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198-489E-8B15-273677E4E6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0.4140625</c:v>
                </c:pt>
                <c:pt idx="2">
                  <c:v>0.40277777777777779</c:v>
                </c:pt>
                <c:pt idx="3">
                  <c:v>0.46813725490196079</c:v>
                </c:pt>
                <c:pt idx="4">
                  <c:v>0.546875</c:v>
                </c:pt>
                <c:pt idx="5">
                  <c:v>0.54656862745098045</c:v>
                </c:pt>
                <c:pt idx="7">
                  <c:v>2.34375E-2</c:v>
                </c:pt>
                <c:pt idx="8">
                  <c:v>0.5546875</c:v>
                </c:pt>
                <c:pt idx="9">
                  <c:v>0.49218750000000006</c:v>
                </c:pt>
                <c:pt idx="10">
                  <c:v>0.64583333333333326</c:v>
                </c:pt>
                <c:pt idx="11">
                  <c:v>0.56770833333333326</c:v>
                </c:pt>
                <c:pt idx="15">
                  <c:v>0.46813725490196079</c:v>
                </c:pt>
                <c:pt idx="16">
                  <c:v>0.55208333333333337</c:v>
                </c:pt>
                <c:pt idx="17">
                  <c:v>0.54166666666666663</c:v>
                </c:pt>
                <c:pt idx="18">
                  <c:v>0.57812500000000011</c:v>
                </c:pt>
                <c:pt idx="19">
                  <c:v>0.47135416666666669</c:v>
                </c:pt>
                <c:pt idx="22">
                  <c:v>0.31510416666666663</c:v>
                </c:pt>
                <c:pt idx="23">
                  <c:v>0.46614583333333331</c:v>
                </c:pt>
                <c:pt idx="24">
                  <c:v>0.33854166666666669</c:v>
                </c:pt>
                <c:pt idx="25">
                  <c:v>0.29166666666666663</c:v>
                </c:pt>
                <c:pt idx="26">
                  <c:v>0.19531249999999997</c:v>
                </c:pt>
                <c:pt idx="29">
                  <c:v>0.546875</c:v>
                </c:pt>
                <c:pt idx="31">
                  <c:v>0.31424291938997817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98-489E-8B15-273677E4E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198-489E-8B15-273677E4E67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98-489E-8B15-273677E4E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SAM</c:v>
                </c:pt>
                <c:pt idx="12">
                  <c:v>BOTTOM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'08'!$L$6:$L$21</c:f>
              <c:numCache>
                <c:formatCode>_(* #,##0_);_(* \(#,##0\);_(* "-"_);_(@_)</c:formatCode>
                <c:ptCount val="16"/>
                <c:pt idx="0">
                  <c:v>1764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3C-4C6B-BD2C-166E30FB2BCD}"/>
            </c:ext>
          </c:extLst>
        </c:ser>
        <c:ser>
          <c:idx val="1"/>
          <c:order val="1"/>
          <c:tx>
            <c:v>계획</c:v>
          </c:tx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SAM</c:v>
                </c:pt>
                <c:pt idx="12">
                  <c:v>BOTTOM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'08'!$J$6:$J$21</c:f>
              <c:numCache>
                <c:formatCode>_(* #,##0_);_(* \(#,##0\);_(* "-"_);_(@_)</c:formatCode>
                <c:ptCount val="16"/>
                <c:pt idx="0">
                  <c:v>1764</c:v>
                </c:pt>
                <c:pt idx="1">
                  <c:v>5878</c:v>
                </c:pt>
                <c:pt idx="2">
                  <c:v>3314</c:v>
                </c:pt>
                <c:pt idx="3">
                  <c:v>10270</c:v>
                </c:pt>
                <c:pt idx="4">
                  <c:v>3366</c:v>
                </c:pt>
                <c:pt idx="5">
                  <c:v>49500</c:v>
                </c:pt>
                <c:pt idx="6">
                  <c:v>5014</c:v>
                </c:pt>
                <c:pt idx="7">
                  <c:v>4652</c:v>
                </c:pt>
                <c:pt idx="9">
                  <c:v>5214</c:v>
                </c:pt>
                <c:pt idx="10">
                  <c:v>5924</c:v>
                </c:pt>
                <c:pt idx="11">
                  <c:v>2580</c:v>
                </c:pt>
                <c:pt idx="12">
                  <c:v>4029</c:v>
                </c:pt>
                <c:pt idx="13">
                  <c:v>2054</c:v>
                </c:pt>
                <c:pt idx="14">
                  <c:v>5347</c:v>
                </c:pt>
                <c:pt idx="15">
                  <c:v>28200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3C-4C6B-BD2C-166E30FB2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'08'!$AD$6:$AD$21</c:f>
              <c:strCache>
                <c:ptCount val="16"/>
                <c:pt idx="0">
                  <c:v>38%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SAM</c:v>
                </c:pt>
                <c:pt idx="12">
                  <c:v>BOTTOM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'08'!$AD$6:$AD$21</c:f>
              <c:numCache>
                <c:formatCode>0%</c:formatCode>
                <c:ptCount val="16"/>
                <c:pt idx="0">
                  <c:v>0.375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45-4FA5-9B2D-7C59BBBEAB5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845-4FA5-9B2D-7C59BBBEAB5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SAM</c:v>
                </c:pt>
                <c:pt idx="12">
                  <c:v>BOTTOM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'08'!$AE$6:$AE$21</c:f>
              <c:numCache>
                <c:formatCode>0%</c:formatCode>
                <c:ptCount val="16"/>
                <c:pt idx="0">
                  <c:v>2.34375E-2</c:v>
                </c:pt>
                <c:pt idx="1">
                  <c:v>2.34375E-2</c:v>
                </c:pt>
                <c:pt idx="2">
                  <c:v>2.34375E-2</c:v>
                </c:pt>
                <c:pt idx="3">
                  <c:v>2.34375E-2</c:v>
                </c:pt>
                <c:pt idx="4">
                  <c:v>2.34375E-2</c:v>
                </c:pt>
                <c:pt idx="5">
                  <c:v>2.34375E-2</c:v>
                </c:pt>
                <c:pt idx="6">
                  <c:v>2.34375E-2</c:v>
                </c:pt>
                <c:pt idx="7">
                  <c:v>2.34375E-2</c:v>
                </c:pt>
                <c:pt idx="8">
                  <c:v>2.34375E-2</c:v>
                </c:pt>
                <c:pt idx="9">
                  <c:v>2.34375E-2</c:v>
                </c:pt>
                <c:pt idx="10">
                  <c:v>2.34375E-2</c:v>
                </c:pt>
                <c:pt idx="11">
                  <c:v>2.34375E-2</c:v>
                </c:pt>
                <c:pt idx="12">
                  <c:v>2.34375E-2</c:v>
                </c:pt>
                <c:pt idx="13">
                  <c:v>2.34375E-2</c:v>
                </c:pt>
                <c:pt idx="14">
                  <c:v>2.34375E-2</c:v>
                </c:pt>
                <c:pt idx="15">
                  <c:v>2.34375E-2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45-4FA5-9B2D-7C59BBBEA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SAM</c:v>
                </c:pt>
                <c:pt idx="12">
                  <c:v>BOTTOM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'08'!$L$6:$L$21</c:f>
              <c:numCache>
                <c:formatCode>_(* #,##0_);_(* \(#,##0\);_(* "-"_);_(@_)</c:formatCode>
                <c:ptCount val="16"/>
                <c:pt idx="0">
                  <c:v>1764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06-424C-9B8E-EFF97AC3C8E1}"/>
            </c:ext>
          </c:extLst>
        </c:ser>
        <c:ser>
          <c:idx val="1"/>
          <c:order val="1"/>
          <c:tx>
            <c:v>계획</c:v>
          </c:tx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SAM</c:v>
                </c:pt>
                <c:pt idx="12">
                  <c:v>BOTTOM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'08'!$J$6:$J$21</c:f>
              <c:numCache>
                <c:formatCode>_(* #,##0_);_(* \(#,##0\);_(* "-"_);_(@_)</c:formatCode>
                <c:ptCount val="16"/>
                <c:pt idx="0">
                  <c:v>1764</c:v>
                </c:pt>
                <c:pt idx="1">
                  <c:v>5878</c:v>
                </c:pt>
                <c:pt idx="2">
                  <c:v>3314</c:v>
                </c:pt>
                <c:pt idx="3">
                  <c:v>10270</c:v>
                </c:pt>
                <c:pt idx="4">
                  <c:v>3366</c:v>
                </c:pt>
                <c:pt idx="5">
                  <c:v>49500</c:v>
                </c:pt>
                <c:pt idx="6">
                  <c:v>5014</c:v>
                </c:pt>
                <c:pt idx="7">
                  <c:v>4652</c:v>
                </c:pt>
                <c:pt idx="9">
                  <c:v>5214</c:v>
                </c:pt>
                <c:pt idx="10">
                  <c:v>5924</c:v>
                </c:pt>
                <c:pt idx="11">
                  <c:v>2580</c:v>
                </c:pt>
                <c:pt idx="12">
                  <c:v>4029</c:v>
                </c:pt>
                <c:pt idx="13">
                  <c:v>2054</c:v>
                </c:pt>
                <c:pt idx="14">
                  <c:v>5347</c:v>
                </c:pt>
                <c:pt idx="15">
                  <c:v>28200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06-424C-9B8E-EFF97AC3C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'08'!$AD$6:$AD$21</c:f>
              <c:strCache>
                <c:ptCount val="16"/>
                <c:pt idx="0">
                  <c:v>38%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SAM</c:v>
                </c:pt>
                <c:pt idx="12">
                  <c:v>BOTTOM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'08'!$AD$6:$AD$21</c:f>
              <c:numCache>
                <c:formatCode>0%</c:formatCode>
                <c:ptCount val="16"/>
                <c:pt idx="0">
                  <c:v>0.375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80-4CAB-8A16-9A9DDCCE93F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C80-4CAB-8A16-9A9DDCCE93F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SAM</c:v>
                </c:pt>
                <c:pt idx="12">
                  <c:v>BOTTOM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'08'!$AE$6:$AE$21</c:f>
              <c:numCache>
                <c:formatCode>0%</c:formatCode>
                <c:ptCount val="16"/>
                <c:pt idx="0">
                  <c:v>2.34375E-2</c:v>
                </c:pt>
                <c:pt idx="1">
                  <c:v>2.34375E-2</c:v>
                </c:pt>
                <c:pt idx="2">
                  <c:v>2.34375E-2</c:v>
                </c:pt>
                <c:pt idx="3">
                  <c:v>2.34375E-2</c:v>
                </c:pt>
                <c:pt idx="4">
                  <c:v>2.34375E-2</c:v>
                </c:pt>
                <c:pt idx="5">
                  <c:v>2.34375E-2</c:v>
                </c:pt>
                <c:pt idx="6">
                  <c:v>2.34375E-2</c:v>
                </c:pt>
                <c:pt idx="7">
                  <c:v>2.34375E-2</c:v>
                </c:pt>
                <c:pt idx="8">
                  <c:v>2.34375E-2</c:v>
                </c:pt>
                <c:pt idx="9">
                  <c:v>2.34375E-2</c:v>
                </c:pt>
                <c:pt idx="10">
                  <c:v>2.34375E-2</c:v>
                </c:pt>
                <c:pt idx="11">
                  <c:v>2.34375E-2</c:v>
                </c:pt>
                <c:pt idx="12">
                  <c:v>2.34375E-2</c:v>
                </c:pt>
                <c:pt idx="13">
                  <c:v>2.34375E-2</c:v>
                </c:pt>
                <c:pt idx="14">
                  <c:v>2.34375E-2</c:v>
                </c:pt>
                <c:pt idx="15">
                  <c:v>2.34375E-2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80-4CAB-8A16-9A9DDCCE9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318-4B5C-B16C-05AD63A4C2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0.4140625</c:v>
                </c:pt>
                <c:pt idx="2">
                  <c:v>0.40277777777777779</c:v>
                </c:pt>
                <c:pt idx="3">
                  <c:v>0.46813725490196079</c:v>
                </c:pt>
                <c:pt idx="4">
                  <c:v>0.546875</c:v>
                </c:pt>
                <c:pt idx="5">
                  <c:v>0.54656862745098045</c:v>
                </c:pt>
                <c:pt idx="7">
                  <c:v>2.34375E-2</c:v>
                </c:pt>
                <c:pt idx="8">
                  <c:v>0.5546875</c:v>
                </c:pt>
                <c:pt idx="9">
                  <c:v>0.49218750000000006</c:v>
                </c:pt>
                <c:pt idx="10">
                  <c:v>0.64583333333333326</c:v>
                </c:pt>
                <c:pt idx="11">
                  <c:v>0.56770833333333326</c:v>
                </c:pt>
                <c:pt idx="15">
                  <c:v>0.46813725490196079</c:v>
                </c:pt>
                <c:pt idx="16">
                  <c:v>0.55208333333333337</c:v>
                </c:pt>
                <c:pt idx="17">
                  <c:v>0.54166666666666663</c:v>
                </c:pt>
                <c:pt idx="18">
                  <c:v>0.57812500000000011</c:v>
                </c:pt>
                <c:pt idx="19">
                  <c:v>0.47135416666666669</c:v>
                </c:pt>
                <c:pt idx="22">
                  <c:v>0.31510416666666663</c:v>
                </c:pt>
                <c:pt idx="23">
                  <c:v>0.46614583333333331</c:v>
                </c:pt>
                <c:pt idx="24">
                  <c:v>0.33854166666666669</c:v>
                </c:pt>
                <c:pt idx="25">
                  <c:v>0.29166666666666663</c:v>
                </c:pt>
                <c:pt idx="26">
                  <c:v>0.19531249999999997</c:v>
                </c:pt>
                <c:pt idx="29">
                  <c:v>0.546875</c:v>
                </c:pt>
                <c:pt idx="31">
                  <c:v>0.31424291938997817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8-4B5C-B16C-05AD63A4C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318-4B5C-B16C-05AD63A4C2B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18-4B5C-B16C-05AD63A4C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SAM</c:v>
                </c:pt>
                <c:pt idx="12">
                  <c:v>BASE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0">
                  <c:v>3833</c:v>
                </c:pt>
                <c:pt idx="1">
                  <c:v>5650</c:v>
                </c:pt>
                <c:pt idx="2">
                  <c:v>5716</c:v>
                </c:pt>
                <c:pt idx="3">
                  <c:v>9750</c:v>
                </c:pt>
                <c:pt idx="5">
                  <c:v>67990</c:v>
                </c:pt>
                <c:pt idx="6">
                  <c:v>4829</c:v>
                </c:pt>
                <c:pt idx="7">
                  <c:v>8798</c:v>
                </c:pt>
                <c:pt idx="10">
                  <c:v>2900</c:v>
                </c:pt>
                <c:pt idx="11">
                  <c:v>5758</c:v>
                </c:pt>
                <c:pt idx="12">
                  <c:v>2103</c:v>
                </c:pt>
                <c:pt idx="14">
                  <c:v>2499</c:v>
                </c:pt>
                <c:pt idx="15">
                  <c:v>28768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9D-4EE0-B2A5-33DDCA42F16A}"/>
            </c:ext>
          </c:extLst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SAM</c:v>
                </c:pt>
                <c:pt idx="12">
                  <c:v>BASE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3833</c:v>
                </c:pt>
                <c:pt idx="1">
                  <c:v>5650</c:v>
                </c:pt>
                <c:pt idx="2">
                  <c:v>5716</c:v>
                </c:pt>
                <c:pt idx="3">
                  <c:v>9750</c:v>
                </c:pt>
                <c:pt idx="4">
                  <c:v>3366</c:v>
                </c:pt>
                <c:pt idx="5">
                  <c:v>67990</c:v>
                </c:pt>
                <c:pt idx="6">
                  <c:v>4829</c:v>
                </c:pt>
                <c:pt idx="7">
                  <c:v>8798</c:v>
                </c:pt>
                <c:pt idx="9">
                  <c:v>5214</c:v>
                </c:pt>
                <c:pt idx="10">
                  <c:v>2900</c:v>
                </c:pt>
                <c:pt idx="11">
                  <c:v>5758</c:v>
                </c:pt>
                <c:pt idx="12">
                  <c:v>2103</c:v>
                </c:pt>
                <c:pt idx="13">
                  <c:v>2054</c:v>
                </c:pt>
                <c:pt idx="14">
                  <c:v>2499</c:v>
                </c:pt>
                <c:pt idx="15">
                  <c:v>28768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9D-4EE0-B2A5-33DDCA42F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6"/>
                <c:pt idx="0">
                  <c:v>75%</c:v>
                </c:pt>
                <c:pt idx="1">
                  <c:v>100%</c:v>
                </c:pt>
                <c:pt idx="2">
                  <c:v>58%</c:v>
                </c:pt>
                <c:pt idx="3">
                  <c:v>100%</c:v>
                </c:pt>
                <c:pt idx="4">
                  <c:v>0%</c:v>
                </c:pt>
                <c:pt idx="5">
                  <c:v>88%</c:v>
                </c:pt>
                <c:pt idx="6">
                  <c:v>92%</c:v>
                </c:pt>
                <c:pt idx="7">
                  <c:v>79%</c:v>
                </c:pt>
                <c:pt idx="8">
                  <c:v>0%</c:v>
                </c:pt>
                <c:pt idx="9">
                  <c:v>0%</c:v>
                </c:pt>
                <c:pt idx="10">
                  <c:v>58%</c:v>
                </c:pt>
                <c:pt idx="11">
                  <c:v>100%</c:v>
                </c:pt>
                <c:pt idx="12">
                  <c:v>46%</c:v>
                </c:pt>
                <c:pt idx="13">
                  <c:v>0%</c:v>
                </c:pt>
                <c:pt idx="14">
                  <c:v>50%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SAM</c:v>
                </c:pt>
                <c:pt idx="12">
                  <c:v>BASE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0.75</c:v>
                </c:pt>
                <c:pt idx="1">
                  <c:v>1</c:v>
                </c:pt>
                <c:pt idx="2">
                  <c:v>0.58333333333333337</c:v>
                </c:pt>
                <c:pt idx="3">
                  <c:v>1</c:v>
                </c:pt>
                <c:pt idx="4">
                  <c:v>0</c:v>
                </c:pt>
                <c:pt idx="5">
                  <c:v>0.875</c:v>
                </c:pt>
                <c:pt idx="6">
                  <c:v>0.91666666666666663</c:v>
                </c:pt>
                <c:pt idx="7">
                  <c:v>0.79166666666666663</c:v>
                </c:pt>
                <c:pt idx="8">
                  <c:v>0</c:v>
                </c:pt>
                <c:pt idx="9">
                  <c:v>0</c:v>
                </c:pt>
                <c:pt idx="10">
                  <c:v>0.58333333333333337</c:v>
                </c:pt>
                <c:pt idx="11">
                  <c:v>1</c:v>
                </c:pt>
                <c:pt idx="12">
                  <c:v>0.45833333333333331</c:v>
                </c:pt>
                <c:pt idx="13">
                  <c:v>0</c:v>
                </c:pt>
                <c:pt idx="14">
                  <c:v>0.5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AD-4DD9-9F28-C986DD6E760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5AD-4DD9-9F28-C986DD6E760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SAM</c:v>
                </c:pt>
                <c:pt idx="12">
                  <c:v>BASE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0.5546875</c:v>
                </c:pt>
                <c:pt idx="1">
                  <c:v>0.5546875</c:v>
                </c:pt>
                <c:pt idx="2">
                  <c:v>0.5546875</c:v>
                </c:pt>
                <c:pt idx="3">
                  <c:v>0.5546875</c:v>
                </c:pt>
                <c:pt idx="4">
                  <c:v>0.5546875</c:v>
                </c:pt>
                <c:pt idx="5">
                  <c:v>0.5546875</c:v>
                </c:pt>
                <c:pt idx="6">
                  <c:v>0.5546875</c:v>
                </c:pt>
                <c:pt idx="7">
                  <c:v>0.5546875</c:v>
                </c:pt>
                <c:pt idx="8">
                  <c:v>0.5546875</c:v>
                </c:pt>
                <c:pt idx="9">
                  <c:v>0.5546875</c:v>
                </c:pt>
                <c:pt idx="10">
                  <c:v>0.5546875</c:v>
                </c:pt>
                <c:pt idx="11">
                  <c:v>0.5546875</c:v>
                </c:pt>
                <c:pt idx="12">
                  <c:v>0.5546875</c:v>
                </c:pt>
                <c:pt idx="13">
                  <c:v>0.5546875</c:v>
                </c:pt>
                <c:pt idx="14">
                  <c:v>0.5546875</c:v>
                </c:pt>
                <c:pt idx="15">
                  <c:v>0.5546875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AD-4DD9-9F28-C986DD6E7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SAM</c:v>
                </c:pt>
                <c:pt idx="12">
                  <c:v>BASE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0">
                  <c:v>3833</c:v>
                </c:pt>
                <c:pt idx="1">
                  <c:v>5650</c:v>
                </c:pt>
                <c:pt idx="2">
                  <c:v>5716</c:v>
                </c:pt>
                <c:pt idx="3">
                  <c:v>9750</c:v>
                </c:pt>
                <c:pt idx="5">
                  <c:v>67990</c:v>
                </c:pt>
                <c:pt idx="6">
                  <c:v>4829</c:v>
                </c:pt>
                <c:pt idx="7">
                  <c:v>8798</c:v>
                </c:pt>
                <c:pt idx="10">
                  <c:v>2900</c:v>
                </c:pt>
                <c:pt idx="11">
                  <c:v>5758</c:v>
                </c:pt>
                <c:pt idx="12">
                  <c:v>2103</c:v>
                </c:pt>
                <c:pt idx="14">
                  <c:v>2499</c:v>
                </c:pt>
                <c:pt idx="15">
                  <c:v>28768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75-4FA4-A8ED-9FFAC869E77B}"/>
            </c:ext>
          </c:extLst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SAM</c:v>
                </c:pt>
                <c:pt idx="12">
                  <c:v>BASE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3833</c:v>
                </c:pt>
                <c:pt idx="1">
                  <c:v>5650</c:v>
                </c:pt>
                <c:pt idx="2">
                  <c:v>5716</c:v>
                </c:pt>
                <c:pt idx="3">
                  <c:v>9750</c:v>
                </c:pt>
                <c:pt idx="4">
                  <c:v>3366</c:v>
                </c:pt>
                <c:pt idx="5">
                  <c:v>67990</c:v>
                </c:pt>
                <c:pt idx="6">
                  <c:v>4829</c:v>
                </c:pt>
                <c:pt idx="7">
                  <c:v>8798</c:v>
                </c:pt>
                <c:pt idx="9">
                  <c:v>5214</c:v>
                </c:pt>
                <c:pt idx="10">
                  <c:v>2900</c:v>
                </c:pt>
                <c:pt idx="11">
                  <c:v>5758</c:v>
                </c:pt>
                <c:pt idx="12">
                  <c:v>2103</c:v>
                </c:pt>
                <c:pt idx="13">
                  <c:v>2054</c:v>
                </c:pt>
                <c:pt idx="14">
                  <c:v>2499</c:v>
                </c:pt>
                <c:pt idx="15">
                  <c:v>28768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75-4FA4-A8ED-9FFAC869E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6"/>
                <c:pt idx="0">
                  <c:v>75%</c:v>
                </c:pt>
                <c:pt idx="1">
                  <c:v>100%</c:v>
                </c:pt>
                <c:pt idx="2">
                  <c:v>58%</c:v>
                </c:pt>
                <c:pt idx="3">
                  <c:v>100%</c:v>
                </c:pt>
                <c:pt idx="4">
                  <c:v>0%</c:v>
                </c:pt>
                <c:pt idx="5">
                  <c:v>88%</c:v>
                </c:pt>
                <c:pt idx="6">
                  <c:v>92%</c:v>
                </c:pt>
                <c:pt idx="7">
                  <c:v>79%</c:v>
                </c:pt>
                <c:pt idx="8">
                  <c:v>0%</c:v>
                </c:pt>
                <c:pt idx="9">
                  <c:v>0%</c:v>
                </c:pt>
                <c:pt idx="10">
                  <c:v>58%</c:v>
                </c:pt>
                <c:pt idx="11">
                  <c:v>100%</c:v>
                </c:pt>
                <c:pt idx="12">
                  <c:v>46%</c:v>
                </c:pt>
                <c:pt idx="13">
                  <c:v>0%</c:v>
                </c:pt>
                <c:pt idx="14">
                  <c:v>50%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SAM</c:v>
                </c:pt>
                <c:pt idx="12">
                  <c:v>BASE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0.75</c:v>
                </c:pt>
                <c:pt idx="1">
                  <c:v>1</c:v>
                </c:pt>
                <c:pt idx="2">
                  <c:v>0.58333333333333337</c:v>
                </c:pt>
                <c:pt idx="3">
                  <c:v>1</c:v>
                </c:pt>
                <c:pt idx="4">
                  <c:v>0</c:v>
                </c:pt>
                <c:pt idx="5">
                  <c:v>0.875</c:v>
                </c:pt>
                <c:pt idx="6">
                  <c:v>0.91666666666666663</c:v>
                </c:pt>
                <c:pt idx="7">
                  <c:v>0.79166666666666663</c:v>
                </c:pt>
                <c:pt idx="8">
                  <c:v>0</c:v>
                </c:pt>
                <c:pt idx="9">
                  <c:v>0</c:v>
                </c:pt>
                <c:pt idx="10">
                  <c:v>0.58333333333333337</c:v>
                </c:pt>
                <c:pt idx="11">
                  <c:v>1</c:v>
                </c:pt>
                <c:pt idx="12">
                  <c:v>0.45833333333333331</c:v>
                </c:pt>
                <c:pt idx="13">
                  <c:v>0</c:v>
                </c:pt>
                <c:pt idx="14">
                  <c:v>0.5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D8-41EE-AACE-979BA0BFE19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1D8-41EE-AACE-979BA0BFE19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2">
                  <c:v>COVER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SAM</c:v>
                </c:pt>
                <c:pt idx="12">
                  <c:v>BASE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0.5546875</c:v>
                </c:pt>
                <c:pt idx="1">
                  <c:v>0.5546875</c:v>
                </c:pt>
                <c:pt idx="2">
                  <c:v>0.5546875</c:v>
                </c:pt>
                <c:pt idx="3">
                  <c:v>0.5546875</c:v>
                </c:pt>
                <c:pt idx="4">
                  <c:v>0.5546875</c:v>
                </c:pt>
                <c:pt idx="5">
                  <c:v>0.5546875</c:v>
                </c:pt>
                <c:pt idx="6">
                  <c:v>0.5546875</c:v>
                </c:pt>
                <c:pt idx="7">
                  <c:v>0.5546875</c:v>
                </c:pt>
                <c:pt idx="8">
                  <c:v>0.5546875</c:v>
                </c:pt>
                <c:pt idx="9">
                  <c:v>0.5546875</c:v>
                </c:pt>
                <c:pt idx="10">
                  <c:v>0.5546875</c:v>
                </c:pt>
                <c:pt idx="11">
                  <c:v>0.5546875</c:v>
                </c:pt>
                <c:pt idx="12">
                  <c:v>0.5546875</c:v>
                </c:pt>
                <c:pt idx="13">
                  <c:v>0.5546875</c:v>
                </c:pt>
                <c:pt idx="14">
                  <c:v>0.5546875</c:v>
                </c:pt>
                <c:pt idx="15">
                  <c:v>0.5546875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D8-41EE-AACE-979BA0BFE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03B-411A-AFE3-15705C3E69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0.4140625</c:v>
                </c:pt>
                <c:pt idx="2">
                  <c:v>0.40277777777777779</c:v>
                </c:pt>
                <c:pt idx="3">
                  <c:v>0.46813725490196079</c:v>
                </c:pt>
                <c:pt idx="4">
                  <c:v>0.546875</c:v>
                </c:pt>
                <c:pt idx="5">
                  <c:v>0.54656862745098045</c:v>
                </c:pt>
                <c:pt idx="7">
                  <c:v>2.34375E-2</c:v>
                </c:pt>
                <c:pt idx="8">
                  <c:v>0.5546875</c:v>
                </c:pt>
                <c:pt idx="9">
                  <c:v>0.49218750000000006</c:v>
                </c:pt>
                <c:pt idx="10">
                  <c:v>0.64583333333333326</c:v>
                </c:pt>
                <c:pt idx="11">
                  <c:v>0.56770833333333326</c:v>
                </c:pt>
                <c:pt idx="15">
                  <c:v>0.46813725490196079</c:v>
                </c:pt>
                <c:pt idx="16">
                  <c:v>0.55208333333333337</c:v>
                </c:pt>
                <c:pt idx="17">
                  <c:v>0.54166666666666663</c:v>
                </c:pt>
                <c:pt idx="18">
                  <c:v>0.57812500000000011</c:v>
                </c:pt>
                <c:pt idx="19">
                  <c:v>0.47135416666666669</c:v>
                </c:pt>
                <c:pt idx="22">
                  <c:v>0.31510416666666663</c:v>
                </c:pt>
                <c:pt idx="23">
                  <c:v>0.46614583333333331</c:v>
                </c:pt>
                <c:pt idx="24">
                  <c:v>0.33854166666666669</c:v>
                </c:pt>
                <c:pt idx="25">
                  <c:v>0.29166666666666663</c:v>
                </c:pt>
                <c:pt idx="26">
                  <c:v>0.19531249999999997</c:v>
                </c:pt>
                <c:pt idx="29">
                  <c:v>0.546875</c:v>
                </c:pt>
                <c:pt idx="31">
                  <c:v>0.31424291938997817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3B-411A-AFE3-15705C3E6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03B-411A-AFE3-15705C3E699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3B-411A-AFE3-15705C3E6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SAM</c:v>
                </c:pt>
                <c:pt idx="12">
                  <c:v>BASE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'10'!$L$6:$L$21</c:f>
              <c:numCache>
                <c:formatCode>_(* #,##0_);_(* \(#,##0\);_(* "-"_);_(@_)</c:formatCode>
                <c:ptCount val="16"/>
                <c:pt idx="0">
                  <c:v>3674</c:v>
                </c:pt>
                <c:pt idx="1">
                  <c:v>6007</c:v>
                </c:pt>
                <c:pt idx="2">
                  <c:v>4349</c:v>
                </c:pt>
                <c:pt idx="3">
                  <c:v>10304</c:v>
                </c:pt>
                <c:pt idx="6">
                  <c:v>4852</c:v>
                </c:pt>
                <c:pt idx="7">
                  <c:v>12320</c:v>
                </c:pt>
                <c:pt idx="11">
                  <c:v>815</c:v>
                </c:pt>
                <c:pt idx="12">
                  <c:v>5561</c:v>
                </c:pt>
                <c:pt idx="14">
                  <c:v>3838</c:v>
                </c:pt>
                <c:pt idx="15">
                  <c:v>36912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3E-4BCD-9054-F35FA5B9E0DF}"/>
            </c:ext>
          </c:extLst>
        </c:ser>
        <c:ser>
          <c:idx val="1"/>
          <c:order val="1"/>
          <c:tx>
            <c:v>계획</c:v>
          </c:tx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SAM</c:v>
                </c:pt>
                <c:pt idx="12">
                  <c:v>BASE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'10'!$J$6:$J$21</c:f>
              <c:numCache>
                <c:formatCode>_(* #,##0_);_(* \(#,##0\);_(* "-"_);_(@_)</c:formatCode>
                <c:ptCount val="16"/>
                <c:pt idx="0">
                  <c:v>3674</c:v>
                </c:pt>
                <c:pt idx="1">
                  <c:v>6007</c:v>
                </c:pt>
                <c:pt idx="2">
                  <c:v>4349</c:v>
                </c:pt>
                <c:pt idx="3">
                  <c:v>10304</c:v>
                </c:pt>
                <c:pt idx="4">
                  <c:v>3366</c:v>
                </c:pt>
                <c:pt idx="5">
                  <c:v>67990</c:v>
                </c:pt>
                <c:pt idx="6">
                  <c:v>4852</c:v>
                </c:pt>
                <c:pt idx="7">
                  <c:v>12320</c:v>
                </c:pt>
                <c:pt idx="9">
                  <c:v>5214</c:v>
                </c:pt>
                <c:pt idx="10">
                  <c:v>2900</c:v>
                </c:pt>
                <c:pt idx="11">
                  <c:v>815</c:v>
                </c:pt>
                <c:pt idx="12">
                  <c:v>5561</c:v>
                </c:pt>
                <c:pt idx="13">
                  <c:v>2054</c:v>
                </c:pt>
                <c:pt idx="14">
                  <c:v>3838</c:v>
                </c:pt>
                <c:pt idx="15">
                  <c:v>36912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3E-4BCD-9054-F35FA5B9E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'10'!$AD$6:$AD$21</c:f>
              <c:strCache>
                <c:ptCount val="16"/>
                <c:pt idx="0">
                  <c:v>63%</c:v>
                </c:pt>
                <c:pt idx="1">
                  <c:v>100%</c:v>
                </c:pt>
                <c:pt idx="2">
                  <c:v>83%</c:v>
                </c:pt>
                <c:pt idx="3">
                  <c:v>100%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17%</c:v>
                </c:pt>
                <c:pt idx="12">
                  <c:v>96%</c:v>
                </c:pt>
                <c:pt idx="13">
                  <c:v>0%</c:v>
                </c:pt>
                <c:pt idx="14">
                  <c:v>79%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SAM</c:v>
                </c:pt>
                <c:pt idx="12">
                  <c:v>BASE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'10'!$AD$6:$AD$21</c:f>
              <c:numCache>
                <c:formatCode>0%</c:formatCode>
                <c:ptCount val="16"/>
                <c:pt idx="0">
                  <c:v>0.625</c:v>
                </c:pt>
                <c:pt idx="1">
                  <c:v>1</c:v>
                </c:pt>
                <c:pt idx="2">
                  <c:v>0.83333333333333337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0.16666666666666666</c:v>
                </c:pt>
                <c:pt idx="12">
                  <c:v>0.95833333333333337</c:v>
                </c:pt>
                <c:pt idx="13">
                  <c:v>0</c:v>
                </c:pt>
                <c:pt idx="14">
                  <c:v>0.79166666666666663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08-48EA-86B9-DC835AEB8FA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308-48EA-86B9-DC835AEB8FA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SAM</c:v>
                </c:pt>
                <c:pt idx="12">
                  <c:v>BASE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'10'!$AE$6:$AE$21</c:f>
              <c:numCache>
                <c:formatCode>0%</c:formatCode>
                <c:ptCount val="16"/>
                <c:pt idx="0">
                  <c:v>0.49218750000000006</c:v>
                </c:pt>
                <c:pt idx="1">
                  <c:v>0.49218750000000006</c:v>
                </c:pt>
                <c:pt idx="2">
                  <c:v>0.49218750000000006</c:v>
                </c:pt>
                <c:pt idx="3">
                  <c:v>0.49218750000000006</c:v>
                </c:pt>
                <c:pt idx="4">
                  <c:v>0.49218750000000006</c:v>
                </c:pt>
                <c:pt idx="5">
                  <c:v>0.49218750000000006</c:v>
                </c:pt>
                <c:pt idx="6">
                  <c:v>0.49218750000000006</c:v>
                </c:pt>
                <c:pt idx="7">
                  <c:v>0.49218750000000006</c:v>
                </c:pt>
                <c:pt idx="8">
                  <c:v>0.49218750000000006</c:v>
                </c:pt>
                <c:pt idx="9">
                  <c:v>0.49218750000000006</c:v>
                </c:pt>
                <c:pt idx="10">
                  <c:v>0.49218750000000006</c:v>
                </c:pt>
                <c:pt idx="11">
                  <c:v>0.49218750000000006</c:v>
                </c:pt>
                <c:pt idx="12">
                  <c:v>0.49218750000000006</c:v>
                </c:pt>
                <c:pt idx="13">
                  <c:v>0.49218750000000006</c:v>
                </c:pt>
                <c:pt idx="14">
                  <c:v>0.49218750000000006</c:v>
                </c:pt>
                <c:pt idx="15">
                  <c:v>0.49218750000000006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08-48EA-86B9-DC835AEB8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SAM</c:v>
                </c:pt>
                <c:pt idx="12">
                  <c:v>BASE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'10'!$L$6:$L$21</c:f>
              <c:numCache>
                <c:formatCode>_(* #,##0_);_(* \(#,##0\);_(* "-"_);_(@_)</c:formatCode>
                <c:ptCount val="16"/>
                <c:pt idx="0">
                  <c:v>3674</c:v>
                </c:pt>
                <c:pt idx="1">
                  <c:v>6007</c:v>
                </c:pt>
                <c:pt idx="2">
                  <c:v>4349</c:v>
                </c:pt>
                <c:pt idx="3">
                  <c:v>10304</c:v>
                </c:pt>
                <c:pt idx="6">
                  <c:v>4852</c:v>
                </c:pt>
                <c:pt idx="7">
                  <c:v>12320</c:v>
                </c:pt>
                <c:pt idx="11">
                  <c:v>815</c:v>
                </c:pt>
                <c:pt idx="12">
                  <c:v>5561</c:v>
                </c:pt>
                <c:pt idx="14">
                  <c:v>3838</c:v>
                </c:pt>
                <c:pt idx="15">
                  <c:v>36912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FB-40CE-8407-2BC618640448}"/>
            </c:ext>
          </c:extLst>
        </c:ser>
        <c:ser>
          <c:idx val="1"/>
          <c:order val="1"/>
          <c:tx>
            <c:v>계획</c:v>
          </c:tx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SAM</c:v>
                </c:pt>
                <c:pt idx="12">
                  <c:v>BASE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'10'!$J$6:$J$21</c:f>
              <c:numCache>
                <c:formatCode>_(* #,##0_);_(* \(#,##0\);_(* "-"_);_(@_)</c:formatCode>
                <c:ptCount val="16"/>
                <c:pt idx="0">
                  <c:v>3674</c:v>
                </c:pt>
                <c:pt idx="1">
                  <c:v>6007</c:v>
                </c:pt>
                <c:pt idx="2">
                  <c:v>4349</c:v>
                </c:pt>
                <c:pt idx="3">
                  <c:v>10304</c:v>
                </c:pt>
                <c:pt idx="4">
                  <c:v>3366</c:v>
                </c:pt>
                <c:pt idx="5">
                  <c:v>67990</c:v>
                </c:pt>
                <c:pt idx="6">
                  <c:v>4852</c:v>
                </c:pt>
                <c:pt idx="7">
                  <c:v>12320</c:v>
                </c:pt>
                <c:pt idx="9">
                  <c:v>5214</c:v>
                </c:pt>
                <c:pt idx="10">
                  <c:v>2900</c:v>
                </c:pt>
                <c:pt idx="11">
                  <c:v>815</c:v>
                </c:pt>
                <c:pt idx="12">
                  <c:v>5561</c:v>
                </c:pt>
                <c:pt idx="13">
                  <c:v>2054</c:v>
                </c:pt>
                <c:pt idx="14">
                  <c:v>3838</c:v>
                </c:pt>
                <c:pt idx="15">
                  <c:v>36912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FB-40CE-8407-2BC618640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'10'!$AD$6:$AD$21</c:f>
              <c:strCache>
                <c:ptCount val="16"/>
                <c:pt idx="0">
                  <c:v>63%</c:v>
                </c:pt>
                <c:pt idx="1">
                  <c:v>100%</c:v>
                </c:pt>
                <c:pt idx="2">
                  <c:v>83%</c:v>
                </c:pt>
                <c:pt idx="3">
                  <c:v>100%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17%</c:v>
                </c:pt>
                <c:pt idx="12">
                  <c:v>96%</c:v>
                </c:pt>
                <c:pt idx="13">
                  <c:v>0%</c:v>
                </c:pt>
                <c:pt idx="14">
                  <c:v>79%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SAM</c:v>
                </c:pt>
                <c:pt idx="12">
                  <c:v>BASE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'10'!$AD$6:$AD$21</c:f>
              <c:numCache>
                <c:formatCode>0%</c:formatCode>
                <c:ptCount val="16"/>
                <c:pt idx="0">
                  <c:v>0.625</c:v>
                </c:pt>
                <c:pt idx="1">
                  <c:v>1</c:v>
                </c:pt>
                <c:pt idx="2">
                  <c:v>0.83333333333333337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0.16666666666666666</c:v>
                </c:pt>
                <c:pt idx="12">
                  <c:v>0.95833333333333337</c:v>
                </c:pt>
                <c:pt idx="13">
                  <c:v>0</c:v>
                </c:pt>
                <c:pt idx="14">
                  <c:v>0.79166666666666663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45-4EFD-AE7F-C43CBAB760E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145-4EFD-AE7F-C43CBAB760E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BASE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SAM</c:v>
                </c:pt>
                <c:pt idx="12">
                  <c:v>BASE</c:v>
                </c:pt>
                <c:pt idx="13">
                  <c:v>ADAPTER</c:v>
                </c:pt>
                <c:pt idx="14">
                  <c:v>BASE</c:v>
                </c:pt>
              </c:strCache>
            </c:strRef>
          </c:cat>
          <c:val>
            <c:numRef>
              <c:f>'10'!$AE$6:$AE$21</c:f>
              <c:numCache>
                <c:formatCode>0%</c:formatCode>
                <c:ptCount val="16"/>
                <c:pt idx="0">
                  <c:v>0.49218750000000006</c:v>
                </c:pt>
                <c:pt idx="1">
                  <c:v>0.49218750000000006</c:v>
                </c:pt>
                <c:pt idx="2">
                  <c:v>0.49218750000000006</c:v>
                </c:pt>
                <c:pt idx="3">
                  <c:v>0.49218750000000006</c:v>
                </c:pt>
                <c:pt idx="4">
                  <c:v>0.49218750000000006</c:v>
                </c:pt>
                <c:pt idx="5">
                  <c:v>0.49218750000000006</c:v>
                </c:pt>
                <c:pt idx="6">
                  <c:v>0.49218750000000006</c:v>
                </c:pt>
                <c:pt idx="7">
                  <c:v>0.49218750000000006</c:v>
                </c:pt>
                <c:pt idx="8">
                  <c:v>0.49218750000000006</c:v>
                </c:pt>
                <c:pt idx="9">
                  <c:v>0.49218750000000006</c:v>
                </c:pt>
                <c:pt idx="10">
                  <c:v>0.49218750000000006</c:v>
                </c:pt>
                <c:pt idx="11">
                  <c:v>0.49218750000000006</c:v>
                </c:pt>
                <c:pt idx="12">
                  <c:v>0.49218750000000006</c:v>
                </c:pt>
                <c:pt idx="13">
                  <c:v>0.49218750000000006</c:v>
                </c:pt>
                <c:pt idx="14">
                  <c:v>0.49218750000000006</c:v>
                </c:pt>
                <c:pt idx="15">
                  <c:v>0.49218750000000006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45-4EFD-AE7F-C43CBAB76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58F-4E5A-ABC2-836FA2F86F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0.4140625</c:v>
                </c:pt>
                <c:pt idx="2">
                  <c:v>0.40277777777777779</c:v>
                </c:pt>
                <c:pt idx="3">
                  <c:v>0.46813725490196079</c:v>
                </c:pt>
                <c:pt idx="4">
                  <c:v>0.546875</c:v>
                </c:pt>
                <c:pt idx="5">
                  <c:v>0.54656862745098045</c:v>
                </c:pt>
                <c:pt idx="7">
                  <c:v>2.34375E-2</c:v>
                </c:pt>
                <c:pt idx="8">
                  <c:v>0.5546875</c:v>
                </c:pt>
                <c:pt idx="9">
                  <c:v>0.49218750000000006</c:v>
                </c:pt>
                <c:pt idx="10">
                  <c:v>0.64583333333333326</c:v>
                </c:pt>
                <c:pt idx="11">
                  <c:v>0.56770833333333326</c:v>
                </c:pt>
                <c:pt idx="15">
                  <c:v>0.46813725490196079</c:v>
                </c:pt>
                <c:pt idx="16">
                  <c:v>0.55208333333333337</c:v>
                </c:pt>
                <c:pt idx="17">
                  <c:v>0.54166666666666663</c:v>
                </c:pt>
                <c:pt idx="18">
                  <c:v>0.57812500000000011</c:v>
                </c:pt>
                <c:pt idx="19">
                  <c:v>0.47135416666666669</c:v>
                </c:pt>
                <c:pt idx="22">
                  <c:v>0.31510416666666663</c:v>
                </c:pt>
                <c:pt idx="23">
                  <c:v>0.46614583333333331</c:v>
                </c:pt>
                <c:pt idx="24">
                  <c:v>0.33854166666666669</c:v>
                </c:pt>
                <c:pt idx="25">
                  <c:v>0.29166666666666663</c:v>
                </c:pt>
                <c:pt idx="26">
                  <c:v>0.19531249999999997</c:v>
                </c:pt>
                <c:pt idx="29">
                  <c:v>0.546875</c:v>
                </c:pt>
                <c:pt idx="31">
                  <c:v>0.31424291938997817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8F-4E5A-ABC2-836FA2F86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58F-4E5A-ABC2-836FA2F86F3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8F-4E5A-ABC2-836FA2F86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FLOATING</c:v>
                </c:pt>
                <c:pt idx="12">
                  <c:v>STOPPER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'11'!$L$6:$L$21</c:f>
              <c:numCache>
                <c:formatCode>_(* #,##0_);_(* \(#,##0\);_(* "-"_);_(@_)</c:formatCode>
                <c:ptCount val="16"/>
                <c:pt idx="0">
                  <c:v>7328</c:v>
                </c:pt>
                <c:pt idx="1">
                  <c:v>4705</c:v>
                </c:pt>
                <c:pt idx="2">
                  <c:v>2445</c:v>
                </c:pt>
                <c:pt idx="3">
                  <c:v>9962</c:v>
                </c:pt>
                <c:pt idx="4">
                  <c:v>23496</c:v>
                </c:pt>
                <c:pt idx="6">
                  <c:v>3422</c:v>
                </c:pt>
                <c:pt idx="7">
                  <c:v>12536</c:v>
                </c:pt>
                <c:pt idx="10">
                  <c:v>1140</c:v>
                </c:pt>
                <c:pt idx="11">
                  <c:v>3321</c:v>
                </c:pt>
                <c:pt idx="12">
                  <c:v>5659</c:v>
                </c:pt>
                <c:pt idx="13">
                  <c:v>5179</c:v>
                </c:pt>
                <c:pt idx="14">
                  <c:v>5631</c:v>
                </c:pt>
                <c:pt idx="15">
                  <c:v>36276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49-40A8-97D3-0705F0862E5F}"/>
            </c:ext>
          </c:extLst>
        </c:ser>
        <c:ser>
          <c:idx val="1"/>
          <c:order val="1"/>
          <c:tx>
            <c:v>계획</c:v>
          </c:tx>
          <c:cat>
            <c:strRef>
              <c:f>'11'!$D$6:$D$21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FLOATING</c:v>
                </c:pt>
                <c:pt idx="12">
                  <c:v>STOPPER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'11'!$J$6:$J$21</c:f>
              <c:numCache>
                <c:formatCode>_(* #,##0_);_(* \(#,##0\);_(* "-"_);_(@_)</c:formatCode>
                <c:ptCount val="16"/>
                <c:pt idx="0">
                  <c:v>7328</c:v>
                </c:pt>
                <c:pt idx="1">
                  <c:v>4705</c:v>
                </c:pt>
                <c:pt idx="2">
                  <c:v>2445</c:v>
                </c:pt>
                <c:pt idx="3">
                  <c:v>9962</c:v>
                </c:pt>
                <c:pt idx="4">
                  <c:v>23496</c:v>
                </c:pt>
                <c:pt idx="5">
                  <c:v>67990</c:v>
                </c:pt>
                <c:pt idx="6">
                  <c:v>3422</c:v>
                </c:pt>
                <c:pt idx="7">
                  <c:v>12536</c:v>
                </c:pt>
                <c:pt idx="9">
                  <c:v>5214</c:v>
                </c:pt>
                <c:pt idx="10">
                  <c:v>1140</c:v>
                </c:pt>
                <c:pt idx="11">
                  <c:v>3321</c:v>
                </c:pt>
                <c:pt idx="12">
                  <c:v>5659</c:v>
                </c:pt>
                <c:pt idx="13">
                  <c:v>5179</c:v>
                </c:pt>
                <c:pt idx="14">
                  <c:v>5631</c:v>
                </c:pt>
                <c:pt idx="15">
                  <c:v>36276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9-40A8-97D3-0705F0862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'11'!$AD$6:$AD$21</c:f>
              <c:strCache>
                <c:ptCount val="16"/>
                <c:pt idx="0">
                  <c:v>100%</c:v>
                </c:pt>
                <c:pt idx="1">
                  <c:v>88%</c:v>
                </c:pt>
                <c:pt idx="2">
                  <c:v>42%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63%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25%</c:v>
                </c:pt>
                <c:pt idx="11">
                  <c:v>67%</c:v>
                </c:pt>
                <c:pt idx="12">
                  <c:v>100%</c:v>
                </c:pt>
                <c:pt idx="13">
                  <c:v>100%</c:v>
                </c:pt>
                <c:pt idx="14">
                  <c:v>100%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FLOATING</c:v>
                </c:pt>
                <c:pt idx="12">
                  <c:v>STOPPER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'11'!$AD$6:$AD$21</c:f>
              <c:numCache>
                <c:formatCode>0%</c:formatCode>
                <c:ptCount val="16"/>
                <c:pt idx="0">
                  <c:v>1</c:v>
                </c:pt>
                <c:pt idx="1">
                  <c:v>0.875</c:v>
                </c:pt>
                <c:pt idx="2">
                  <c:v>0.41666666666666669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0.625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0.25</c:v>
                </c:pt>
                <c:pt idx="11">
                  <c:v>0.66666666666666663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C6-405B-985E-EC8CA402904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FC6-405B-985E-EC8CA402904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FLOATING</c:v>
                </c:pt>
                <c:pt idx="12">
                  <c:v>STOPPER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'11'!$AE$6:$AE$21</c:f>
              <c:numCache>
                <c:formatCode>0%</c:formatCode>
                <c:ptCount val="16"/>
                <c:pt idx="0">
                  <c:v>0.64583333333333326</c:v>
                </c:pt>
                <c:pt idx="1">
                  <c:v>0.64583333333333326</c:v>
                </c:pt>
                <c:pt idx="2">
                  <c:v>0.64583333333333326</c:v>
                </c:pt>
                <c:pt idx="3">
                  <c:v>0.64583333333333326</c:v>
                </c:pt>
                <c:pt idx="4">
                  <c:v>0.64583333333333326</c:v>
                </c:pt>
                <c:pt idx="5">
                  <c:v>0.64583333333333326</c:v>
                </c:pt>
                <c:pt idx="6">
                  <c:v>0.64583333333333326</c:v>
                </c:pt>
                <c:pt idx="7">
                  <c:v>0.64583333333333326</c:v>
                </c:pt>
                <c:pt idx="8">
                  <c:v>0.64583333333333326</c:v>
                </c:pt>
                <c:pt idx="9">
                  <c:v>0.64583333333333326</c:v>
                </c:pt>
                <c:pt idx="10">
                  <c:v>0.64583333333333326</c:v>
                </c:pt>
                <c:pt idx="11">
                  <c:v>0.64583333333333326</c:v>
                </c:pt>
                <c:pt idx="12">
                  <c:v>0.64583333333333326</c:v>
                </c:pt>
                <c:pt idx="13">
                  <c:v>0.64583333333333326</c:v>
                </c:pt>
                <c:pt idx="14">
                  <c:v>0.64583333333333326</c:v>
                </c:pt>
                <c:pt idx="15">
                  <c:v>0.64583333333333326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C6-405B-985E-EC8CA4029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FLOATING</c:v>
                </c:pt>
                <c:pt idx="12">
                  <c:v>STOPPER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'11'!$L$6:$L$21</c:f>
              <c:numCache>
                <c:formatCode>_(* #,##0_);_(* \(#,##0\);_(* "-"_);_(@_)</c:formatCode>
                <c:ptCount val="16"/>
                <c:pt idx="0">
                  <c:v>7328</c:v>
                </c:pt>
                <c:pt idx="1">
                  <c:v>4705</c:v>
                </c:pt>
                <c:pt idx="2">
                  <c:v>2445</c:v>
                </c:pt>
                <c:pt idx="3">
                  <c:v>9962</c:v>
                </c:pt>
                <c:pt idx="4">
                  <c:v>23496</c:v>
                </c:pt>
                <c:pt idx="6">
                  <c:v>3422</c:v>
                </c:pt>
                <c:pt idx="7">
                  <c:v>12536</c:v>
                </c:pt>
                <c:pt idx="10">
                  <c:v>1140</c:v>
                </c:pt>
                <c:pt idx="11">
                  <c:v>3321</c:v>
                </c:pt>
                <c:pt idx="12">
                  <c:v>5659</c:v>
                </c:pt>
                <c:pt idx="13">
                  <c:v>5179</c:v>
                </c:pt>
                <c:pt idx="14">
                  <c:v>5631</c:v>
                </c:pt>
                <c:pt idx="15">
                  <c:v>36276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33-4024-8C83-A6505FE155CE}"/>
            </c:ext>
          </c:extLst>
        </c:ser>
        <c:ser>
          <c:idx val="1"/>
          <c:order val="1"/>
          <c:tx>
            <c:v>계획</c:v>
          </c:tx>
          <c:cat>
            <c:strRef>
              <c:f>'11'!$D$6:$D$21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FLOATING</c:v>
                </c:pt>
                <c:pt idx="12">
                  <c:v>STOPPER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'11'!$J$6:$J$21</c:f>
              <c:numCache>
                <c:formatCode>_(* #,##0_);_(* \(#,##0\);_(* "-"_);_(@_)</c:formatCode>
                <c:ptCount val="16"/>
                <c:pt idx="0">
                  <c:v>7328</c:v>
                </c:pt>
                <c:pt idx="1">
                  <c:v>4705</c:v>
                </c:pt>
                <c:pt idx="2">
                  <c:v>2445</c:v>
                </c:pt>
                <c:pt idx="3">
                  <c:v>9962</c:v>
                </c:pt>
                <c:pt idx="4">
                  <c:v>23496</c:v>
                </c:pt>
                <c:pt idx="5">
                  <c:v>67990</c:v>
                </c:pt>
                <c:pt idx="6">
                  <c:v>3422</c:v>
                </c:pt>
                <c:pt idx="7">
                  <c:v>12536</c:v>
                </c:pt>
                <c:pt idx="9">
                  <c:v>5214</c:v>
                </c:pt>
                <c:pt idx="10">
                  <c:v>1140</c:v>
                </c:pt>
                <c:pt idx="11">
                  <c:v>3321</c:v>
                </c:pt>
                <c:pt idx="12">
                  <c:v>5659</c:v>
                </c:pt>
                <c:pt idx="13">
                  <c:v>5179</c:v>
                </c:pt>
                <c:pt idx="14">
                  <c:v>5631</c:v>
                </c:pt>
                <c:pt idx="15">
                  <c:v>36276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33-4024-8C83-A6505FE15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'11'!$AD$6:$AD$21</c:f>
              <c:strCache>
                <c:ptCount val="16"/>
                <c:pt idx="0">
                  <c:v>100%</c:v>
                </c:pt>
                <c:pt idx="1">
                  <c:v>88%</c:v>
                </c:pt>
                <c:pt idx="2">
                  <c:v>42%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63%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25%</c:v>
                </c:pt>
                <c:pt idx="11">
                  <c:v>67%</c:v>
                </c:pt>
                <c:pt idx="12">
                  <c:v>100%</c:v>
                </c:pt>
                <c:pt idx="13">
                  <c:v>100%</c:v>
                </c:pt>
                <c:pt idx="14">
                  <c:v>100%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FLOATING</c:v>
                </c:pt>
                <c:pt idx="12">
                  <c:v>STOPPER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'11'!$AD$6:$AD$21</c:f>
              <c:numCache>
                <c:formatCode>0%</c:formatCode>
                <c:ptCount val="16"/>
                <c:pt idx="0">
                  <c:v>1</c:v>
                </c:pt>
                <c:pt idx="1">
                  <c:v>0.875</c:v>
                </c:pt>
                <c:pt idx="2">
                  <c:v>0.41666666666666669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0.625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0.25</c:v>
                </c:pt>
                <c:pt idx="11">
                  <c:v>0.66666666666666663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6-43DC-A73C-F67CC5B2FE7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C16-43DC-A73C-F67CC5B2FE7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BASE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FLOATING</c:v>
                </c:pt>
                <c:pt idx="12">
                  <c:v>STOPPER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'11'!$AE$6:$AE$21</c:f>
              <c:numCache>
                <c:formatCode>0%</c:formatCode>
                <c:ptCount val="16"/>
                <c:pt idx="0">
                  <c:v>0.64583333333333326</c:v>
                </c:pt>
                <c:pt idx="1">
                  <c:v>0.64583333333333326</c:v>
                </c:pt>
                <c:pt idx="2">
                  <c:v>0.64583333333333326</c:v>
                </c:pt>
                <c:pt idx="3">
                  <c:v>0.64583333333333326</c:v>
                </c:pt>
                <c:pt idx="4">
                  <c:v>0.64583333333333326</c:v>
                </c:pt>
                <c:pt idx="5">
                  <c:v>0.64583333333333326</c:v>
                </c:pt>
                <c:pt idx="6">
                  <c:v>0.64583333333333326</c:v>
                </c:pt>
                <c:pt idx="7">
                  <c:v>0.64583333333333326</c:v>
                </c:pt>
                <c:pt idx="8">
                  <c:v>0.64583333333333326</c:v>
                </c:pt>
                <c:pt idx="9">
                  <c:v>0.64583333333333326</c:v>
                </c:pt>
                <c:pt idx="10">
                  <c:v>0.64583333333333326</c:v>
                </c:pt>
                <c:pt idx="11">
                  <c:v>0.64583333333333326</c:v>
                </c:pt>
                <c:pt idx="12">
                  <c:v>0.64583333333333326</c:v>
                </c:pt>
                <c:pt idx="13">
                  <c:v>0.64583333333333326</c:v>
                </c:pt>
                <c:pt idx="14">
                  <c:v>0.64583333333333326</c:v>
                </c:pt>
                <c:pt idx="15">
                  <c:v>0.64583333333333326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16-43DC-A73C-F67CC5B2F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8D1-4330-9E72-9150B58C3E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0.4140625</c:v>
                </c:pt>
                <c:pt idx="2">
                  <c:v>0.40277777777777779</c:v>
                </c:pt>
                <c:pt idx="3">
                  <c:v>0.46813725490196079</c:v>
                </c:pt>
                <c:pt idx="4">
                  <c:v>0.546875</c:v>
                </c:pt>
                <c:pt idx="5">
                  <c:v>0.54656862745098045</c:v>
                </c:pt>
                <c:pt idx="7">
                  <c:v>2.34375E-2</c:v>
                </c:pt>
                <c:pt idx="8">
                  <c:v>0.5546875</c:v>
                </c:pt>
                <c:pt idx="9">
                  <c:v>0.49218750000000006</c:v>
                </c:pt>
                <c:pt idx="10">
                  <c:v>0.64583333333333326</c:v>
                </c:pt>
                <c:pt idx="11">
                  <c:v>0.56770833333333326</c:v>
                </c:pt>
                <c:pt idx="15">
                  <c:v>0.46813725490196079</c:v>
                </c:pt>
                <c:pt idx="16">
                  <c:v>0.55208333333333337</c:v>
                </c:pt>
                <c:pt idx="17">
                  <c:v>0.54166666666666663</c:v>
                </c:pt>
                <c:pt idx="18">
                  <c:v>0.57812500000000011</c:v>
                </c:pt>
                <c:pt idx="19">
                  <c:v>0.47135416666666669</c:v>
                </c:pt>
                <c:pt idx="22">
                  <c:v>0.31510416666666663</c:v>
                </c:pt>
                <c:pt idx="23">
                  <c:v>0.46614583333333331</c:v>
                </c:pt>
                <c:pt idx="24">
                  <c:v>0.33854166666666669</c:v>
                </c:pt>
                <c:pt idx="25">
                  <c:v>0.29166666666666663</c:v>
                </c:pt>
                <c:pt idx="26">
                  <c:v>0.19531249999999997</c:v>
                </c:pt>
                <c:pt idx="29">
                  <c:v>0.546875</c:v>
                </c:pt>
                <c:pt idx="31">
                  <c:v>0.31424291938997817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D1-4330-9E72-9150B58C3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8D1-4330-9E72-9150B58C3E9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D1-4330-9E72-9150B58C3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LATCH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'12'!$L$6:$L$21</c:f>
              <c:numCache>
                <c:formatCode>_(* #,##0_);_(* \(#,##0\);_(* "-"_);_(@_)</c:formatCode>
                <c:ptCount val="16"/>
                <c:pt idx="0">
                  <c:v>7568</c:v>
                </c:pt>
                <c:pt idx="1">
                  <c:v>3622</c:v>
                </c:pt>
                <c:pt idx="2">
                  <c:v>5035</c:v>
                </c:pt>
                <c:pt idx="3">
                  <c:v>4978</c:v>
                </c:pt>
                <c:pt idx="4">
                  <c:v>2812</c:v>
                </c:pt>
                <c:pt idx="6">
                  <c:v>4035</c:v>
                </c:pt>
                <c:pt idx="7">
                  <c:v>12414</c:v>
                </c:pt>
                <c:pt idx="11">
                  <c:v>50</c:v>
                </c:pt>
                <c:pt idx="12">
                  <c:v>5703</c:v>
                </c:pt>
                <c:pt idx="13">
                  <c:v>4171</c:v>
                </c:pt>
                <c:pt idx="14">
                  <c:v>5627</c:v>
                </c:pt>
                <c:pt idx="15">
                  <c:v>35708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F5-4E7B-97E0-979A62A169A9}"/>
            </c:ext>
          </c:extLst>
        </c:ser>
        <c:ser>
          <c:idx val="1"/>
          <c:order val="1"/>
          <c:tx>
            <c:v>계획</c:v>
          </c:tx>
          <c:cat>
            <c:strRef>
              <c:f>'12'!$D$6:$D$21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LATCH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'12'!$J$6:$J$21</c:f>
              <c:numCache>
                <c:formatCode>_(* #,##0_);_(* \(#,##0\);_(* "-"_);_(@_)</c:formatCode>
                <c:ptCount val="16"/>
                <c:pt idx="0">
                  <c:v>7568</c:v>
                </c:pt>
                <c:pt idx="1">
                  <c:v>3622</c:v>
                </c:pt>
                <c:pt idx="2">
                  <c:v>5035</c:v>
                </c:pt>
                <c:pt idx="3">
                  <c:v>4978</c:v>
                </c:pt>
                <c:pt idx="4">
                  <c:v>2812</c:v>
                </c:pt>
                <c:pt idx="5">
                  <c:v>67990</c:v>
                </c:pt>
                <c:pt idx="6">
                  <c:v>4035</c:v>
                </c:pt>
                <c:pt idx="7">
                  <c:v>12414</c:v>
                </c:pt>
                <c:pt idx="9">
                  <c:v>5214</c:v>
                </c:pt>
                <c:pt idx="10">
                  <c:v>1140</c:v>
                </c:pt>
                <c:pt idx="11">
                  <c:v>50</c:v>
                </c:pt>
                <c:pt idx="12">
                  <c:v>5703</c:v>
                </c:pt>
                <c:pt idx="13">
                  <c:v>4171</c:v>
                </c:pt>
                <c:pt idx="14">
                  <c:v>5627</c:v>
                </c:pt>
                <c:pt idx="15">
                  <c:v>35708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F5-4E7B-97E0-979A62A16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'12'!$AD$6:$AD$21</c:f>
              <c:strCache>
                <c:ptCount val="16"/>
                <c:pt idx="0">
                  <c:v>100%</c:v>
                </c:pt>
                <c:pt idx="1">
                  <c:v>71%</c:v>
                </c:pt>
                <c:pt idx="2">
                  <c:v>92%</c:v>
                </c:pt>
                <c:pt idx="3">
                  <c:v>96%</c:v>
                </c:pt>
                <c:pt idx="4">
                  <c:v>17%</c:v>
                </c:pt>
                <c:pt idx="5">
                  <c:v>0%</c:v>
                </c:pt>
                <c:pt idx="6">
                  <c:v>83%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13%</c:v>
                </c:pt>
                <c:pt idx="12">
                  <c:v>100%</c:v>
                </c:pt>
                <c:pt idx="13">
                  <c:v>88%</c:v>
                </c:pt>
                <c:pt idx="14">
                  <c:v>100%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LATCH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'12'!$AD$6:$AD$21</c:f>
              <c:numCache>
                <c:formatCode>0%</c:formatCode>
                <c:ptCount val="16"/>
                <c:pt idx="0">
                  <c:v>1</c:v>
                </c:pt>
                <c:pt idx="1">
                  <c:v>0.70833333333333337</c:v>
                </c:pt>
                <c:pt idx="2">
                  <c:v>0.91666666666666663</c:v>
                </c:pt>
                <c:pt idx="3">
                  <c:v>0.95833333333333337</c:v>
                </c:pt>
                <c:pt idx="4">
                  <c:v>0.16666666666666666</c:v>
                </c:pt>
                <c:pt idx="5">
                  <c:v>0</c:v>
                </c:pt>
                <c:pt idx="6">
                  <c:v>0.83333333333333337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0.125</c:v>
                </c:pt>
                <c:pt idx="12">
                  <c:v>1</c:v>
                </c:pt>
                <c:pt idx="13">
                  <c:v>0.875</c:v>
                </c:pt>
                <c:pt idx="14">
                  <c:v>1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0E-4EBC-BCBA-5C646500429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A0E-4EBC-BCBA-5C646500429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LATCH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'12'!$AE$6:$AE$21</c:f>
              <c:numCache>
                <c:formatCode>0%</c:formatCode>
                <c:ptCount val="16"/>
                <c:pt idx="0">
                  <c:v>0.56770833333333326</c:v>
                </c:pt>
                <c:pt idx="1">
                  <c:v>0.56770833333333326</c:v>
                </c:pt>
                <c:pt idx="2">
                  <c:v>0.56770833333333326</c:v>
                </c:pt>
                <c:pt idx="3">
                  <c:v>0.56770833333333326</c:v>
                </c:pt>
                <c:pt idx="4">
                  <c:v>0.56770833333333326</c:v>
                </c:pt>
                <c:pt idx="5">
                  <c:v>0.56770833333333326</c:v>
                </c:pt>
                <c:pt idx="6">
                  <c:v>0.56770833333333326</c:v>
                </c:pt>
                <c:pt idx="7">
                  <c:v>0.56770833333333326</c:v>
                </c:pt>
                <c:pt idx="8">
                  <c:v>0.56770833333333326</c:v>
                </c:pt>
                <c:pt idx="9">
                  <c:v>0.56770833333333326</c:v>
                </c:pt>
                <c:pt idx="10">
                  <c:v>0.56770833333333326</c:v>
                </c:pt>
                <c:pt idx="11">
                  <c:v>0.56770833333333326</c:v>
                </c:pt>
                <c:pt idx="12">
                  <c:v>0.56770833333333326</c:v>
                </c:pt>
                <c:pt idx="13">
                  <c:v>0.56770833333333326</c:v>
                </c:pt>
                <c:pt idx="14">
                  <c:v>0.56770833333333326</c:v>
                </c:pt>
                <c:pt idx="15">
                  <c:v>0.56770833333333326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0E-4EBC-BCBA-5C6465004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LATCH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'12'!$L$6:$L$21</c:f>
              <c:numCache>
                <c:formatCode>_(* #,##0_);_(* \(#,##0\);_(* "-"_);_(@_)</c:formatCode>
                <c:ptCount val="16"/>
                <c:pt idx="0">
                  <c:v>7568</c:v>
                </c:pt>
                <c:pt idx="1">
                  <c:v>3622</c:v>
                </c:pt>
                <c:pt idx="2">
                  <c:v>5035</c:v>
                </c:pt>
                <c:pt idx="3">
                  <c:v>4978</c:v>
                </c:pt>
                <c:pt idx="4">
                  <c:v>2812</c:v>
                </c:pt>
                <c:pt idx="6">
                  <c:v>4035</c:v>
                </c:pt>
                <c:pt idx="7">
                  <c:v>12414</c:v>
                </c:pt>
                <c:pt idx="11">
                  <c:v>50</c:v>
                </c:pt>
                <c:pt idx="12">
                  <c:v>5703</c:v>
                </c:pt>
                <c:pt idx="13">
                  <c:v>4171</c:v>
                </c:pt>
                <c:pt idx="14">
                  <c:v>5627</c:v>
                </c:pt>
                <c:pt idx="15">
                  <c:v>35708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83-492D-B2C2-073D80EC8F21}"/>
            </c:ext>
          </c:extLst>
        </c:ser>
        <c:ser>
          <c:idx val="1"/>
          <c:order val="1"/>
          <c:tx>
            <c:v>계획</c:v>
          </c:tx>
          <c:cat>
            <c:strRef>
              <c:f>'12'!$D$6:$D$21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LATCH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'12'!$J$6:$J$21</c:f>
              <c:numCache>
                <c:formatCode>_(* #,##0_);_(* \(#,##0\);_(* "-"_);_(@_)</c:formatCode>
                <c:ptCount val="16"/>
                <c:pt idx="0">
                  <c:v>7568</c:v>
                </c:pt>
                <c:pt idx="1">
                  <c:v>3622</c:v>
                </c:pt>
                <c:pt idx="2">
                  <c:v>5035</c:v>
                </c:pt>
                <c:pt idx="3">
                  <c:v>4978</c:v>
                </c:pt>
                <c:pt idx="4">
                  <c:v>2812</c:v>
                </c:pt>
                <c:pt idx="5">
                  <c:v>67990</c:v>
                </c:pt>
                <c:pt idx="6">
                  <c:v>4035</c:v>
                </c:pt>
                <c:pt idx="7">
                  <c:v>12414</c:v>
                </c:pt>
                <c:pt idx="9">
                  <c:v>5214</c:v>
                </c:pt>
                <c:pt idx="10">
                  <c:v>1140</c:v>
                </c:pt>
                <c:pt idx="11">
                  <c:v>50</c:v>
                </c:pt>
                <c:pt idx="12">
                  <c:v>5703</c:v>
                </c:pt>
                <c:pt idx="13">
                  <c:v>4171</c:v>
                </c:pt>
                <c:pt idx="14">
                  <c:v>5627</c:v>
                </c:pt>
                <c:pt idx="15">
                  <c:v>35708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83-492D-B2C2-073D80EC8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'12'!$AD$6:$AD$21</c:f>
              <c:strCache>
                <c:ptCount val="16"/>
                <c:pt idx="0">
                  <c:v>100%</c:v>
                </c:pt>
                <c:pt idx="1">
                  <c:v>71%</c:v>
                </c:pt>
                <c:pt idx="2">
                  <c:v>92%</c:v>
                </c:pt>
                <c:pt idx="3">
                  <c:v>96%</c:v>
                </c:pt>
                <c:pt idx="4">
                  <c:v>17%</c:v>
                </c:pt>
                <c:pt idx="5">
                  <c:v>0%</c:v>
                </c:pt>
                <c:pt idx="6">
                  <c:v>83%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13%</c:v>
                </c:pt>
                <c:pt idx="12">
                  <c:v>100%</c:v>
                </c:pt>
                <c:pt idx="13">
                  <c:v>88%</c:v>
                </c:pt>
                <c:pt idx="14">
                  <c:v>100%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LATCH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'12'!$AD$6:$AD$21</c:f>
              <c:numCache>
                <c:formatCode>0%</c:formatCode>
                <c:ptCount val="16"/>
                <c:pt idx="0">
                  <c:v>1</c:v>
                </c:pt>
                <c:pt idx="1">
                  <c:v>0.70833333333333337</c:v>
                </c:pt>
                <c:pt idx="2">
                  <c:v>0.91666666666666663</c:v>
                </c:pt>
                <c:pt idx="3">
                  <c:v>0.95833333333333337</c:v>
                </c:pt>
                <c:pt idx="4">
                  <c:v>0.16666666666666666</c:v>
                </c:pt>
                <c:pt idx="5">
                  <c:v>0</c:v>
                </c:pt>
                <c:pt idx="6">
                  <c:v>0.83333333333333337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0.125</c:v>
                </c:pt>
                <c:pt idx="12">
                  <c:v>1</c:v>
                </c:pt>
                <c:pt idx="13">
                  <c:v>0.875</c:v>
                </c:pt>
                <c:pt idx="14">
                  <c:v>1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85-450D-BB45-144702543D1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385-450D-BB45-144702543D1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LATCH</c:v>
                </c:pt>
                <c:pt idx="4">
                  <c:v>LEAD GUIDE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F/A</c:v>
                </c:pt>
                <c:pt idx="12">
                  <c:v>STOPPER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'12'!$AE$6:$AE$21</c:f>
              <c:numCache>
                <c:formatCode>0%</c:formatCode>
                <c:ptCount val="16"/>
                <c:pt idx="0">
                  <c:v>0.56770833333333326</c:v>
                </c:pt>
                <c:pt idx="1">
                  <c:v>0.56770833333333326</c:v>
                </c:pt>
                <c:pt idx="2">
                  <c:v>0.56770833333333326</c:v>
                </c:pt>
                <c:pt idx="3">
                  <c:v>0.56770833333333326</c:v>
                </c:pt>
                <c:pt idx="4">
                  <c:v>0.56770833333333326</c:v>
                </c:pt>
                <c:pt idx="5">
                  <c:v>0.56770833333333326</c:v>
                </c:pt>
                <c:pt idx="6">
                  <c:v>0.56770833333333326</c:v>
                </c:pt>
                <c:pt idx="7">
                  <c:v>0.56770833333333326</c:v>
                </c:pt>
                <c:pt idx="8">
                  <c:v>0.56770833333333326</c:v>
                </c:pt>
                <c:pt idx="9">
                  <c:v>0.56770833333333326</c:v>
                </c:pt>
                <c:pt idx="10">
                  <c:v>0.56770833333333326</c:v>
                </c:pt>
                <c:pt idx="11">
                  <c:v>0.56770833333333326</c:v>
                </c:pt>
                <c:pt idx="12">
                  <c:v>0.56770833333333326</c:v>
                </c:pt>
                <c:pt idx="13">
                  <c:v>0.56770833333333326</c:v>
                </c:pt>
                <c:pt idx="14">
                  <c:v>0.56770833333333326</c:v>
                </c:pt>
                <c:pt idx="15">
                  <c:v>0.56770833333333326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85-450D-BB45-144702543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634-4F84-90FD-E8CFD67F49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0.4140625</c:v>
                </c:pt>
                <c:pt idx="2">
                  <c:v>0.40277777777777779</c:v>
                </c:pt>
                <c:pt idx="3">
                  <c:v>0.46813725490196079</c:v>
                </c:pt>
                <c:pt idx="4">
                  <c:v>0.546875</c:v>
                </c:pt>
                <c:pt idx="5">
                  <c:v>0.54656862745098045</c:v>
                </c:pt>
                <c:pt idx="7">
                  <c:v>2.34375E-2</c:v>
                </c:pt>
                <c:pt idx="8">
                  <c:v>0.5546875</c:v>
                </c:pt>
                <c:pt idx="9">
                  <c:v>0.49218750000000006</c:v>
                </c:pt>
                <c:pt idx="10">
                  <c:v>0.64583333333333326</c:v>
                </c:pt>
                <c:pt idx="11">
                  <c:v>0.56770833333333326</c:v>
                </c:pt>
                <c:pt idx="15">
                  <c:v>0.46813725490196079</c:v>
                </c:pt>
                <c:pt idx="16">
                  <c:v>0.55208333333333337</c:v>
                </c:pt>
                <c:pt idx="17">
                  <c:v>0.54166666666666663</c:v>
                </c:pt>
                <c:pt idx="18">
                  <c:v>0.57812500000000011</c:v>
                </c:pt>
                <c:pt idx="19">
                  <c:v>0.47135416666666669</c:v>
                </c:pt>
                <c:pt idx="22">
                  <c:v>0.31510416666666663</c:v>
                </c:pt>
                <c:pt idx="23">
                  <c:v>0.46614583333333331</c:v>
                </c:pt>
                <c:pt idx="24">
                  <c:v>0.33854166666666669</c:v>
                </c:pt>
                <c:pt idx="25">
                  <c:v>0.29166666666666663</c:v>
                </c:pt>
                <c:pt idx="26">
                  <c:v>0.19531249999999997</c:v>
                </c:pt>
                <c:pt idx="29">
                  <c:v>0.546875</c:v>
                </c:pt>
                <c:pt idx="31">
                  <c:v>0.31424291938997817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34-4F84-90FD-E8CFD67F4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634-4F84-90FD-E8CFD67F491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34-4F84-90FD-E8CFD67F4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'16'!$D$6:$D$22</c:f>
              <c:strCache>
                <c:ptCount val="16"/>
                <c:pt idx="0">
                  <c:v>F/A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LEAD GUIDE</c:v>
                </c:pt>
                <c:pt idx="9">
                  <c:v>BASE</c:v>
                </c:pt>
                <c:pt idx="10">
                  <c:v>ADAPTER</c:v>
                </c:pt>
                <c:pt idx="11">
                  <c:v>TOP/BOTTOM</c:v>
                </c:pt>
                <c:pt idx="12">
                  <c:v>F/A</c:v>
                </c:pt>
                <c:pt idx="13">
                  <c:v>STOPPER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'16'!$L$6:$L$22</c:f>
              <c:numCache>
                <c:formatCode>_(* #,##0_);_(* \(#,##0\);_(* "-"_);_(@_)</c:formatCode>
                <c:ptCount val="17"/>
                <c:pt idx="0">
                  <c:v>2694</c:v>
                </c:pt>
                <c:pt idx="1">
                  <c:v>4848</c:v>
                </c:pt>
                <c:pt idx="2">
                  <c:v>5245</c:v>
                </c:pt>
                <c:pt idx="3">
                  <c:v>5482</c:v>
                </c:pt>
                <c:pt idx="4">
                  <c:v>3274</c:v>
                </c:pt>
                <c:pt idx="6">
                  <c:v>3448</c:v>
                </c:pt>
                <c:pt idx="7">
                  <c:v>2852</c:v>
                </c:pt>
                <c:pt idx="8">
                  <c:v>14284</c:v>
                </c:pt>
                <c:pt idx="11">
                  <c:v>4862</c:v>
                </c:pt>
                <c:pt idx="14">
                  <c:v>1059</c:v>
                </c:pt>
                <c:pt idx="15">
                  <c:v>2575</c:v>
                </c:pt>
                <c:pt idx="16">
                  <c:v>30492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6D-4098-90F1-8CE77712BE84}"/>
            </c:ext>
          </c:extLst>
        </c:ser>
        <c:ser>
          <c:idx val="1"/>
          <c:order val="1"/>
          <c:tx>
            <c:v>계획</c:v>
          </c:tx>
          <c:cat>
            <c:strRef>
              <c:f>'16'!$D$6:$D$22</c:f>
              <c:strCache>
                <c:ptCount val="16"/>
                <c:pt idx="0">
                  <c:v>F/A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LEAD GUIDE</c:v>
                </c:pt>
                <c:pt idx="9">
                  <c:v>BASE</c:v>
                </c:pt>
                <c:pt idx="10">
                  <c:v>ADAPTER</c:v>
                </c:pt>
                <c:pt idx="11">
                  <c:v>TOP/BOTTOM</c:v>
                </c:pt>
                <c:pt idx="12">
                  <c:v>F/A</c:v>
                </c:pt>
                <c:pt idx="13">
                  <c:v>STOPPER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'16'!$J$6:$J$22</c:f>
              <c:numCache>
                <c:formatCode>_(* #,##0_);_(* \(#,##0\);_(* "-"_);_(@_)</c:formatCode>
                <c:ptCount val="17"/>
                <c:pt idx="0">
                  <c:v>2694</c:v>
                </c:pt>
                <c:pt idx="1">
                  <c:v>4848</c:v>
                </c:pt>
                <c:pt idx="2">
                  <c:v>5245</c:v>
                </c:pt>
                <c:pt idx="3">
                  <c:v>5482</c:v>
                </c:pt>
                <c:pt idx="4">
                  <c:v>3274</c:v>
                </c:pt>
                <c:pt idx="5">
                  <c:v>67990</c:v>
                </c:pt>
                <c:pt idx="6">
                  <c:v>3448</c:v>
                </c:pt>
                <c:pt idx="7">
                  <c:v>2852</c:v>
                </c:pt>
                <c:pt idx="8">
                  <c:v>14284</c:v>
                </c:pt>
                <c:pt idx="10">
                  <c:v>5214</c:v>
                </c:pt>
                <c:pt idx="11">
                  <c:v>4862</c:v>
                </c:pt>
                <c:pt idx="12">
                  <c:v>50</c:v>
                </c:pt>
                <c:pt idx="13">
                  <c:v>5703</c:v>
                </c:pt>
                <c:pt idx="14">
                  <c:v>1059</c:v>
                </c:pt>
                <c:pt idx="15">
                  <c:v>2575</c:v>
                </c:pt>
                <c:pt idx="16">
                  <c:v>30492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6D-4098-90F1-8CE77712B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'16'!$AD$6:$AD$22</c:f>
              <c:strCache>
                <c:ptCount val="17"/>
                <c:pt idx="0">
                  <c:v>54%</c:v>
                </c:pt>
                <c:pt idx="1">
                  <c:v>88%</c:v>
                </c:pt>
                <c:pt idx="2">
                  <c:v>100%</c:v>
                </c:pt>
                <c:pt idx="3">
                  <c:v>100%</c:v>
                </c:pt>
                <c:pt idx="4">
                  <c:v>54%</c:v>
                </c:pt>
                <c:pt idx="5">
                  <c:v>0%</c:v>
                </c:pt>
                <c:pt idx="6">
                  <c:v>79%</c:v>
                </c:pt>
                <c:pt idx="7">
                  <c:v>21%</c:v>
                </c:pt>
                <c:pt idx="8">
                  <c:v>71%</c:v>
                </c:pt>
                <c:pt idx="9">
                  <c:v>0%</c:v>
                </c:pt>
                <c:pt idx="10">
                  <c:v>0%</c:v>
                </c:pt>
                <c:pt idx="11">
                  <c:v>92%</c:v>
                </c:pt>
                <c:pt idx="12">
                  <c:v>0%</c:v>
                </c:pt>
                <c:pt idx="13">
                  <c:v>0%</c:v>
                </c:pt>
                <c:pt idx="14">
                  <c:v>25%</c:v>
                </c:pt>
                <c:pt idx="15">
                  <c:v>67%</c:v>
                </c:pt>
                <c:pt idx="16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'16'!$D$6:$D$22</c:f>
              <c:strCache>
                <c:ptCount val="16"/>
                <c:pt idx="0">
                  <c:v>F/A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LEAD GUIDE</c:v>
                </c:pt>
                <c:pt idx="9">
                  <c:v>BASE</c:v>
                </c:pt>
                <c:pt idx="10">
                  <c:v>ADAPTER</c:v>
                </c:pt>
                <c:pt idx="11">
                  <c:v>TOP/BOTTOM</c:v>
                </c:pt>
                <c:pt idx="12">
                  <c:v>F/A</c:v>
                </c:pt>
                <c:pt idx="13">
                  <c:v>STOPPER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'16'!$AD$6:$AD$22</c:f>
              <c:numCache>
                <c:formatCode>0%</c:formatCode>
                <c:ptCount val="17"/>
                <c:pt idx="0">
                  <c:v>0.54166666666666663</c:v>
                </c:pt>
                <c:pt idx="1">
                  <c:v>0.875</c:v>
                </c:pt>
                <c:pt idx="2">
                  <c:v>1</c:v>
                </c:pt>
                <c:pt idx="3">
                  <c:v>1</c:v>
                </c:pt>
                <c:pt idx="4">
                  <c:v>0.54166666666666663</c:v>
                </c:pt>
                <c:pt idx="5">
                  <c:v>0</c:v>
                </c:pt>
                <c:pt idx="6">
                  <c:v>0.79166666666666663</c:v>
                </c:pt>
                <c:pt idx="7">
                  <c:v>0.20833333333333334</c:v>
                </c:pt>
                <c:pt idx="8">
                  <c:v>0.70833333333333337</c:v>
                </c:pt>
                <c:pt idx="9">
                  <c:v>0</c:v>
                </c:pt>
                <c:pt idx="10">
                  <c:v>0</c:v>
                </c:pt>
                <c:pt idx="11">
                  <c:v>0.91666666666666663</c:v>
                </c:pt>
                <c:pt idx="12">
                  <c:v>0</c:v>
                </c:pt>
                <c:pt idx="13">
                  <c:v>0</c:v>
                </c:pt>
                <c:pt idx="14">
                  <c:v>0.25</c:v>
                </c:pt>
                <c:pt idx="15">
                  <c:v>0.66666666666666663</c:v>
                </c:pt>
                <c:pt idx="16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E5-4B20-A2AA-5630D861162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9E5-4B20-A2AA-5630D861162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'16'!$D$6:$D$22</c:f>
              <c:strCache>
                <c:ptCount val="16"/>
                <c:pt idx="0">
                  <c:v>F/A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LEAD GUIDE</c:v>
                </c:pt>
                <c:pt idx="9">
                  <c:v>BASE</c:v>
                </c:pt>
                <c:pt idx="10">
                  <c:v>ADAPTER</c:v>
                </c:pt>
                <c:pt idx="11">
                  <c:v>TOP/BOTTOM</c:v>
                </c:pt>
                <c:pt idx="12">
                  <c:v>F/A</c:v>
                </c:pt>
                <c:pt idx="13">
                  <c:v>STOPPER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'16'!$AE$6:$AE$22</c:f>
              <c:numCache>
                <c:formatCode>0%</c:formatCode>
                <c:ptCount val="17"/>
                <c:pt idx="0">
                  <c:v>0.46813725490196079</c:v>
                </c:pt>
                <c:pt idx="1">
                  <c:v>0.46813725490196079</c:v>
                </c:pt>
                <c:pt idx="2">
                  <c:v>0.46813725490196079</c:v>
                </c:pt>
                <c:pt idx="3">
                  <c:v>0.46813725490196079</c:v>
                </c:pt>
                <c:pt idx="4">
                  <c:v>0.46813725490196079</c:v>
                </c:pt>
                <c:pt idx="5">
                  <c:v>0.46813725490196079</c:v>
                </c:pt>
                <c:pt idx="6">
                  <c:v>0.46813725490196079</c:v>
                </c:pt>
                <c:pt idx="7">
                  <c:v>0.46813725490196079</c:v>
                </c:pt>
                <c:pt idx="8">
                  <c:v>0.46813725490196079</c:v>
                </c:pt>
                <c:pt idx="9">
                  <c:v>0.46813725490196079</c:v>
                </c:pt>
                <c:pt idx="10">
                  <c:v>0.46813725490196079</c:v>
                </c:pt>
                <c:pt idx="11">
                  <c:v>0.46813725490196079</c:v>
                </c:pt>
                <c:pt idx="12">
                  <c:v>0.46813725490196079</c:v>
                </c:pt>
                <c:pt idx="13">
                  <c:v>0.46813725490196079</c:v>
                </c:pt>
                <c:pt idx="14">
                  <c:v>0.46813725490196079</c:v>
                </c:pt>
                <c:pt idx="15">
                  <c:v>0.46813725490196079</c:v>
                </c:pt>
                <c:pt idx="16">
                  <c:v>0.46813725490196079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E5-4B20-A2AA-5630D8611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'16'!$D$6:$D$22</c:f>
              <c:strCache>
                <c:ptCount val="16"/>
                <c:pt idx="0">
                  <c:v>F/A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LEAD GUIDE</c:v>
                </c:pt>
                <c:pt idx="9">
                  <c:v>BASE</c:v>
                </c:pt>
                <c:pt idx="10">
                  <c:v>ADAPTER</c:v>
                </c:pt>
                <c:pt idx="11">
                  <c:v>TOP/BOTTOM</c:v>
                </c:pt>
                <c:pt idx="12">
                  <c:v>F/A</c:v>
                </c:pt>
                <c:pt idx="13">
                  <c:v>STOPPER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'16'!$L$6:$L$22</c:f>
              <c:numCache>
                <c:formatCode>_(* #,##0_);_(* \(#,##0\);_(* "-"_);_(@_)</c:formatCode>
                <c:ptCount val="17"/>
                <c:pt idx="0">
                  <c:v>2694</c:v>
                </c:pt>
                <c:pt idx="1">
                  <c:v>4848</c:v>
                </c:pt>
                <c:pt idx="2">
                  <c:v>5245</c:v>
                </c:pt>
                <c:pt idx="3">
                  <c:v>5482</c:v>
                </c:pt>
                <c:pt idx="4">
                  <c:v>3274</c:v>
                </c:pt>
                <c:pt idx="6">
                  <c:v>3448</c:v>
                </c:pt>
                <c:pt idx="7">
                  <c:v>2852</c:v>
                </c:pt>
                <c:pt idx="8">
                  <c:v>14284</c:v>
                </c:pt>
                <c:pt idx="11">
                  <c:v>4862</c:v>
                </c:pt>
                <c:pt idx="14">
                  <c:v>1059</c:v>
                </c:pt>
                <c:pt idx="15">
                  <c:v>2575</c:v>
                </c:pt>
                <c:pt idx="16">
                  <c:v>30492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08-40BB-BB37-BC5DA10DEAE8}"/>
            </c:ext>
          </c:extLst>
        </c:ser>
        <c:ser>
          <c:idx val="1"/>
          <c:order val="1"/>
          <c:tx>
            <c:v>계획</c:v>
          </c:tx>
          <c:cat>
            <c:strRef>
              <c:f>'16'!$D$6:$D$22</c:f>
              <c:strCache>
                <c:ptCount val="16"/>
                <c:pt idx="0">
                  <c:v>F/A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LEAD GUIDE</c:v>
                </c:pt>
                <c:pt idx="9">
                  <c:v>BASE</c:v>
                </c:pt>
                <c:pt idx="10">
                  <c:v>ADAPTER</c:v>
                </c:pt>
                <c:pt idx="11">
                  <c:v>TOP/BOTTOM</c:v>
                </c:pt>
                <c:pt idx="12">
                  <c:v>F/A</c:v>
                </c:pt>
                <c:pt idx="13">
                  <c:v>STOPPER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'16'!$J$6:$J$22</c:f>
              <c:numCache>
                <c:formatCode>_(* #,##0_);_(* \(#,##0\);_(* "-"_);_(@_)</c:formatCode>
                <c:ptCount val="17"/>
                <c:pt idx="0">
                  <c:v>2694</c:v>
                </c:pt>
                <c:pt idx="1">
                  <c:v>4848</c:v>
                </c:pt>
                <c:pt idx="2">
                  <c:v>5245</c:v>
                </c:pt>
                <c:pt idx="3">
                  <c:v>5482</c:v>
                </c:pt>
                <c:pt idx="4">
                  <c:v>3274</c:v>
                </c:pt>
                <c:pt idx="5">
                  <c:v>67990</c:v>
                </c:pt>
                <c:pt idx="6">
                  <c:v>3448</c:v>
                </c:pt>
                <c:pt idx="7">
                  <c:v>2852</c:v>
                </c:pt>
                <c:pt idx="8">
                  <c:v>14284</c:v>
                </c:pt>
                <c:pt idx="10">
                  <c:v>5214</c:v>
                </c:pt>
                <c:pt idx="11">
                  <c:v>4862</c:v>
                </c:pt>
                <c:pt idx="12">
                  <c:v>50</c:v>
                </c:pt>
                <c:pt idx="13">
                  <c:v>5703</c:v>
                </c:pt>
                <c:pt idx="14">
                  <c:v>1059</c:v>
                </c:pt>
                <c:pt idx="15">
                  <c:v>2575</c:v>
                </c:pt>
                <c:pt idx="16">
                  <c:v>30492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08-40BB-BB37-BC5DA10DE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'16'!$AD$6:$AD$22</c:f>
              <c:strCache>
                <c:ptCount val="17"/>
                <c:pt idx="0">
                  <c:v>54%</c:v>
                </c:pt>
                <c:pt idx="1">
                  <c:v>88%</c:v>
                </c:pt>
                <c:pt idx="2">
                  <c:v>100%</c:v>
                </c:pt>
                <c:pt idx="3">
                  <c:v>100%</c:v>
                </c:pt>
                <c:pt idx="4">
                  <c:v>54%</c:v>
                </c:pt>
                <c:pt idx="5">
                  <c:v>0%</c:v>
                </c:pt>
                <c:pt idx="6">
                  <c:v>79%</c:v>
                </c:pt>
                <c:pt idx="7">
                  <c:v>21%</c:v>
                </c:pt>
                <c:pt idx="8">
                  <c:v>71%</c:v>
                </c:pt>
                <c:pt idx="9">
                  <c:v>0%</c:v>
                </c:pt>
                <c:pt idx="10">
                  <c:v>0%</c:v>
                </c:pt>
                <c:pt idx="11">
                  <c:v>92%</c:v>
                </c:pt>
                <c:pt idx="12">
                  <c:v>0%</c:v>
                </c:pt>
                <c:pt idx="13">
                  <c:v>0%</c:v>
                </c:pt>
                <c:pt idx="14">
                  <c:v>25%</c:v>
                </c:pt>
                <c:pt idx="15">
                  <c:v>67%</c:v>
                </c:pt>
                <c:pt idx="16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'16'!$D$6:$D$22</c:f>
              <c:strCache>
                <c:ptCount val="16"/>
                <c:pt idx="0">
                  <c:v>F/A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LEAD GUIDE</c:v>
                </c:pt>
                <c:pt idx="9">
                  <c:v>BASE</c:v>
                </c:pt>
                <c:pt idx="10">
                  <c:v>ADAPTER</c:v>
                </c:pt>
                <c:pt idx="11">
                  <c:v>TOP/BOTTOM</c:v>
                </c:pt>
                <c:pt idx="12">
                  <c:v>F/A</c:v>
                </c:pt>
                <c:pt idx="13">
                  <c:v>STOPPER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'16'!$AD$6:$AD$22</c:f>
              <c:numCache>
                <c:formatCode>0%</c:formatCode>
                <c:ptCount val="17"/>
                <c:pt idx="0">
                  <c:v>0.54166666666666663</c:v>
                </c:pt>
                <c:pt idx="1">
                  <c:v>0.875</c:v>
                </c:pt>
                <c:pt idx="2">
                  <c:v>1</c:v>
                </c:pt>
                <c:pt idx="3">
                  <c:v>1</c:v>
                </c:pt>
                <c:pt idx="4">
                  <c:v>0.54166666666666663</c:v>
                </c:pt>
                <c:pt idx="5">
                  <c:v>0</c:v>
                </c:pt>
                <c:pt idx="6">
                  <c:v>0.79166666666666663</c:v>
                </c:pt>
                <c:pt idx="7">
                  <c:v>0.20833333333333334</c:v>
                </c:pt>
                <c:pt idx="8">
                  <c:v>0.70833333333333337</c:v>
                </c:pt>
                <c:pt idx="9">
                  <c:v>0</c:v>
                </c:pt>
                <c:pt idx="10">
                  <c:v>0</c:v>
                </c:pt>
                <c:pt idx="11">
                  <c:v>0.91666666666666663</c:v>
                </c:pt>
                <c:pt idx="12">
                  <c:v>0</c:v>
                </c:pt>
                <c:pt idx="13">
                  <c:v>0</c:v>
                </c:pt>
                <c:pt idx="14">
                  <c:v>0.25</c:v>
                </c:pt>
                <c:pt idx="15">
                  <c:v>0.66666666666666663</c:v>
                </c:pt>
                <c:pt idx="16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37-4AF2-A182-0A53EC8E598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337-4AF2-A182-0A53EC8E598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'16'!$D$6:$D$22</c:f>
              <c:strCache>
                <c:ptCount val="16"/>
                <c:pt idx="0">
                  <c:v>F/A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LEAD GUIDE</c:v>
                </c:pt>
                <c:pt idx="9">
                  <c:v>BASE</c:v>
                </c:pt>
                <c:pt idx="10">
                  <c:v>ADAPTER</c:v>
                </c:pt>
                <c:pt idx="11">
                  <c:v>TOP/BOTTOM</c:v>
                </c:pt>
                <c:pt idx="12">
                  <c:v>F/A</c:v>
                </c:pt>
                <c:pt idx="13">
                  <c:v>STOPPER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'16'!$AE$6:$AE$22</c:f>
              <c:numCache>
                <c:formatCode>0%</c:formatCode>
                <c:ptCount val="17"/>
                <c:pt idx="0">
                  <c:v>0.46813725490196079</c:v>
                </c:pt>
                <c:pt idx="1">
                  <c:v>0.46813725490196079</c:v>
                </c:pt>
                <c:pt idx="2">
                  <c:v>0.46813725490196079</c:v>
                </c:pt>
                <c:pt idx="3">
                  <c:v>0.46813725490196079</c:v>
                </c:pt>
                <c:pt idx="4">
                  <c:v>0.46813725490196079</c:v>
                </c:pt>
                <c:pt idx="5">
                  <c:v>0.46813725490196079</c:v>
                </c:pt>
                <c:pt idx="6">
                  <c:v>0.46813725490196079</c:v>
                </c:pt>
                <c:pt idx="7">
                  <c:v>0.46813725490196079</c:v>
                </c:pt>
                <c:pt idx="8">
                  <c:v>0.46813725490196079</c:v>
                </c:pt>
                <c:pt idx="9">
                  <c:v>0.46813725490196079</c:v>
                </c:pt>
                <c:pt idx="10">
                  <c:v>0.46813725490196079</c:v>
                </c:pt>
                <c:pt idx="11">
                  <c:v>0.46813725490196079</c:v>
                </c:pt>
                <c:pt idx="12">
                  <c:v>0.46813725490196079</c:v>
                </c:pt>
                <c:pt idx="13">
                  <c:v>0.46813725490196079</c:v>
                </c:pt>
                <c:pt idx="14">
                  <c:v>0.46813725490196079</c:v>
                </c:pt>
                <c:pt idx="15">
                  <c:v>0.46813725490196079</c:v>
                </c:pt>
                <c:pt idx="16">
                  <c:v>0.46813725490196079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37-4AF2-A182-0A53EC8E5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04B-4F73-B701-66181F73CF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0.4140625</c:v>
                </c:pt>
                <c:pt idx="2">
                  <c:v>0.40277777777777779</c:v>
                </c:pt>
                <c:pt idx="3">
                  <c:v>0.46813725490196079</c:v>
                </c:pt>
                <c:pt idx="4">
                  <c:v>0.546875</c:v>
                </c:pt>
                <c:pt idx="5">
                  <c:v>0.54656862745098045</c:v>
                </c:pt>
                <c:pt idx="7">
                  <c:v>2.34375E-2</c:v>
                </c:pt>
                <c:pt idx="8">
                  <c:v>0.5546875</c:v>
                </c:pt>
                <c:pt idx="9">
                  <c:v>0.49218750000000006</c:v>
                </c:pt>
                <c:pt idx="10">
                  <c:v>0.64583333333333326</c:v>
                </c:pt>
                <c:pt idx="11">
                  <c:v>0.56770833333333326</c:v>
                </c:pt>
                <c:pt idx="15">
                  <c:v>0.46813725490196079</c:v>
                </c:pt>
                <c:pt idx="16">
                  <c:v>0.55208333333333337</c:v>
                </c:pt>
                <c:pt idx="17">
                  <c:v>0.54166666666666663</c:v>
                </c:pt>
                <c:pt idx="18">
                  <c:v>0.57812500000000011</c:v>
                </c:pt>
                <c:pt idx="19">
                  <c:v>0.47135416666666669</c:v>
                </c:pt>
                <c:pt idx="22">
                  <c:v>0.31510416666666663</c:v>
                </c:pt>
                <c:pt idx="23">
                  <c:v>0.46614583333333331</c:v>
                </c:pt>
                <c:pt idx="24">
                  <c:v>0.33854166666666669</c:v>
                </c:pt>
                <c:pt idx="25">
                  <c:v>0.29166666666666663</c:v>
                </c:pt>
                <c:pt idx="26">
                  <c:v>0.19531249999999997</c:v>
                </c:pt>
                <c:pt idx="29">
                  <c:v>0.546875</c:v>
                </c:pt>
                <c:pt idx="31">
                  <c:v>0.31424291938997817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4B-4F73-B701-66181F73C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B04B-4F73-B701-66181F73CF1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4B-4F73-B701-66181F73C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'17'!$L$6:$L$21</c:f>
              <c:numCache>
                <c:formatCode>_(* #,##0_);_(* \(#,##0\);_(* "-"_);_(@_)</c:formatCode>
                <c:ptCount val="16"/>
                <c:pt idx="0">
                  <c:v>5632</c:v>
                </c:pt>
                <c:pt idx="1">
                  <c:v>4618</c:v>
                </c:pt>
                <c:pt idx="2">
                  <c:v>5660</c:v>
                </c:pt>
                <c:pt idx="3">
                  <c:v>3821</c:v>
                </c:pt>
                <c:pt idx="4">
                  <c:v>4039</c:v>
                </c:pt>
                <c:pt idx="6">
                  <c:v>4747</c:v>
                </c:pt>
                <c:pt idx="7">
                  <c:v>554</c:v>
                </c:pt>
                <c:pt idx="10">
                  <c:v>3086</c:v>
                </c:pt>
                <c:pt idx="12">
                  <c:v>2244</c:v>
                </c:pt>
                <c:pt idx="13">
                  <c:v>3893</c:v>
                </c:pt>
                <c:pt idx="14">
                  <c:v>3882</c:v>
                </c:pt>
                <c:pt idx="15">
                  <c:v>36736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66-480E-B7FC-C79344F8E753}"/>
            </c:ext>
          </c:extLst>
        </c:ser>
        <c:ser>
          <c:idx val="1"/>
          <c:order val="1"/>
          <c:tx>
            <c:v>계획</c:v>
          </c:tx>
          <c:cat>
            <c:strRef>
              <c:f>'17'!$D$6:$D$21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'17'!$J$6:$J$21</c:f>
              <c:numCache>
                <c:formatCode>_(* #,##0_);_(* \(#,##0\);_(* "-"_);_(@_)</c:formatCode>
                <c:ptCount val="16"/>
                <c:pt idx="0">
                  <c:v>5632</c:v>
                </c:pt>
                <c:pt idx="1">
                  <c:v>4618</c:v>
                </c:pt>
                <c:pt idx="2">
                  <c:v>5660</c:v>
                </c:pt>
                <c:pt idx="3">
                  <c:v>3821</c:v>
                </c:pt>
                <c:pt idx="4">
                  <c:v>4039</c:v>
                </c:pt>
                <c:pt idx="5">
                  <c:v>67990</c:v>
                </c:pt>
                <c:pt idx="6">
                  <c:v>4747</c:v>
                </c:pt>
                <c:pt idx="7">
                  <c:v>554</c:v>
                </c:pt>
                <c:pt idx="9">
                  <c:v>5214</c:v>
                </c:pt>
                <c:pt idx="10">
                  <c:v>3086</c:v>
                </c:pt>
                <c:pt idx="11">
                  <c:v>50</c:v>
                </c:pt>
                <c:pt idx="12">
                  <c:v>2244</c:v>
                </c:pt>
                <c:pt idx="13">
                  <c:v>3893</c:v>
                </c:pt>
                <c:pt idx="14">
                  <c:v>3882</c:v>
                </c:pt>
                <c:pt idx="15">
                  <c:v>36736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66-480E-B7FC-C79344F8E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'17'!$AD$6:$AD$21</c:f>
              <c:strCache>
                <c:ptCount val="16"/>
                <c:pt idx="0">
                  <c:v>100%</c:v>
                </c:pt>
                <c:pt idx="1">
                  <c:v>79%</c:v>
                </c:pt>
                <c:pt idx="2">
                  <c:v>100%</c:v>
                </c:pt>
                <c:pt idx="3">
                  <c:v>71%</c:v>
                </c:pt>
                <c:pt idx="4">
                  <c:v>71%</c:v>
                </c:pt>
                <c:pt idx="5">
                  <c:v>0%</c:v>
                </c:pt>
                <c:pt idx="6">
                  <c:v>96%</c:v>
                </c:pt>
                <c:pt idx="7">
                  <c:v>25%</c:v>
                </c:pt>
                <c:pt idx="8">
                  <c:v>0%</c:v>
                </c:pt>
                <c:pt idx="9">
                  <c:v>0%</c:v>
                </c:pt>
                <c:pt idx="10">
                  <c:v>67%</c:v>
                </c:pt>
                <c:pt idx="11">
                  <c:v>0%</c:v>
                </c:pt>
                <c:pt idx="12">
                  <c:v>50%</c:v>
                </c:pt>
                <c:pt idx="13">
                  <c:v>83%</c:v>
                </c:pt>
                <c:pt idx="14">
                  <c:v>83%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'17'!$AD$6:$AD$21</c:f>
              <c:numCache>
                <c:formatCode>0%</c:formatCode>
                <c:ptCount val="16"/>
                <c:pt idx="0">
                  <c:v>1</c:v>
                </c:pt>
                <c:pt idx="1">
                  <c:v>0.79166666666666663</c:v>
                </c:pt>
                <c:pt idx="2">
                  <c:v>1</c:v>
                </c:pt>
                <c:pt idx="3">
                  <c:v>0.70833333333333337</c:v>
                </c:pt>
                <c:pt idx="4">
                  <c:v>0.70833333333333337</c:v>
                </c:pt>
                <c:pt idx="5">
                  <c:v>0</c:v>
                </c:pt>
                <c:pt idx="6">
                  <c:v>0.95833333333333337</c:v>
                </c:pt>
                <c:pt idx="7">
                  <c:v>0.25</c:v>
                </c:pt>
                <c:pt idx="8">
                  <c:v>0</c:v>
                </c:pt>
                <c:pt idx="9">
                  <c:v>0</c:v>
                </c:pt>
                <c:pt idx="10">
                  <c:v>0.66666666666666663</c:v>
                </c:pt>
                <c:pt idx="11">
                  <c:v>0</c:v>
                </c:pt>
                <c:pt idx="12">
                  <c:v>0.5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F7-4BB1-A5CA-35385CA9566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1F7-4BB1-A5CA-35385CA9566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'17'!$AE$6:$AE$21</c:f>
              <c:numCache>
                <c:formatCode>0%</c:formatCode>
                <c:ptCount val="16"/>
                <c:pt idx="0">
                  <c:v>0.55208333333333337</c:v>
                </c:pt>
                <c:pt idx="1">
                  <c:v>0.55208333333333337</c:v>
                </c:pt>
                <c:pt idx="2">
                  <c:v>0.55208333333333337</c:v>
                </c:pt>
                <c:pt idx="3">
                  <c:v>0.55208333333333337</c:v>
                </c:pt>
                <c:pt idx="4">
                  <c:v>0.55208333333333337</c:v>
                </c:pt>
                <c:pt idx="5">
                  <c:v>0.55208333333333337</c:v>
                </c:pt>
                <c:pt idx="6">
                  <c:v>0.55208333333333337</c:v>
                </c:pt>
                <c:pt idx="7">
                  <c:v>0.55208333333333337</c:v>
                </c:pt>
                <c:pt idx="8">
                  <c:v>0.55208333333333337</c:v>
                </c:pt>
                <c:pt idx="9">
                  <c:v>0.55208333333333337</c:v>
                </c:pt>
                <c:pt idx="10">
                  <c:v>0.55208333333333337</c:v>
                </c:pt>
                <c:pt idx="11">
                  <c:v>0.55208333333333337</c:v>
                </c:pt>
                <c:pt idx="12">
                  <c:v>0.55208333333333337</c:v>
                </c:pt>
                <c:pt idx="13">
                  <c:v>0.55208333333333337</c:v>
                </c:pt>
                <c:pt idx="14">
                  <c:v>0.55208333333333337</c:v>
                </c:pt>
                <c:pt idx="15">
                  <c:v>0.55208333333333337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F7-4BB1-A5CA-35385CA9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'17'!$L$6:$L$21</c:f>
              <c:numCache>
                <c:formatCode>_(* #,##0_);_(* \(#,##0\);_(* "-"_);_(@_)</c:formatCode>
                <c:ptCount val="16"/>
                <c:pt idx="0">
                  <c:v>5632</c:v>
                </c:pt>
                <c:pt idx="1">
                  <c:v>4618</c:v>
                </c:pt>
                <c:pt idx="2">
                  <c:v>5660</c:v>
                </c:pt>
                <c:pt idx="3">
                  <c:v>3821</c:v>
                </c:pt>
                <c:pt idx="4">
                  <c:v>4039</c:v>
                </c:pt>
                <c:pt idx="6">
                  <c:v>4747</c:v>
                </c:pt>
                <c:pt idx="7">
                  <c:v>554</c:v>
                </c:pt>
                <c:pt idx="10">
                  <c:v>3086</c:v>
                </c:pt>
                <c:pt idx="12">
                  <c:v>2244</c:v>
                </c:pt>
                <c:pt idx="13">
                  <c:v>3893</c:v>
                </c:pt>
                <c:pt idx="14">
                  <c:v>3882</c:v>
                </c:pt>
                <c:pt idx="15">
                  <c:v>36736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42-4A06-A7DD-7EECFFA225E8}"/>
            </c:ext>
          </c:extLst>
        </c:ser>
        <c:ser>
          <c:idx val="1"/>
          <c:order val="1"/>
          <c:tx>
            <c:v>계획</c:v>
          </c:tx>
          <c:cat>
            <c:strRef>
              <c:f>'17'!$D$6:$D$21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'17'!$J$6:$J$21</c:f>
              <c:numCache>
                <c:formatCode>_(* #,##0_);_(* \(#,##0\);_(* "-"_);_(@_)</c:formatCode>
                <c:ptCount val="16"/>
                <c:pt idx="0">
                  <c:v>5632</c:v>
                </c:pt>
                <c:pt idx="1">
                  <c:v>4618</c:v>
                </c:pt>
                <c:pt idx="2">
                  <c:v>5660</c:v>
                </c:pt>
                <c:pt idx="3">
                  <c:v>3821</c:v>
                </c:pt>
                <c:pt idx="4">
                  <c:v>4039</c:v>
                </c:pt>
                <c:pt idx="5">
                  <c:v>67990</c:v>
                </c:pt>
                <c:pt idx="6">
                  <c:v>4747</c:v>
                </c:pt>
                <c:pt idx="7">
                  <c:v>554</c:v>
                </c:pt>
                <c:pt idx="9">
                  <c:v>5214</c:v>
                </c:pt>
                <c:pt idx="10">
                  <c:v>3086</c:v>
                </c:pt>
                <c:pt idx="11">
                  <c:v>50</c:v>
                </c:pt>
                <c:pt idx="12">
                  <c:v>2244</c:v>
                </c:pt>
                <c:pt idx="13">
                  <c:v>3893</c:v>
                </c:pt>
                <c:pt idx="14">
                  <c:v>3882</c:v>
                </c:pt>
                <c:pt idx="15">
                  <c:v>36736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42-4A06-A7DD-7EECFFA22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'17'!$AD$6:$AD$21</c:f>
              <c:strCache>
                <c:ptCount val="16"/>
                <c:pt idx="0">
                  <c:v>100%</c:v>
                </c:pt>
                <c:pt idx="1">
                  <c:v>79%</c:v>
                </c:pt>
                <c:pt idx="2">
                  <c:v>100%</c:v>
                </c:pt>
                <c:pt idx="3">
                  <c:v>71%</c:v>
                </c:pt>
                <c:pt idx="4">
                  <c:v>71%</c:v>
                </c:pt>
                <c:pt idx="5">
                  <c:v>0%</c:v>
                </c:pt>
                <c:pt idx="6">
                  <c:v>96%</c:v>
                </c:pt>
                <c:pt idx="7">
                  <c:v>25%</c:v>
                </c:pt>
                <c:pt idx="8">
                  <c:v>0%</c:v>
                </c:pt>
                <c:pt idx="9">
                  <c:v>0%</c:v>
                </c:pt>
                <c:pt idx="10">
                  <c:v>67%</c:v>
                </c:pt>
                <c:pt idx="11">
                  <c:v>0%</c:v>
                </c:pt>
                <c:pt idx="12">
                  <c:v>50%</c:v>
                </c:pt>
                <c:pt idx="13">
                  <c:v>83%</c:v>
                </c:pt>
                <c:pt idx="14">
                  <c:v>83%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'17'!$AD$6:$AD$21</c:f>
              <c:numCache>
                <c:formatCode>0%</c:formatCode>
                <c:ptCount val="16"/>
                <c:pt idx="0">
                  <c:v>1</c:v>
                </c:pt>
                <c:pt idx="1">
                  <c:v>0.79166666666666663</c:v>
                </c:pt>
                <c:pt idx="2">
                  <c:v>1</c:v>
                </c:pt>
                <c:pt idx="3">
                  <c:v>0.70833333333333337</c:v>
                </c:pt>
                <c:pt idx="4">
                  <c:v>0.70833333333333337</c:v>
                </c:pt>
                <c:pt idx="5">
                  <c:v>0</c:v>
                </c:pt>
                <c:pt idx="6">
                  <c:v>0.95833333333333337</c:v>
                </c:pt>
                <c:pt idx="7">
                  <c:v>0.25</c:v>
                </c:pt>
                <c:pt idx="8">
                  <c:v>0</c:v>
                </c:pt>
                <c:pt idx="9">
                  <c:v>0</c:v>
                </c:pt>
                <c:pt idx="10">
                  <c:v>0.66666666666666663</c:v>
                </c:pt>
                <c:pt idx="11">
                  <c:v>0</c:v>
                </c:pt>
                <c:pt idx="12">
                  <c:v>0.5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E7-40BE-B51A-DD6F260D406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9E7-40BE-B51A-DD6F260D406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'17'!$AE$6:$AE$21</c:f>
              <c:numCache>
                <c:formatCode>0%</c:formatCode>
                <c:ptCount val="16"/>
                <c:pt idx="0">
                  <c:v>0.55208333333333337</c:v>
                </c:pt>
                <c:pt idx="1">
                  <c:v>0.55208333333333337</c:v>
                </c:pt>
                <c:pt idx="2">
                  <c:v>0.55208333333333337</c:v>
                </c:pt>
                <c:pt idx="3">
                  <c:v>0.55208333333333337</c:v>
                </c:pt>
                <c:pt idx="4">
                  <c:v>0.55208333333333337</c:v>
                </c:pt>
                <c:pt idx="5">
                  <c:v>0.55208333333333337</c:v>
                </c:pt>
                <c:pt idx="6">
                  <c:v>0.55208333333333337</c:v>
                </c:pt>
                <c:pt idx="7">
                  <c:v>0.55208333333333337</c:v>
                </c:pt>
                <c:pt idx="8">
                  <c:v>0.55208333333333337</c:v>
                </c:pt>
                <c:pt idx="9">
                  <c:v>0.55208333333333337</c:v>
                </c:pt>
                <c:pt idx="10">
                  <c:v>0.55208333333333337</c:v>
                </c:pt>
                <c:pt idx="11">
                  <c:v>0.55208333333333337</c:v>
                </c:pt>
                <c:pt idx="12">
                  <c:v>0.55208333333333337</c:v>
                </c:pt>
                <c:pt idx="13">
                  <c:v>0.55208333333333337</c:v>
                </c:pt>
                <c:pt idx="14">
                  <c:v>0.55208333333333337</c:v>
                </c:pt>
                <c:pt idx="15">
                  <c:v>0.55208333333333337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E7-40BE-B51A-DD6F260D4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7FE-463A-B4BB-1C671B6D99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0.4140625</c:v>
                </c:pt>
                <c:pt idx="2">
                  <c:v>0.40277777777777779</c:v>
                </c:pt>
                <c:pt idx="3">
                  <c:v>0.46813725490196079</c:v>
                </c:pt>
                <c:pt idx="4">
                  <c:v>0.546875</c:v>
                </c:pt>
                <c:pt idx="5">
                  <c:v>0.54656862745098045</c:v>
                </c:pt>
                <c:pt idx="7">
                  <c:v>2.34375E-2</c:v>
                </c:pt>
                <c:pt idx="8">
                  <c:v>0.5546875</c:v>
                </c:pt>
                <c:pt idx="9">
                  <c:v>0.49218750000000006</c:v>
                </c:pt>
                <c:pt idx="10">
                  <c:v>0.64583333333333326</c:v>
                </c:pt>
                <c:pt idx="11">
                  <c:v>0.56770833333333326</c:v>
                </c:pt>
                <c:pt idx="15">
                  <c:v>0.46813725490196079</c:v>
                </c:pt>
                <c:pt idx="16">
                  <c:v>0.55208333333333337</c:v>
                </c:pt>
                <c:pt idx="17">
                  <c:v>0.54166666666666663</c:v>
                </c:pt>
                <c:pt idx="18">
                  <c:v>0.57812500000000011</c:v>
                </c:pt>
                <c:pt idx="19">
                  <c:v>0.47135416666666669</c:v>
                </c:pt>
                <c:pt idx="22">
                  <c:v>0.31510416666666663</c:v>
                </c:pt>
                <c:pt idx="23">
                  <c:v>0.46614583333333331</c:v>
                </c:pt>
                <c:pt idx="24">
                  <c:v>0.33854166666666669</c:v>
                </c:pt>
                <c:pt idx="25">
                  <c:v>0.29166666666666663</c:v>
                </c:pt>
                <c:pt idx="26">
                  <c:v>0.19531249999999997</c:v>
                </c:pt>
                <c:pt idx="29">
                  <c:v>0.546875</c:v>
                </c:pt>
                <c:pt idx="31">
                  <c:v>0.31424291938997817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FE-463A-B4BB-1C671B6D9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7FE-463A-B4BB-1C671B6D999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FE-463A-B4BB-1C671B6D9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'18'!$L$6:$L$21</c:f>
              <c:numCache>
                <c:formatCode>_(* #,##0_);_(* \(#,##0\);_(* "-"_);_(@_)</c:formatCode>
                <c:ptCount val="16"/>
                <c:pt idx="1">
                  <c:v>5210</c:v>
                </c:pt>
                <c:pt idx="2">
                  <c:v>1855</c:v>
                </c:pt>
                <c:pt idx="3">
                  <c:v>5641</c:v>
                </c:pt>
                <c:pt idx="4">
                  <c:v>5240</c:v>
                </c:pt>
                <c:pt idx="6">
                  <c:v>5011</c:v>
                </c:pt>
                <c:pt idx="7">
                  <c:v>4834</c:v>
                </c:pt>
                <c:pt idx="12">
                  <c:v>5535</c:v>
                </c:pt>
                <c:pt idx="13">
                  <c:v>4921</c:v>
                </c:pt>
                <c:pt idx="14">
                  <c:v>5452</c:v>
                </c:pt>
                <c:pt idx="15">
                  <c:v>36104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1E-4F6F-A75F-57C5D00A20FA}"/>
            </c:ext>
          </c:extLst>
        </c:ser>
        <c:ser>
          <c:idx val="1"/>
          <c:order val="1"/>
          <c:tx>
            <c:v>계획</c:v>
          </c:tx>
          <c:cat>
            <c:strRef>
              <c:f>'18'!$D$6:$D$21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'18'!$J$6:$J$21</c:f>
              <c:numCache>
                <c:formatCode>_(* #,##0_);_(* \(#,##0\);_(* "-"_);_(@_)</c:formatCode>
                <c:ptCount val="16"/>
                <c:pt idx="0">
                  <c:v>5632</c:v>
                </c:pt>
                <c:pt idx="1">
                  <c:v>5210</c:v>
                </c:pt>
                <c:pt idx="2">
                  <c:v>1855</c:v>
                </c:pt>
                <c:pt idx="3">
                  <c:v>5641</c:v>
                </c:pt>
                <c:pt idx="4">
                  <c:v>5240</c:v>
                </c:pt>
                <c:pt idx="5">
                  <c:v>67990</c:v>
                </c:pt>
                <c:pt idx="6">
                  <c:v>5011</c:v>
                </c:pt>
                <c:pt idx="7">
                  <c:v>4834</c:v>
                </c:pt>
                <c:pt idx="9">
                  <c:v>5214</c:v>
                </c:pt>
                <c:pt idx="10">
                  <c:v>3086</c:v>
                </c:pt>
                <c:pt idx="11">
                  <c:v>50</c:v>
                </c:pt>
                <c:pt idx="12">
                  <c:v>5535</c:v>
                </c:pt>
                <c:pt idx="13">
                  <c:v>4921</c:v>
                </c:pt>
                <c:pt idx="14">
                  <c:v>5452</c:v>
                </c:pt>
                <c:pt idx="15">
                  <c:v>36104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1E-4F6F-A75F-57C5D00A2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'18'!$AD$6:$AD$21</c:f>
              <c:strCache>
                <c:ptCount val="16"/>
                <c:pt idx="0">
                  <c:v>0%</c:v>
                </c:pt>
                <c:pt idx="1">
                  <c:v>96%</c:v>
                </c:pt>
                <c:pt idx="2">
                  <c:v>33%</c:v>
                </c:pt>
                <c:pt idx="3">
                  <c:v>96%</c:v>
                </c:pt>
                <c:pt idx="4">
                  <c:v>92%</c:v>
                </c:pt>
                <c:pt idx="5">
                  <c:v>0%</c:v>
                </c:pt>
                <c:pt idx="6">
                  <c:v>100%</c:v>
                </c:pt>
                <c:pt idx="7">
                  <c:v>96%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96%</c:v>
                </c:pt>
                <c:pt idx="14">
                  <c:v>100%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'18'!$AD$6:$AD$21</c:f>
              <c:numCache>
                <c:formatCode>0%</c:formatCode>
                <c:ptCount val="16"/>
                <c:pt idx="0">
                  <c:v>0</c:v>
                </c:pt>
                <c:pt idx="1">
                  <c:v>0.95833333333333337</c:v>
                </c:pt>
                <c:pt idx="2">
                  <c:v>0.33333333333333331</c:v>
                </c:pt>
                <c:pt idx="3">
                  <c:v>0.95833333333333337</c:v>
                </c:pt>
                <c:pt idx="4">
                  <c:v>0.91666666666666663</c:v>
                </c:pt>
                <c:pt idx="5">
                  <c:v>0</c:v>
                </c:pt>
                <c:pt idx="6">
                  <c:v>1</c:v>
                </c:pt>
                <c:pt idx="7">
                  <c:v>0.95833333333333337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0.95833333333333337</c:v>
                </c:pt>
                <c:pt idx="14">
                  <c:v>1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17-4D48-B8F4-EA75961A1E7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617-4D48-B8F4-EA75961A1E7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'18'!$AE$6:$AE$21</c:f>
              <c:numCache>
                <c:formatCode>0%</c:formatCode>
                <c:ptCount val="16"/>
                <c:pt idx="0">
                  <c:v>0.54166666666666663</c:v>
                </c:pt>
                <c:pt idx="1">
                  <c:v>0.54166666666666663</c:v>
                </c:pt>
                <c:pt idx="2">
                  <c:v>0.54166666666666663</c:v>
                </c:pt>
                <c:pt idx="3">
                  <c:v>0.54166666666666663</c:v>
                </c:pt>
                <c:pt idx="4">
                  <c:v>0.54166666666666663</c:v>
                </c:pt>
                <c:pt idx="5">
                  <c:v>0.54166666666666663</c:v>
                </c:pt>
                <c:pt idx="6">
                  <c:v>0.54166666666666663</c:v>
                </c:pt>
                <c:pt idx="7">
                  <c:v>0.54166666666666663</c:v>
                </c:pt>
                <c:pt idx="8">
                  <c:v>0.54166666666666663</c:v>
                </c:pt>
                <c:pt idx="9">
                  <c:v>0.54166666666666663</c:v>
                </c:pt>
                <c:pt idx="10">
                  <c:v>0.54166666666666663</c:v>
                </c:pt>
                <c:pt idx="11">
                  <c:v>0.54166666666666663</c:v>
                </c:pt>
                <c:pt idx="12">
                  <c:v>0.54166666666666663</c:v>
                </c:pt>
                <c:pt idx="13">
                  <c:v>0.54166666666666663</c:v>
                </c:pt>
                <c:pt idx="14">
                  <c:v>0.54166666666666663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17-4D48-B8F4-EA75961A1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'18'!$L$6:$L$21</c:f>
              <c:numCache>
                <c:formatCode>_(* #,##0_);_(* \(#,##0\);_(* "-"_);_(@_)</c:formatCode>
                <c:ptCount val="16"/>
                <c:pt idx="1">
                  <c:v>5210</c:v>
                </c:pt>
                <c:pt idx="2">
                  <c:v>1855</c:v>
                </c:pt>
                <c:pt idx="3">
                  <c:v>5641</c:v>
                </c:pt>
                <c:pt idx="4">
                  <c:v>5240</c:v>
                </c:pt>
                <c:pt idx="6">
                  <c:v>5011</c:v>
                </c:pt>
                <c:pt idx="7">
                  <c:v>4834</c:v>
                </c:pt>
                <c:pt idx="12">
                  <c:v>5535</c:v>
                </c:pt>
                <c:pt idx="13">
                  <c:v>4921</c:v>
                </c:pt>
                <c:pt idx="14">
                  <c:v>5452</c:v>
                </c:pt>
                <c:pt idx="15">
                  <c:v>36104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E0-4335-A3E0-3C3F9F6C6F47}"/>
            </c:ext>
          </c:extLst>
        </c:ser>
        <c:ser>
          <c:idx val="1"/>
          <c:order val="1"/>
          <c:tx>
            <c:v>계획</c:v>
          </c:tx>
          <c:cat>
            <c:strRef>
              <c:f>'18'!$D$6:$D$21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'18'!$J$6:$J$21</c:f>
              <c:numCache>
                <c:formatCode>_(* #,##0_);_(* \(#,##0\);_(* "-"_);_(@_)</c:formatCode>
                <c:ptCount val="16"/>
                <c:pt idx="0">
                  <c:v>5632</c:v>
                </c:pt>
                <c:pt idx="1">
                  <c:v>5210</c:v>
                </c:pt>
                <c:pt idx="2">
                  <c:v>1855</c:v>
                </c:pt>
                <c:pt idx="3">
                  <c:v>5641</c:v>
                </c:pt>
                <c:pt idx="4">
                  <c:v>5240</c:v>
                </c:pt>
                <c:pt idx="5">
                  <c:v>67990</c:v>
                </c:pt>
                <c:pt idx="6">
                  <c:v>5011</c:v>
                </c:pt>
                <c:pt idx="7">
                  <c:v>4834</c:v>
                </c:pt>
                <c:pt idx="9">
                  <c:v>5214</c:v>
                </c:pt>
                <c:pt idx="10">
                  <c:v>3086</c:v>
                </c:pt>
                <c:pt idx="11">
                  <c:v>50</c:v>
                </c:pt>
                <c:pt idx="12">
                  <c:v>5535</c:v>
                </c:pt>
                <c:pt idx="13">
                  <c:v>4921</c:v>
                </c:pt>
                <c:pt idx="14">
                  <c:v>5452</c:v>
                </c:pt>
                <c:pt idx="15">
                  <c:v>36104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E0-4335-A3E0-3C3F9F6C6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'18'!$AD$6:$AD$21</c:f>
              <c:strCache>
                <c:ptCount val="16"/>
                <c:pt idx="0">
                  <c:v>0%</c:v>
                </c:pt>
                <c:pt idx="1">
                  <c:v>96%</c:v>
                </c:pt>
                <c:pt idx="2">
                  <c:v>33%</c:v>
                </c:pt>
                <c:pt idx="3">
                  <c:v>96%</c:v>
                </c:pt>
                <c:pt idx="4">
                  <c:v>92%</c:v>
                </c:pt>
                <c:pt idx="5">
                  <c:v>0%</c:v>
                </c:pt>
                <c:pt idx="6">
                  <c:v>100%</c:v>
                </c:pt>
                <c:pt idx="7">
                  <c:v>96%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96%</c:v>
                </c:pt>
                <c:pt idx="14">
                  <c:v>100%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'18'!$AD$6:$AD$21</c:f>
              <c:numCache>
                <c:formatCode>0%</c:formatCode>
                <c:ptCount val="16"/>
                <c:pt idx="0">
                  <c:v>0</c:v>
                </c:pt>
                <c:pt idx="1">
                  <c:v>0.95833333333333337</c:v>
                </c:pt>
                <c:pt idx="2">
                  <c:v>0.33333333333333331</c:v>
                </c:pt>
                <c:pt idx="3">
                  <c:v>0.95833333333333337</c:v>
                </c:pt>
                <c:pt idx="4">
                  <c:v>0.91666666666666663</c:v>
                </c:pt>
                <c:pt idx="5">
                  <c:v>0</c:v>
                </c:pt>
                <c:pt idx="6">
                  <c:v>1</c:v>
                </c:pt>
                <c:pt idx="7">
                  <c:v>0.95833333333333337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0.95833333333333337</c:v>
                </c:pt>
                <c:pt idx="14">
                  <c:v>1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68-4629-9624-7B44402A42C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068-4629-9624-7B44402A42C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'18'!$D$6:$D$21</c:f>
              <c:strCache>
                <c:ptCount val="15"/>
                <c:pt idx="0">
                  <c:v>F/A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'18'!$AE$6:$AE$21</c:f>
              <c:numCache>
                <c:formatCode>0%</c:formatCode>
                <c:ptCount val="16"/>
                <c:pt idx="0">
                  <c:v>0.54166666666666663</c:v>
                </c:pt>
                <c:pt idx="1">
                  <c:v>0.54166666666666663</c:v>
                </c:pt>
                <c:pt idx="2">
                  <c:v>0.54166666666666663</c:v>
                </c:pt>
                <c:pt idx="3">
                  <c:v>0.54166666666666663</c:v>
                </c:pt>
                <c:pt idx="4">
                  <c:v>0.54166666666666663</c:v>
                </c:pt>
                <c:pt idx="5">
                  <c:v>0.54166666666666663</c:v>
                </c:pt>
                <c:pt idx="6">
                  <c:v>0.54166666666666663</c:v>
                </c:pt>
                <c:pt idx="7">
                  <c:v>0.54166666666666663</c:v>
                </c:pt>
                <c:pt idx="8">
                  <c:v>0.54166666666666663</c:v>
                </c:pt>
                <c:pt idx="9">
                  <c:v>0.54166666666666663</c:v>
                </c:pt>
                <c:pt idx="10">
                  <c:v>0.54166666666666663</c:v>
                </c:pt>
                <c:pt idx="11">
                  <c:v>0.54166666666666663</c:v>
                </c:pt>
                <c:pt idx="12">
                  <c:v>0.54166666666666663</c:v>
                </c:pt>
                <c:pt idx="13">
                  <c:v>0.54166666666666663</c:v>
                </c:pt>
                <c:pt idx="14">
                  <c:v>0.54166666666666663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68-4629-9624-7B44402A4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421-44F4-8DC4-7F5C17D856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0.4140625</c:v>
                </c:pt>
                <c:pt idx="2">
                  <c:v>0.40277777777777779</c:v>
                </c:pt>
                <c:pt idx="3">
                  <c:v>0.46813725490196079</c:v>
                </c:pt>
                <c:pt idx="4">
                  <c:v>0.546875</c:v>
                </c:pt>
                <c:pt idx="5">
                  <c:v>0.54656862745098045</c:v>
                </c:pt>
                <c:pt idx="7">
                  <c:v>2.34375E-2</c:v>
                </c:pt>
                <c:pt idx="8">
                  <c:v>0.5546875</c:v>
                </c:pt>
                <c:pt idx="9">
                  <c:v>0.49218750000000006</c:v>
                </c:pt>
                <c:pt idx="10">
                  <c:v>0.64583333333333326</c:v>
                </c:pt>
                <c:pt idx="11">
                  <c:v>0.56770833333333326</c:v>
                </c:pt>
                <c:pt idx="15">
                  <c:v>0.46813725490196079</c:v>
                </c:pt>
                <c:pt idx="16">
                  <c:v>0.55208333333333337</c:v>
                </c:pt>
                <c:pt idx="17">
                  <c:v>0.54166666666666663</c:v>
                </c:pt>
                <c:pt idx="18">
                  <c:v>0.57812500000000011</c:v>
                </c:pt>
                <c:pt idx="19">
                  <c:v>0.47135416666666669</c:v>
                </c:pt>
                <c:pt idx="22">
                  <c:v>0.31510416666666663</c:v>
                </c:pt>
                <c:pt idx="23">
                  <c:v>0.46614583333333331</c:v>
                </c:pt>
                <c:pt idx="24">
                  <c:v>0.33854166666666669</c:v>
                </c:pt>
                <c:pt idx="25">
                  <c:v>0.29166666666666663</c:v>
                </c:pt>
                <c:pt idx="26">
                  <c:v>0.19531249999999997</c:v>
                </c:pt>
                <c:pt idx="29">
                  <c:v>0.546875</c:v>
                </c:pt>
                <c:pt idx="31">
                  <c:v>0.31424291938997817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1-44F4-8DC4-7F5C17D85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421-44F4-8DC4-7F5C17D8564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21-44F4-8DC4-7F5C17D85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'19'!$L$6:$L$21</c:f>
              <c:numCache>
                <c:formatCode>_(* #,##0_);_(* \(#,##0\);_(* "-"_);_(@_)</c:formatCode>
                <c:ptCount val="16"/>
                <c:pt idx="0">
                  <c:v>2743</c:v>
                </c:pt>
                <c:pt idx="1">
                  <c:v>6035</c:v>
                </c:pt>
                <c:pt idx="2">
                  <c:v>3016</c:v>
                </c:pt>
                <c:pt idx="3">
                  <c:v>6156</c:v>
                </c:pt>
                <c:pt idx="4">
                  <c:v>6353</c:v>
                </c:pt>
                <c:pt idx="6">
                  <c:v>5057</c:v>
                </c:pt>
                <c:pt idx="7">
                  <c:v>4308</c:v>
                </c:pt>
                <c:pt idx="12">
                  <c:v>3031</c:v>
                </c:pt>
                <c:pt idx="13">
                  <c:v>5201</c:v>
                </c:pt>
                <c:pt idx="14">
                  <c:v>5525</c:v>
                </c:pt>
                <c:pt idx="15">
                  <c:v>39680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3E-40FB-87BD-8ACBACFBBA46}"/>
            </c:ext>
          </c:extLst>
        </c:ser>
        <c:ser>
          <c:idx val="1"/>
          <c:order val="1"/>
          <c:tx>
            <c:v>계획</c:v>
          </c:tx>
          <c:cat>
            <c:strRef>
              <c:f>'19'!$D$6:$D$21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'19'!$J$6:$J$21</c:f>
              <c:numCache>
                <c:formatCode>_(* #,##0_);_(* \(#,##0\);_(* "-"_);_(@_)</c:formatCode>
                <c:ptCount val="16"/>
                <c:pt idx="0">
                  <c:v>2743</c:v>
                </c:pt>
                <c:pt idx="1">
                  <c:v>6035</c:v>
                </c:pt>
                <c:pt idx="2">
                  <c:v>3016</c:v>
                </c:pt>
                <c:pt idx="3">
                  <c:v>6156</c:v>
                </c:pt>
                <c:pt idx="4">
                  <c:v>6353</c:v>
                </c:pt>
                <c:pt idx="5">
                  <c:v>67990</c:v>
                </c:pt>
                <c:pt idx="6">
                  <c:v>5057</c:v>
                </c:pt>
                <c:pt idx="7">
                  <c:v>4308</c:v>
                </c:pt>
                <c:pt idx="9">
                  <c:v>5214</c:v>
                </c:pt>
                <c:pt idx="10">
                  <c:v>3086</c:v>
                </c:pt>
                <c:pt idx="11">
                  <c:v>50</c:v>
                </c:pt>
                <c:pt idx="12">
                  <c:v>3031</c:v>
                </c:pt>
                <c:pt idx="13">
                  <c:v>5201</c:v>
                </c:pt>
                <c:pt idx="14">
                  <c:v>5525</c:v>
                </c:pt>
                <c:pt idx="15">
                  <c:v>39680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3E-40FB-87BD-8ACBACFBB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'19'!$AD$6:$AD$21</c:f>
              <c:strCache>
                <c:ptCount val="16"/>
                <c:pt idx="0">
                  <c:v>63%</c:v>
                </c:pt>
                <c:pt idx="1">
                  <c:v>100%</c:v>
                </c:pt>
                <c:pt idx="2">
                  <c:v>58%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58%</c:v>
                </c:pt>
                <c:pt idx="13">
                  <c:v>100%</c:v>
                </c:pt>
                <c:pt idx="14">
                  <c:v>100%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'19'!$AD$6:$AD$21</c:f>
              <c:numCache>
                <c:formatCode>0%</c:formatCode>
                <c:ptCount val="16"/>
                <c:pt idx="0">
                  <c:v>0.625</c:v>
                </c:pt>
                <c:pt idx="1">
                  <c:v>1</c:v>
                </c:pt>
                <c:pt idx="2">
                  <c:v>0.58333333333333337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0.58333333333333337</c:v>
                </c:pt>
                <c:pt idx="13">
                  <c:v>1</c:v>
                </c:pt>
                <c:pt idx="14">
                  <c:v>1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2C-4908-AB80-9A088C31143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92C-4908-AB80-9A088C31143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'19'!$AE$6:$AE$21</c:f>
              <c:numCache>
                <c:formatCode>0%</c:formatCode>
                <c:ptCount val="16"/>
                <c:pt idx="0">
                  <c:v>0.57812500000000011</c:v>
                </c:pt>
                <c:pt idx="1">
                  <c:v>0.57812500000000011</c:v>
                </c:pt>
                <c:pt idx="2">
                  <c:v>0.57812500000000011</c:v>
                </c:pt>
                <c:pt idx="3">
                  <c:v>0.57812500000000011</c:v>
                </c:pt>
                <c:pt idx="4">
                  <c:v>0.57812500000000011</c:v>
                </c:pt>
                <c:pt idx="5">
                  <c:v>0.57812500000000011</c:v>
                </c:pt>
                <c:pt idx="6">
                  <c:v>0.57812500000000011</c:v>
                </c:pt>
                <c:pt idx="7">
                  <c:v>0.57812500000000011</c:v>
                </c:pt>
                <c:pt idx="8">
                  <c:v>0.57812500000000011</c:v>
                </c:pt>
                <c:pt idx="9">
                  <c:v>0.57812500000000011</c:v>
                </c:pt>
                <c:pt idx="10">
                  <c:v>0.57812500000000011</c:v>
                </c:pt>
                <c:pt idx="11">
                  <c:v>0.57812500000000011</c:v>
                </c:pt>
                <c:pt idx="12">
                  <c:v>0.57812500000000011</c:v>
                </c:pt>
                <c:pt idx="13">
                  <c:v>0.57812500000000011</c:v>
                </c:pt>
                <c:pt idx="14">
                  <c:v>0.57812500000000011</c:v>
                </c:pt>
                <c:pt idx="15">
                  <c:v>0.57812500000000011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2C-4908-AB80-9A088C311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'19'!$L$6:$L$21</c:f>
              <c:numCache>
                <c:formatCode>_(* #,##0_);_(* \(#,##0\);_(* "-"_);_(@_)</c:formatCode>
                <c:ptCount val="16"/>
                <c:pt idx="0">
                  <c:v>2743</c:v>
                </c:pt>
                <c:pt idx="1">
                  <c:v>6035</c:v>
                </c:pt>
                <c:pt idx="2">
                  <c:v>3016</c:v>
                </c:pt>
                <c:pt idx="3">
                  <c:v>6156</c:v>
                </c:pt>
                <c:pt idx="4">
                  <c:v>6353</c:v>
                </c:pt>
                <c:pt idx="6">
                  <c:v>5057</c:v>
                </c:pt>
                <c:pt idx="7">
                  <c:v>4308</c:v>
                </c:pt>
                <c:pt idx="12">
                  <c:v>3031</c:v>
                </c:pt>
                <c:pt idx="13">
                  <c:v>5201</c:v>
                </c:pt>
                <c:pt idx="14">
                  <c:v>5525</c:v>
                </c:pt>
                <c:pt idx="15">
                  <c:v>39680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54-4905-93B1-A29494C8C8C7}"/>
            </c:ext>
          </c:extLst>
        </c:ser>
        <c:ser>
          <c:idx val="1"/>
          <c:order val="1"/>
          <c:tx>
            <c:v>계획</c:v>
          </c:tx>
          <c:cat>
            <c:strRef>
              <c:f>'19'!$D$6:$D$21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'19'!$J$6:$J$21</c:f>
              <c:numCache>
                <c:formatCode>_(* #,##0_);_(* \(#,##0\);_(* "-"_);_(@_)</c:formatCode>
                <c:ptCount val="16"/>
                <c:pt idx="0">
                  <c:v>2743</c:v>
                </c:pt>
                <c:pt idx="1">
                  <c:v>6035</c:v>
                </c:pt>
                <c:pt idx="2">
                  <c:v>3016</c:v>
                </c:pt>
                <c:pt idx="3">
                  <c:v>6156</c:v>
                </c:pt>
                <c:pt idx="4">
                  <c:v>6353</c:v>
                </c:pt>
                <c:pt idx="5">
                  <c:v>67990</c:v>
                </c:pt>
                <c:pt idx="6">
                  <c:v>5057</c:v>
                </c:pt>
                <c:pt idx="7">
                  <c:v>4308</c:v>
                </c:pt>
                <c:pt idx="9">
                  <c:v>5214</c:v>
                </c:pt>
                <c:pt idx="10">
                  <c:v>3086</c:v>
                </c:pt>
                <c:pt idx="11">
                  <c:v>50</c:v>
                </c:pt>
                <c:pt idx="12">
                  <c:v>3031</c:v>
                </c:pt>
                <c:pt idx="13">
                  <c:v>5201</c:v>
                </c:pt>
                <c:pt idx="14">
                  <c:v>5525</c:v>
                </c:pt>
                <c:pt idx="15">
                  <c:v>39680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54-4905-93B1-A29494C8C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'19'!$AD$6:$AD$21</c:f>
              <c:strCache>
                <c:ptCount val="16"/>
                <c:pt idx="0">
                  <c:v>63%</c:v>
                </c:pt>
                <c:pt idx="1">
                  <c:v>100%</c:v>
                </c:pt>
                <c:pt idx="2">
                  <c:v>58%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58%</c:v>
                </c:pt>
                <c:pt idx="13">
                  <c:v>100%</c:v>
                </c:pt>
                <c:pt idx="14">
                  <c:v>100%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'19'!$AD$6:$AD$21</c:f>
              <c:numCache>
                <c:formatCode>0%</c:formatCode>
                <c:ptCount val="16"/>
                <c:pt idx="0">
                  <c:v>0.625</c:v>
                </c:pt>
                <c:pt idx="1">
                  <c:v>1</c:v>
                </c:pt>
                <c:pt idx="2">
                  <c:v>0.58333333333333337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0.58333333333333337</c:v>
                </c:pt>
                <c:pt idx="13">
                  <c:v>1</c:v>
                </c:pt>
                <c:pt idx="14">
                  <c:v>1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B3-46C7-BB51-DECA12FC5E4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1B3-46C7-BB51-DECA12FC5E4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F/A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'19'!$AE$6:$AE$21</c:f>
              <c:numCache>
                <c:formatCode>0%</c:formatCode>
                <c:ptCount val="16"/>
                <c:pt idx="0">
                  <c:v>0.57812500000000011</c:v>
                </c:pt>
                <c:pt idx="1">
                  <c:v>0.57812500000000011</c:v>
                </c:pt>
                <c:pt idx="2">
                  <c:v>0.57812500000000011</c:v>
                </c:pt>
                <c:pt idx="3">
                  <c:v>0.57812500000000011</c:v>
                </c:pt>
                <c:pt idx="4">
                  <c:v>0.57812500000000011</c:v>
                </c:pt>
                <c:pt idx="5">
                  <c:v>0.57812500000000011</c:v>
                </c:pt>
                <c:pt idx="6">
                  <c:v>0.57812500000000011</c:v>
                </c:pt>
                <c:pt idx="7">
                  <c:v>0.57812500000000011</c:v>
                </c:pt>
                <c:pt idx="8">
                  <c:v>0.57812500000000011</c:v>
                </c:pt>
                <c:pt idx="9">
                  <c:v>0.57812500000000011</c:v>
                </c:pt>
                <c:pt idx="10">
                  <c:v>0.57812500000000011</c:v>
                </c:pt>
                <c:pt idx="11">
                  <c:v>0.57812500000000011</c:v>
                </c:pt>
                <c:pt idx="12">
                  <c:v>0.57812500000000011</c:v>
                </c:pt>
                <c:pt idx="13">
                  <c:v>0.57812500000000011</c:v>
                </c:pt>
                <c:pt idx="14">
                  <c:v>0.57812500000000011</c:v>
                </c:pt>
                <c:pt idx="15">
                  <c:v>0.57812500000000011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B3-46C7-BB51-DECA12FC5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9F9-43F8-BD6F-706E14D57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0.4140625</c:v>
                </c:pt>
                <c:pt idx="2">
                  <c:v>0.40277777777777779</c:v>
                </c:pt>
                <c:pt idx="3">
                  <c:v>0.46813725490196079</c:v>
                </c:pt>
                <c:pt idx="4">
                  <c:v>0.546875</c:v>
                </c:pt>
                <c:pt idx="5">
                  <c:v>0.54656862745098045</c:v>
                </c:pt>
                <c:pt idx="7">
                  <c:v>2.34375E-2</c:v>
                </c:pt>
                <c:pt idx="8">
                  <c:v>0.5546875</c:v>
                </c:pt>
                <c:pt idx="9">
                  <c:v>0.49218750000000006</c:v>
                </c:pt>
                <c:pt idx="10">
                  <c:v>0.64583333333333326</c:v>
                </c:pt>
                <c:pt idx="11">
                  <c:v>0.56770833333333326</c:v>
                </c:pt>
                <c:pt idx="15">
                  <c:v>0.46813725490196079</c:v>
                </c:pt>
                <c:pt idx="16">
                  <c:v>0.55208333333333337</c:v>
                </c:pt>
                <c:pt idx="17">
                  <c:v>0.54166666666666663</c:v>
                </c:pt>
                <c:pt idx="18">
                  <c:v>0.57812500000000011</c:v>
                </c:pt>
                <c:pt idx="19">
                  <c:v>0.47135416666666669</c:v>
                </c:pt>
                <c:pt idx="22">
                  <c:v>0.31510416666666663</c:v>
                </c:pt>
                <c:pt idx="23">
                  <c:v>0.46614583333333331</c:v>
                </c:pt>
                <c:pt idx="24">
                  <c:v>0.33854166666666669</c:v>
                </c:pt>
                <c:pt idx="25">
                  <c:v>0.29166666666666663</c:v>
                </c:pt>
                <c:pt idx="26">
                  <c:v>0.19531249999999997</c:v>
                </c:pt>
                <c:pt idx="29">
                  <c:v>0.546875</c:v>
                </c:pt>
                <c:pt idx="31">
                  <c:v>0.31424291938997817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F9-43F8-BD6F-706E14D57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9F9-43F8-BD6F-706E14D5797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F9-43F8-BD6F-706E14D57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PLATE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'20'!$L$6:$L$21</c:f>
              <c:numCache>
                <c:formatCode>_(* #,##0_);_(* \(#,##0\);_(* "-"_);_(@_)</c:formatCode>
                <c:ptCount val="16"/>
                <c:pt idx="0">
                  <c:v>1902</c:v>
                </c:pt>
                <c:pt idx="1">
                  <c:v>6260</c:v>
                </c:pt>
                <c:pt idx="2">
                  <c:v>5569</c:v>
                </c:pt>
                <c:pt idx="3">
                  <c:v>5519</c:v>
                </c:pt>
                <c:pt idx="4">
                  <c:v>6363</c:v>
                </c:pt>
                <c:pt idx="6">
                  <c:v>5241</c:v>
                </c:pt>
                <c:pt idx="8">
                  <c:v>392</c:v>
                </c:pt>
                <c:pt idx="11">
                  <c:v>2400</c:v>
                </c:pt>
                <c:pt idx="14">
                  <c:v>5570</c:v>
                </c:pt>
                <c:pt idx="15">
                  <c:v>36096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23-4D3F-81FC-8FFAB551A5E6}"/>
            </c:ext>
          </c:extLst>
        </c:ser>
        <c:ser>
          <c:idx val="1"/>
          <c:order val="1"/>
          <c:tx>
            <c:v>계획</c:v>
          </c:tx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PLATE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'20'!$J$6:$J$21</c:f>
              <c:numCache>
                <c:formatCode>_(* #,##0_);_(* \(#,##0\);_(* "-"_);_(@_)</c:formatCode>
                <c:ptCount val="16"/>
                <c:pt idx="0">
                  <c:v>1902</c:v>
                </c:pt>
                <c:pt idx="1">
                  <c:v>6260</c:v>
                </c:pt>
                <c:pt idx="2">
                  <c:v>5569</c:v>
                </c:pt>
                <c:pt idx="3">
                  <c:v>5519</c:v>
                </c:pt>
                <c:pt idx="4">
                  <c:v>6363</c:v>
                </c:pt>
                <c:pt idx="5">
                  <c:v>67990</c:v>
                </c:pt>
                <c:pt idx="6">
                  <c:v>5241</c:v>
                </c:pt>
                <c:pt idx="7">
                  <c:v>4308</c:v>
                </c:pt>
                <c:pt idx="8">
                  <c:v>392</c:v>
                </c:pt>
                <c:pt idx="9">
                  <c:v>5214</c:v>
                </c:pt>
                <c:pt idx="10">
                  <c:v>3086</c:v>
                </c:pt>
                <c:pt idx="11">
                  <c:v>2400</c:v>
                </c:pt>
                <c:pt idx="12">
                  <c:v>3031</c:v>
                </c:pt>
                <c:pt idx="13">
                  <c:v>5201</c:v>
                </c:pt>
                <c:pt idx="14">
                  <c:v>5570</c:v>
                </c:pt>
                <c:pt idx="15">
                  <c:v>36096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23-4D3F-81FC-8FFAB551A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'20'!$AD$6:$AD$21</c:f>
              <c:strCache>
                <c:ptCount val="16"/>
                <c:pt idx="0">
                  <c:v>42%</c:v>
                </c:pt>
                <c:pt idx="1">
                  <c:v>100%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29%</c:v>
                </c:pt>
                <c:pt idx="9">
                  <c:v>0%</c:v>
                </c:pt>
                <c:pt idx="10">
                  <c:v>0%</c:v>
                </c:pt>
                <c:pt idx="11">
                  <c:v>25%</c:v>
                </c:pt>
                <c:pt idx="12">
                  <c:v>0%</c:v>
                </c:pt>
                <c:pt idx="13">
                  <c:v>0%</c:v>
                </c:pt>
                <c:pt idx="14">
                  <c:v>100%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PLATE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'20'!$AD$6:$AD$21</c:f>
              <c:numCache>
                <c:formatCode>0%</c:formatCode>
                <c:ptCount val="16"/>
                <c:pt idx="0">
                  <c:v>0.41666666666666669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0.29166666666666669</c:v>
                </c:pt>
                <c:pt idx="9">
                  <c:v>0</c:v>
                </c:pt>
                <c:pt idx="10">
                  <c:v>0</c:v>
                </c:pt>
                <c:pt idx="11">
                  <c:v>0.25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D8-455B-BF59-436F4835369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4D8-455B-BF59-436F4835369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PLATE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'20'!$AE$6:$AE$21</c:f>
              <c:numCache>
                <c:formatCode>0%</c:formatCode>
                <c:ptCount val="16"/>
                <c:pt idx="0">
                  <c:v>0.47135416666666669</c:v>
                </c:pt>
                <c:pt idx="1">
                  <c:v>0.47135416666666669</c:v>
                </c:pt>
                <c:pt idx="2">
                  <c:v>0.47135416666666669</c:v>
                </c:pt>
                <c:pt idx="3">
                  <c:v>0.47135416666666669</c:v>
                </c:pt>
                <c:pt idx="4">
                  <c:v>0.47135416666666669</c:v>
                </c:pt>
                <c:pt idx="5">
                  <c:v>0.47135416666666669</c:v>
                </c:pt>
                <c:pt idx="6">
                  <c:v>0.47135416666666669</c:v>
                </c:pt>
                <c:pt idx="7">
                  <c:v>0.47135416666666669</c:v>
                </c:pt>
                <c:pt idx="8">
                  <c:v>0.47135416666666669</c:v>
                </c:pt>
                <c:pt idx="9">
                  <c:v>0.47135416666666669</c:v>
                </c:pt>
                <c:pt idx="10">
                  <c:v>0.47135416666666669</c:v>
                </c:pt>
                <c:pt idx="11">
                  <c:v>0.47135416666666669</c:v>
                </c:pt>
                <c:pt idx="12">
                  <c:v>0.47135416666666669</c:v>
                </c:pt>
                <c:pt idx="13">
                  <c:v>0.47135416666666669</c:v>
                </c:pt>
                <c:pt idx="14">
                  <c:v>0.47135416666666669</c:v>
                </c:pt>
                <c:pt idx="15">
                  <c:v>0.47135416666666669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D8-455B-BF59-436F48353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PLATE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'20'!$L$6:$L$21</c:f>
              <c:numCache>
                <c:formatCode>_(* #,##0_);_(* \(#,##0\);_(* "-"_);_(@_)</c:formatCode>
                <c:ptCount val="16"/>
                <c:pt idx="0">
                  <c:v>1902</c:v>
                </c:pt>
                <c:pt idx="1">
                  <c:v>6260</c:v>
                </c:pt>
                <c:pt idx="2">
                  <c:v>5569</c:v>
                </c:pt>
                <c:pt idx="3">
                  <c:v>5519</c:v>
                </c:pt>
                <c:pt idx="4">
                  <c:v>6363</c:v>
                </c:pt>
                <c:pt idx="6">
                  <c:v>5241</c:v>
                </c:pt>
                <c:pt idx="8">
                  <c:v>392</c:v>
                </c:pt>
                <c:pt idx="11">
                  <c:v>2400</c:v>
                </c:pt>
                <c:pt idx="14">
                  <c:v>5570</c:v>
                </c:pt>
                <c:pt idx="15">
                  <c:v>36096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FD-4732-BB15-64FA60B5BAA6}"/>
            </c:ext>
          </c:extLst>
        </c:ser>
        <c:ser>
          <c:idx val="1"/>
          <c:order val="1"/>
          <c:tx>
            <c:v>계획</c:v>
          </c:tx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PLATE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'20'!$J$6:$J$21</c:f>
              <c:numCache>
                <c:formatCode>_(* #,##0_);_(* \(#,##0\);_(* "-"_);_(@_)</c:formatCode>
                <c:ptCount val="16"/>
                <c:pt idx="0">
                  <c:v>1902</c:v>
                </c:pt>
                <c:pt idx="1">
                  <c:v>6260</c:v>
                </c:pt>
                <c:pt idx="2">
                  <c:v>5569</c:v>
                </c:pt>
                <c:pt idx="3">
                  <c:v>5519</c:v>
                </c:pt>
                <c:pt idx="4">
                  <c:v>6363</c:v>
                </c:pt>
                <c:pt idx="5">
                  <c:v>67990</c:v>
                </c:pt>
                <c:pt idx="6">
                  <c:v>5241</c:v>
                </c:pt>
                <c:pt idx="7">
                  <c:v>4308</c:v>
                </c:pt>
                <c:pt idx="8">
                  <c:v>392</c:v>
                </c:pt>
                <c:pt idx="9">
                  <c:v>5214</c:v>
                </c:pt>
                <c:pt idx="10">
                  <c:v>3086</c:v>
                </c:pt>
                <c:pt idx="11">
                  <c:v>2400</c:v>
                </c:pt>
                <c:pt idx="12">
                  <c:v>3031</c:v>
                </c:pt>
                <c:pt idx="13">
                  <c:v>5201</c:v>
                </c:pt>
                <c:pt idx="14">
                  <c:v>5570</c:v>
                </c:pt>
                <c:pt idx="15">
                  <c:v>36096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FD-4732-BB15-64FA60B5B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'20'!$AD$6:$AD$21</c:f>
              <c:strCache>
                <c:ptCount val="16"/>
                <c:pt idx="0">
                  <c:v>42%</c:v>
                </c:pt>
                <c:pt idx="1">
                  <c:v>100%</c:v>
                </c:pt>
                <c:pt idx="2">
                  <c:v>100%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0%</c:v>
                </c:pt>
                <c:pt idx="8">
                  <c:v>29%</c:v>
                </c:pt>
                <c:pt idx="9">
                  <c:v>0%</c:v>
                </c:pt>
                <c:pt idx="10">
                  <c:v>0%</c:v>
                </c:pt>
                <c:pt idx="11">
                  <c:v>25%</c:v>
                </c:pt>
                <c:pt idx="12">
                  <c:v>0%</c:v>
                </c:pt>
                <c:pt idx="13">
                  <c:v>0%</c:v>
                </c:pt>
                <c:pt idx="14">
                  <c:v>100%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PLATE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'20'!$AD$6:$AD$21</c:f>
              <c:numCache>
                <c:formatCode>0%</c:formatCode>
                <c:ptCount val="16"/>
                <c:pt idx="0">
                  <c:v>0.41666666666666669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0.29166666666666669</c:v>
                </c:pt>
                <c:pt idx="9">
                  <c:v>0</c:v>
                </c:pt>
                <c:pt idx="10">
                  <c:v>0</c:v>
                </c:pt>
                <c:pt idx="11">
                  <c:v>0.25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A7-4C82-BEC4-BB259D01D95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4A7-4C82-BEC4-BB259D01D95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ADAPTER</c:v>
                </c:pt>
                <c:pt idx="1">
                  <c:v>SLIDER</c:v>
                </c:pt>
                <c:pt idx="3">
                  <c:v>LATCH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PLATE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'20'!$AE$6:$AE$21</c:f>
              <c:numCache>
                <c:formatCode>0%</c:formatCode>
                <c:ptCount val="16"/>
                <c:pt idx="0">
                  <c:v>0.47135416666666669</c:v>
                </c:pt>
                <c:pt idx="1">
                  <c:v>0.47135416666666669</c:v>
                </c:pt>
                <c:pt idx="2">
                  <c:v>0.47135416666666669</c:v>
                </c:pt>
                <c:pt idx="3">
                  <c:v>0.47135416666666669</c:v>
                </c:pt>
                <c:pt idx="4">
                  <c:v>0.47135416666666669</c:v>
                </c:pt>
                <c:pt idx="5">
                  <c:v>0.47135416666666669</c:v>
                </c:pt>
                <c:pt idx="6">
                  <c:v>0.47135416666666669</c:v>
                </c:pt>
                <c:pt idx="7">
                  <c:v>0.47135416666666669</c:v>
                </c:pt>
                <c:pt idx="8">
                  <c:v>0.47135416666666669</c:v>
                </c:pt>
                <c:pt idx="9">
                  <c:v>0.47135416666666669</c:v>
                </c:pt>
                <c:pt idx="10">
                  <c:v>0.47135416666666669</c:v>
                </c:pt>
                <c:pt idx="11">
                  <c:v>0.47135416666666669</c:v>
                </c:pt>
                <c:pt idx="12">
                  <c:v>0.47135416666666669</c:v>
                </c:pt>
                <c:pt idx="13">
                  <c:v>0.47135416666666669</c:v>
                </c:pt>
                <c:pt idx="14">
                  <c:v>0.47135416666666669</c:v>
                </c:pt>
                <c:pt idx="15">
                  <c:v>0.47135416666666669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A7-4C82-BEC4-BB259D01D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433-4143-8FFE-8F141001B3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0.4140625</c:v>
                </c:pt>
                <c:pt idx="2">
                  <c:v>0.40277777777777779</c:v>
                </c:pt>
                <c:pt idx="3">
                  <c:v>0.46813725490196079</c:v>
                </c:pt>
                <c:pt idx="4">
                  <c:v>0.546875</c:v>
                </c:pt>
                <c:pt idx="5">
                  <c:v>0.54656862745098045</c:v>
                </c:pt>
                <c:pt idx="7">
                  <c:v>2.34375E-2</c:v>
                </c:pt>
                <c:pt idx="8">
                  <c:v>0.5546875</c:v>
                </c:pt>
                <c:pt idx="9">
                  <c:v>0.49218750000000006</c:v>
                </c:pt>
                <c:pt idx="10">
                  <c:v>0.64583333333333326</c:v>
                </c:pt>
                <c:pt idx="11">
                  <c:v>0.56770833333333326</c:v>
                </c:pt>
                <c:pt idx="15">
                  <c:v>0.46813725490196079</c:v>
                </c:pt>
                <c:pt idx="16">
                  <c:v>0.55208333333333337</c:v>
                </c:pt>
                <c:pt idx="17">
                  <c:v>0.54166666666666663</c:v>
                </c:pt>
                <c:pt idx="18">
                  <c:v>0.57812500000000011</c:v>
                </c:pt>
                <c:pt idx="19">
                  <c:v>0.47135416666666669</c:v>
                </c:pt>
                <c:pt idx="22">
                  <c:v>0.31510416666666663</c:v>
                </c:pt>
                <c:pt idx="23">
                  <c:v>0.46614583333333331</c:v>
                </c:pt>
                <c:pt idx="24">
                  <c:v>0.33854166666666669</c:v>
                </c:pt>
                <c:pt idx="25">
                  <c:v>0.29166666666666663</c:v>
                </c:pt>
                <c:pt idx="26">
                  <c:v>0.19531249999999997</c:v>
                </c:pt>
                <c:pt idx="29">
                  <c:v>0.546875</c:v>
                </c:pt>
                <c:pt idx="31">
                  <c:v>0.31424291938997817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33-4143-8FFE-8F141001B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433-4143-8FFE-8F141001B35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33-4143-8FFE-8F141001B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BASE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ADAPTER</c:v>
                </c:pt>
                <c:pt idx="12">
                  <c:v>SLIDER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'23'!$L$6:$L$21</c:f>
              <c:numCache>
                <c:formatCode>_(* #,##0_);_(* \(#,##0\);_(* "-"_);_(@_)</c:formatCode>
                <c:ptCount val="16"/>
                <c:pt idx="1">
                  <c:v>7736</c:v>
                </c:pt>
                <c:pt idx="2">
                  <c:v>5311</c:v>
                </c:pt>
                <c:pt idx="3">
                  <c:v>1200</c:v>
                </c:pt>
                <c:pt idx="4">
                  <c:v>6007</c:v>
                </c:pt>
                <c:pt idx="6">
                  <c:v>4460</c:v>
                </c:pt>
                <c:pt idx="11">
                  <c:v>600</c:v>
                </c:pt>
                <c:pt idx="12">
                  <c:v>700</c:v>
                </c:pt>
                <c:pt idx="14">
                  <c:v>3196</c:v>
                </c:pt>
                <c:pt idx="15">
                  <c:v>31300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70-4168-8776-167D624B4132}"/>
            </c:ext>
          </c:extLst>
        </c:ser>
        <c:ser>
          <c:idx val="1"/>
          <c:order val="1"/>
          <c:tx>
            <c:v>계획</c:v>
          </c:tx>
          <c:cat>
            <c:strRef>
              <c:f>'23'!$D$6:$D$21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BASE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ADAPTER</c:v>
                </c:pt>
                <c:pt idx="12">
                  <c:v>SLIDER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'23'!$J$6:$J$21</c:f>
              <c:numCache>
                <c:formatCode>_(* #,##0_);_(* \(#,##0\);_(* "-"_);_(@_)</c:formatCode>
                <c:ptCount val="16"/>
                <c:pt idx="0">
                  <c:v>1902</c:v>
                </c:pt>
                <c:pt idx="1">
                  <c:v>7736</c:v>
                </c:pt>
                <c:pt idx="2">
                  <c:v>5311</c:v>
                </c:pt>
                <c:pt idx="3">
                  <c:v>1200</c:v>
                </c:pt>
                <c:pt idx="4">
                  <c:v>6007</c:v>
                </c:pt>
                <c:pt idx="5">
                  <c:v>67990</c:v>
                </c:pt>
                <c:pt idx="6">
                  <c:v>4460</c:v>
                </c:pt>
                <c:pt idx="7">
                  <c:v>4308</c:v>
                </c:pt>
                <c:pt idx="8">
                  <c:v>392</c:v>
                </c:pt>
                <c:pt idx="9">
                  <c:v>5214</c:v>
                </c:pt>
                <c:pt idx="10">
                  <c:v>3086</c:v>
                </c:pt>
                <c:pt idx="11">
                  <c:v>600</c:v>
                </c:pt>
                <c:pt idx="12">
                  <c:v>700</c:v>
                </c:pt>
                <c:pt idx="13">
                  <c:v>5201</c:v>
                </c:pt>
                <c:pt idx="14">
                  <c:v>3196</c:v>
                </c:pt>
                <c:pt idx="15">
                  <c:v>31300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70-4168-8776-167D624B4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'23'!$AD$6:$AD$21</c:f>
              <c:strCache>
                <c:ptCount val="16"/>
                <c:pt idx="0">
                  <c:v>0%</c:v>
                </c:pt>
                <c:pt idx="1">
                  <c:v>75%</c:v>
                </c:pt>
                <c:pt idx="2">
                  <c:v>100%</c:v>
                </c:pt>
                <c:pt idx="3">
                  <c:v>25%</c:v>
                </c:pt>
                <c:pt idx="4">
                  <c:v>100%</c:v>
                </c:pt>
                <c:pt idx="5">
                  <c:v>0%</c:v>
                </c:pt>
                <c:pt idx="6">
                  <c:v>54%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17%</c:v>
                </c:pt>
                <c:pt idx="12">
                  <c:v>17%</c:v>
                </c:pt>
                <c:pt idx="13">
                  <c:v>0%</c:v>
                </c:pt>
                <c:pt idx="14">
                  <c:v>67%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BASE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ADAPTER</c:v>
                </c:pt>
                <c:pt idx="12">
                  <c:v>SLIDER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'23'!$AD$6:$AD$21</c:f>
              <c:numCache>
                <c:formatCode>0%</c:formatCode>
                <c:ptCount val="16"/>
                <c:pt idx="0">
                  <c:v>0</c:v>
                </c:pt>
                <c:pt idx="1">
                  <c:v>0.75</c:v>
                </c:pt>
                <c:pt idx="2">
                  <c:v>1</c:v>
                </c:pt>
                <c:pt idx="3">
                  <c:v>0.25</c:v>
                </c:pt>
                <c:pt idx="4">
                  <c:v>1</c:v>
                </c:pt>
                <c:pt idx="5">
                  <c:v>0</c:v>
                </c:pt>
                <c:pt idx="6">
                  <c:v>0.54166666666666663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</c:v>
                </c:pt>
                <c:pt idx="14">
                  <c:v>0.66666666666666663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A9-4C10-A081-309E2D7BAC2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AA9-4C10-A081-309E2D7BAC2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BASE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ADAPTER</c:v>
                </c:pt>
                <c:pt idx="12">
                  <c:v>SLIDER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'23'!$AE$6:$AE$21</c:f>
              <c:numCache>
                <c:formatCode>0%</c:formatCode>
                <c:ptCount val="16"/>
                <c:pt idx="0">
                  <c:v>0.31510416666666663</c:v>
                </c:pt>
                <c:pt idx="1">
                  <c:v>0.31510416666666663</c:v>
                </c:pt>
                <c:pt idx="2">
                  <c:v>0.31510416666666663</c:v>
                </c:pt>
                <c:pt idx="3">
                  <c:v>0.31510416666666663</c:v>
                </c:pt>
                <c:pt idx="4">
                  <c:v>0.31510416666666663</c:v>
                </c:pt>
                <c:pt idx="5">
                  <c:v>0.31510416666666663</c:v>
                </c:pt>
                <c:pt idx="6">
                  <c:v>0.31510416666666663</c:v>
                </c:pt>
                <c:pt idx="7">
                  <c:v>0.31510416666666663</c:v>
                </c:pt>
                <c:pt idx="8">
                  <c:v>0.31510416666666663</c:v>
                </c:pt>
                <c:pt idx="9">
                  <c:v>0.31510416666666663</c:v>
                </c:pt>
                <c:pt idx="10">
                  <c:v>0.31510416666666663</c:v>
                </c:pt>
                <c:pt idx="11">
                  <c:v>0.31510416666666663</c:v>
                </c:pt>
                <c:pt idx="12">
                  <c:v>0.31510416666666663</c:v>
                </c:pt>
                <c:pt idx="13">
                  <c:v>0.31510416666666663</c:v>
                </c:pt>
                <c:pt idx="14">
                  <c:v>0.31510416666666663</c:v>
                </c:pt>
                <c:pt idx="15">
                  <c:v>0.31510416666666663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A9-4C10-A081-309E2D7BA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BASE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ADAPTER</c:v>
                </c:pt>
                <c:pt idx="12">
                  <c:v>SLIDER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'23'!$L$6:$L$21</c:f>
              <c:numCache>
                <c:formatCode>_(* #,##0_);_(* \(#,##0\);_(* "-"_);_(@_)</c:formatCode>
                <c:ptCount val="16"/>
                <c:pt idx="1">
                  <c:v>7736</c:v>
                </c:pt>
                <c:pt idx="2">
                  <c:v>5311</c:v>
                </c:pt>
                <c:pt idx="3">
                  <c:v>1200</c:v>
                </c:pt>
                <c:pt idx="4">
                  <c:v>6007</c:v>
                </c:pt>
                <c:pt idx="6">
                  <c:v>4460</c:v>
                </c:pt>
                <c:pt idx="11">
                  <c:v>600</c:v>
                </c:pt>
                <c:pt idx="12">
                  <c:v>700</c:v>
                </c:pt>
                <c:pt idx="14">
                  <c:v>3196</c:v>
                </c:pt>
                <c:pt idx="15">
                  <c:v>31300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86-4C62-83FD-6DB5DE855078}"/>
            </c:ext>
          </c:extLst>
        </c:ser>
        <c:ser>
          <c:idx val="1"/>
          <c:order val="1"/>
          <c:tx>
            <c:v>계획</c:v>
          </c:tx>
          <c:cat>
            <c:strRef>
              <c:f>'23'!$D$6:$D$21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BASE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ADAPTER</c:v>
                </c:pt>
                <c:pt idx="12">
                  <c:v>SLIDER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'23'!$J$6:$J$21</c:f>
              <c:numCache>
                <c:formatCode>_(* #,##0_);_(* \(#,##0\);_(* "-"_);_(@_)</c:formatCode>
                <c:ptCount val="16"/>
                <c:pt idx="0">
                  <c:v>1902</c:v>
                </c:pt>
                <c:pt idx="1">
                  <c:v>7736</c:v>
                </c:pt>
                <c:pt idx="2">
                  <c:v>5311</c:v>
                </c:pt>
                <c:pt idx="3">
                  <c:v>1200</c:v>
                </c:pt>
                <c:pt idx="4">
                  <c:v>6007</c:v>
                </c:pt>
                <c:pt idx="5">
                  <c:v>67990</c:v>
                </c:pt>
                <c:pt idx="6">
                  <c:v>4460</c:v>
                </c:pt>
                <c:pt idx="7">
                  <c:v>4308</c:v>
                </c:pt>
                <c:pt idx="8">
                  <c:v>392</c:v>
                </c:pt>
                <c:pt idx="9">
                  <c:v>5214</c:v>
                </c:pt>
                <c:pt idx="10">
                  <c:v>3086</c:v>
                </c:pt>
                <c:pt idx="11">
                  <c:v>600</c:v>
                </c:pt>
                <c:pt idx="12">
                  <c:v>700</c:v>
                </c:pt>
                <c:pt idx="13">
                  <c:v>5201</c:v>
                </c:pt>
                <c:pt idx="14">
                  <c:v>3196</c:v>
                </c:pt>
                <c:pt idx="15">
                  <c:v>31300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86-4C62-83FD-6DB5DE855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'23'!$AD$6:$AD$21</c:f>
              <c:strCache>
                <c:ptCount val="16"/>
                <c:pt idx="0">
                  <c:v>0%</c:v>
                </c:pt>
                <c:pt idx="1">
                  <c:v>75%</c:v>
                </c:pt>
                <c:pt idx="2">
                  <c:v>100%</c:v>
                </c:pt>
                <c:pt idx="3">
                  <c:v>25%</c:v>
                </c:pt>
                <c:pt idx="4">
                  <c:v>100%</c:v>
                </c:pt>
                <c:pt idx="5">
                  <c:v>0%</c:v>
                </c:pt>
                <c:pt idx="6">
                  <c:v>54%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17%</c:v>
                </c:pt>
                <c:pt idx="12">
                  <c:v>17%</c:v>
                </c:pt>
                <c:pt idx="13">
                  <c:v>0%</c:v>
                </c:pt>
                <c:pt idx="14">
                  <c:v>67%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BASE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ADAPTER</c:v>
                </c:pt>
                <c:pt idx="12">
                  <c:v>SLIDER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'23'!$AD$6:$AD$21</c:f>
              <c:numCache>
                <c:formatCode>0%</c:formatCode>
                <c:ptCount val="16"/>
                <c:pt idx="0">
                  <c:v>0</c:v>
                </c:pt>
                <c:pt idx="1">
                  <c:v>0.75</c:v>
                </c:pt>
                <c:pt idx="2">
                  <c:v>1</c:v>
                </c:pt>
                <c:pt idx="3">
                  <c:v>0.25</c:v>
                </c:pt>
                <c:pt idx="4">
                  <c:v>1</c:v>
                </c:pt>
                <c:pt idx="5">
                  <c:v>0</c:v>
                </c:pt>
                <c:pt idx="6">
                  <c:v>0.54166666666666663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</c:v>
                </c:pt>
                <c:pt idx="14">
                  <c:v>0.66666666666666663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8C-4B51-B9A8-8D7A0C2CC7A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08C-4B51-B9A8-8D7A0C2CC7A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BASE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TOP/BOTTOM</c:v>
                </c:pt>
                <c:pt idx="11">
                  <c:v>ADAPTER</c:v>
                </c:pt>
                <c:pt idx="12">
                  <c:v>SLIDER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'23'!$AE$6:$AE$21</c:f>
              <c:numCache>
                <c:formatCode>0%</c:formatCode>
                <c:ptCount val="16"/>
                <c:pt idx="0">
                  <c:v>0.31510416666666663</c:v>
                </c:pt>
                <c:pt idx="1">
                  <c:v>0.31510416666666663</c:v>
                </c:pt>
                <c:pt idx="2">
                  <c:v>0.31510416666666663</c:v>
                </c:pt>
                <c:pt idx="3">
                  <c:v>0.31510416666666663</c:v>
                </c:pt>
                <c:pt idx="4">
                  <c:v>0.31510416666666663</c:v>
                </c:pt>
                <c:pt idx="5">
                  <c:v>0.31510416666666663</c:v>
                </c:pt>
                <c:pt idx="6">
                  <c:v>0.31510416666666663</c:v>
                </c:pt>
                <c:pt idx="7">
                  <c:v>0.31510416666666663</c:v>
                </c:pt>
                <c:pt idx="8">
                  <c:v>0.31510416666666663</c:v>
                </c:pt>
                <c:pt idx="9">
                  <c:v>0.31510416666666663</c:v>
                </c:pt>
                <c:pt idx="10">
                  <c:v>0.31510416666666663</c:v>
                </c:pt>
                <c:pt idx="11">
                  <c:v>0.31510416666666663</c:v>
                </c:pt>
                <c:pt idx="12">
                  <c:v>0.31510416666666663</c:v>
                </c:pt>
                <c:pt idx="13">
                  <c:v>0.31510416666666663</c:v>
                </c:pt>
                <c:pt idx="14">
                  <c:v>0.31510416666666663</c:v>
                </c:pt>
                <c:pt idx="15">
                  <c:v>0.31510416666666663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8C-4B51-B9A8-8D7A0C2CC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D4F-48AC-BB08-AD139BBB15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0.4140625</c:v>
                </c:pt>
                <c:pt idx="2">
                  <c:v>0.40277777777777779</c:v>
                </c:pt>
                <c:pt idx="3">
                  <c:v>0.46813725490196079</c:v>
                </c:pt>
                <c:pt idx="4">
                  <c:v>0.546875</c:v>
                </c:pt>
                <c:pt idx="5">
                  <c:v>0.54656862745098045</c:v>
                </c:pt>
                <c:pt idx="7">
                  <c:v>2.34375E-2</c:v>
                </c:pt>
                <c:pt idx="8">
                  <c:v>0.5546875</c:v>
                </c:pt>
                <c:pt idx="9">
                  <c:v>0.49218750000000006</c:v>
                </c:pt>
                <c:pt idx="10">
                  <c:v>0.64583333333333326</c:v>
                </c:pt>
                <c:pt idx="11">
                  <c:v>0.56770833333333326</c:v>
                </c:pt>
                <c:pt idx="15">
                  <c:v>0.46813725490196079</c:v>
                </c:pt>
                <c:pt idx="16">
                  <c:v>0.55208333333333337</c:v>
                </c:pt>
                <c:pt idx="17">
                  <c:v>0.54166666666666663</c:v>
                </c:pt>
                <c:pt idx="18">
                  <c:v>0.57812500000000011</c:v>
                </c:pt>
                <c:pt idx="19">
                  <c:v>0.47135416666666669</c:v>
                </c:pt>
                <c:pt idx="22">
                  <c:v>0.31510416666666663</c:v>
                </c:pt>
                <c:pt idx="23">
                  <c:v>0.46614583333333331</c:v>
                </c:pt>
                <c:pt idx="24">
                  <c:v>0.33854166666666669</c:v>
                </c:pt>
                <c:pt idx="25">
                  <c:v>0.29166666666666663</c:v>
                </c:pt>
                <c:pt idx="26">
                  <c:v>0.19531249999999997</c:v>
                </c:pt>
                <c:pt idx="29">
                  <c:v>0.546875</c:v>
                </c:pt>
                <c:pt idx="31">
                  <c:v>0.31424291938997817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4F-48AC-BB08-AD139BBB1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D4F-48AC-BB08-AD139BBB151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4F-48AC-BB08-AD139BBB1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COVER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'24'!$L$6:$L$21</c:f>
              <c:numCache>
                <c:formatCode>_(* #,##0_);_(* \(#,##0\);_(* "-"_);_(@_)</c:formatCode>
                <c:ptCount val="16"/>
                <c:pt idx="1">
                  <c:v>12588</c:v>
                </c:pt>
                <c:pt idx="2">
                  <c:v>5560</c:v>
                </c:pt>
                <c:pt idx="3">
                  <c:v>8476</c:v>
                </c:pt>
                <c:pt idx="4">
                  <c:v>6248</c:v>
                </c:pt>
                <c:pt idx="6">
                  <c:v>8093</c:v>
                </c:pt>
                <c:pt idx="7">
                  <c:v>3678</c:v>
                </c:pt>
                <c:pt idx="10">
                  <c:v>9016</c:v>
                </c:pt>
                <c:pt idx="12">
                  <c:v>6004</c:v>
                </c:pt>
                <c:pt idx="14">
                  <c:v>5515</c:v>
                </c:pt>
                <c:pt idx="15">
                  <c:v>29064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BE-4045-9351-F19D5008BB2F}"/>
            </c:ext>
          </c:extLst>
        </c:ser>
        <c:ser>
          <c:idx val="1"/>
          <c:order val="1"/>
          <c:tx>
            <c:v>계획</c:v>
          </c:tx>
          <c:cat>
            <c:strRef>
              <c:f>'24'!$D$6:$D$21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COVER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'24'!$J$6:$J$21</c:f>
              <c:numCache>
                <c:formatCode>_(* #,##0_);_(* \(#,##0\);_(* "-"_);_(@_)</c:formatCode>
                <c:ptCount val="16"/>
                <c:pt idx="0">
                  <c:v>1902</c:v>
                </c:pt>
                <c:pt idx="1">
                  <c:v>12588</c:v>
                </c:pt>
                <c:pt idx="2">
                  <c:v>5560</c:v>
                </c:pt>
                <c:pt idx="3">
                  <c:v>8476</c:v>
                </c:pt>
                <c:pt idx="4">
                  <c:v>6248</c:v>
                </c:pt>
                <c:pt idx="5">
                  <c:v>67990</c:v>
                </c:pt>
                <c:pt idx="6">
                  <c:v>8093</c:v>
                </c:pt>
                <c:pt idx="7">
                  <c:v>3678</c:v>
                </c:pt>
                <c:pt idx="8">
                  <c:v>392</c:v>
                </c:pt>
                <c:pt idx="9">
                  <c:v>5214</c:v>
                </c:pt>
                <c:pt idx="10">
                  <c:v>9016</c:v>
                </c:pt>
                <c:pt idx="11">
                  <c:v>600</c:v>
                </c:pt>
                <c:pt idx="12">
                  <c:v>6004</c:v>
                </c:pt>
                <c:pt idx="13">
                  <c:v>5201</c:v>
                </c:pt>
                <c:pt idx="14">
                  <c:v>5515</c:v>
                </c:pt>
                <c:pt idx="15">
                  <c:v>29064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BE-4045-9351-F19D5008B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'24'!$AD$6:$AD$21</c:f>
              <c:strCache>
                <c:ptCount val="16"/>
                <c:pt idx="0">
                  <c:v>0%</c:v>
                </c:pt>
                <c:pt idx="1">
                  <c:v>100%</c:v>
                </c:pt>
                <c:pt idx="2">
                  <c:v>100%</c:v>
                </c:pt>
                <c:pt idx="3">
                  <c:v>50%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63%</c:v>
                </c:pt>
                <c:pt idx="8">
                  <c:v>0%</c:v>
                </c:pt>
                <c:pt idx="9">
                  <c:v>0%</c:v>
                </c:pt>
                <c:pt idx="10">
                  <c:v>50%</c:v>
                </c:pt>
                <c:pt idx="11">
                  <c:v>0%</c:v>
                </c:pt>
                <c:pt idx="12">
                  <c:v>33%</c:v>
                </c:pt>
                <c:pt idx="13">
                  <c:v>0%</c:v>
                </c:pt>
                <c:pt idx="14">
                  <c:v>100%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COVER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'24'!$AD$6:$AD$21</c:f>
              <c:numCache>
                <c:formatCode>0%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0.625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  <c:pt idx="11">
                  <c:v>0</c:v>
                </c:pt>
                <c:pt idx="12">
                  <c:v>0.33333333333333331</c:v>
                </c:pt>
                <c:pt idx="13">
                  <c:v>0</c:v>
                </c:pt>
                <c:pt idx="14">
                  <c:v>1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E8-4CF4-A403-33B3DEBA6BE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4E8-4CF4-A403-33B3DEBA6BE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COVER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'24'!$AE$6:$AE$21</c:f>
              <c:numCache>
                <c:formatCode>0%</c:formatCode>
                <c:ptCount val="16"/>
                <c:pt idx="0">
                  <c:v>0.46614583333333331</c:v>
                </c:pt>
                <c:pt idx="1">
                  <c:v>0.46614583333333331</c:v>
                </c:pt>
                <c:pt idx="2">
                  <c:v>0.46614583333333331</c:v>
                </c:pt>
                <c:pt idx="3">
                  <c:v>0.46614583333333331</c:v>
                </c:pt>
                <c:pt idx="4">
                  <c:v>0.46614583333333331</c:v>
                </c:pt>
                <c:pt idx="5">
                  <c:v>0.46614583333333331</c:v>
                </c:pt>
                <c:pt idx="6">
                  <c:v>0.46614583333333331</c:v>
                </c:pt>
                <c:pt idx="7">
                  <c:v>0.46614583333333331</c:v>
                </c:pt>
                <c:pt idx="8">
                  <c:v>0.46614583333333331</c:v>
                </c:pt>
                <c:pt idx="9">
                  <c:v>0.46614583333333331</c:v>
                </c:pt>
                <c:pt idx="10">
                  <c:v>0.46614583333333331</c:v>
                </c:pt>
                <c:pt idx="11">
                  <c:v>0.46614583333333331</c:v>
                </c:pt>
                <c:pt idx="12">
                  <c:v>0.46614583333333331</c:v>
                </c:pt>
                <c:pt idx="13">
                  <c:v>0.46614583333333331</c:v>
                </c:pt>
                <c:pt idx="14">
                  <c:v>0.46614583333333331</c:v>
                </c:pt>
                <c:pt idx="15">
                  <c:v>0.46614583333333331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E8-4CF4-A403-33B3DEBA6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COVER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'24'!$L$6:$L$21</c:f>
              <c:numCache>
                <c:formatCode>_(* #,##0_);_(* \(#,##0\);_(* "-"_);_(@_)</c:formatCode>
                <c:ptCount val="16"/>
                <c:pt idx="1">
                  <c:v>12588</c:v>
                </c:pt>
                <c:pt idx="2">
                  <c:v>5560</c:v>
                </c:pt>
                <c:pt idx="3">
                  <c:v>8476</c:v>
                </c:pt>
                <c:pt idx="4">
                  <c:v>6248</c:v>
                </c:pt>
                <c:pt idx="6">
                  <c:v>8093</c:v>
                </c:pt>
                <c:pt idx="7">
                  <c:v>3678</c:v>
                </c:pt>
                <c:pt idx="10">
                  <c:v>9016</c:v>
                </c:pt>
                <c:pt idx="12">
                  <c:v>6004</c:v>
                </c:pt>
                <c:pt idx="14">
                  <c:v>5515</c:v>
                </c:pt>
                <c:pt idx="15">
                  <c:v>29064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CA-4666-A68A-0311936D357A}"/>
            </c:ext>
          </c:extLst>
        </c:ser>
        <c:ser>
          <c:idx val="1"/>
          <c:order val="1"/>
          <c:tx>
            <c:v>계획</c:v>
          </c:tx>
          <c:cat>
            <c:strRef>
              <c:f>'24'!$D$6:$D$21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COVER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'24'!$J$6:$J$21</c:f>
              <c:numCache>
                <c:formatCode>_(* #,##0_);_(* \(#,##0\);_(* "-"_);_(@_)</c:formatCode>
                <c:ptCount val="16"/>
                <c:pt idx="0">
                  <c:v>1902</c:v>
                </c:pt>
                <c:pt idx="1">
                  <c:v>12588</c:v>
                </c:pt>
                <c:pt idx="2">
                  <c:v>5560</c:v>
                </c:pt>
                <c:pt idx="3">
                  <c:v>8476</c:v>
                </c:pt>
                <c:pt idx="4">
                  <c:v>6248</c:v>
                </c:pt>
                <c:pt idx="5">
                  <c:v>67990</c:v>
                </c:pt>
                <c:pt idx="6">
                  <c:v>8093</c:v>
                </c:pt>
                <c:pt idx="7">
                  <c:v>3678</c:v>
                </c:pt>
                <c:pt idx="8">
                  <c:v>392</c:v>
                </c:pt>
                <c:pt idx="9">
                  <c:v>5214</c:v>
                </c:pt>
                <c:pt idx="10">
                  <c:v>9016</c:v>
                </c:pt>
                <c:pt idx="11">
                  <c:v>600</c:v>
                </c:pt>
                <c:pt idx="12">
                  <c:v>6004</c:v>
                </c:pt>
                <c:pt idx="13">
                  <c:v>5201</c:v>
                </c:pt>
                <c:pt idx="14">
                  <c:v>5515</c:v>
                </c:pt>
                <c:pt idx="15">
                  <c:v>29064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CA-4666-A68A-0311936D3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'24'!$AD$6:$AD$21</c:f>
              <c:strCache>
                <c:ptCount val="16"/>
                <c:pt idx="0">
                  <c:v>0%</c:v>
                </c:pt>
                <c:pt idx="1">
                  <c:v>100%</c:v>
                </c:pt>
                <c:pt idx="2">
                  <c:v>100%</c:v>
                </c:pt>
                <c:pt idx="3">
                  <c:v>50%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63%</c:v>
                </c:pt>
                <c:pt idx="8">
                  <c:v>0%</c:v>
                </c:pt>
                <c:pt idx="9">
                  <c:v>0%</c:v>
                </c:pt>
                <c:pt idx="10">
                  <c:v>50%</c:v>
                </c:pt>
                <c:pt idx="11">
                  <c:v>0%</c:v>
                </c:pt>
                <c:pt idx="12">
                  <c:v>33%</c:v>
                </c:pt>
                <c:pt idx="13">
                  <c:v>0%</c:v>
                </c:pt>
                <c:pt idx="14">
                  <c:v>100%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COVER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'24'!$AD$6:$AD$21</c:f>
              <c:numCache>
                <c:formatCode>0%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0.625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  <c:pt idx="11">
                  <c:v>0</c:v>
                </c:pt>
                <c:pt idx="12">
                  <c:v>0.33333333333333331</c:v>
                </c:pt>
                <c:pt idx="13">
                  <c:v>0</c:v>
                </c:pt>
                <c:pt idx="14">
                  <c:v>1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15-486B-AB0B-C5CFFD8C0F8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D15-486B-AB0B-C5CFFD8C0F8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COVER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ADAPTER</c:v>
                </c:pt>
                <c:pt idx="10">
                  <c:v>LEAD GUIDE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'24'!$AE$6:$AE$21</c:f>
              <c:numCache>
                <c:formatCode>0%</c:formatCode>
                <c:ptCount val="16"/>
                <c:pt idx="0">
                  <c:v>0.46614583333333331</c:v>
                </c:pt>
                <c:pt idx="1">
                  <c:v>0.46614583333333331</c:v>
                </c:pt>
                <c:pt idx="2">
                  <c:v>0.46614583333333331</c:v>
                </c:pt>
                <c:pt idx="3">
                  <c:v>0.46614583333333331</c:v>
                </c:pt>
                <c:pt idx="4">
                  <c:v>0.46614583333333331</c:v>
                </c:pt>
                <c:pt idx="5">
                  <c:v>0.46614583333333331</c:v>
                </c:pt>
                <c:pt idx="6">
                  <c:v>0.46614583333333331</c:v>
                </c:pt>
                <c:pt idx="7">
                  <c:v>0.46614583333333331</c:v>
                </c:pt>
                <c:pt idx="8">
                  <c:v>0.46614583333333331</c:v>
                </c:pt>
                <c:pt idx="9">
                  <c:v>0.46614583333333331</c:v>
                </c:pt>
                <c:pt idx="10">
                  <c:v>0.46614583333333331</c:v>
                </c:pt>
                <c:pt idx="11">
                  <c:v>0.46614583333333331</c:v>
                </c:pt>
                <c:pt idx="12">
                  <c:v>0.46614583333333331</c:v>
                </c:pt>
                <c:pt idx="13">
                  <c:v>0.46614583333333331</c:v>
                </c:pt>
                <c:pt idx="14">
                  <c:v>0.46614583333333331</c:v>
                </c:pt>
                <c:pt idx="15">
                  <c:v>0.46614583333333331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5-486B-AB0B-C5CFFD8C0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A40-4156-8429-ECA251D76E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0.4140625</c:v>
                </c:pt>
                <c:pt idx="2">
                  <c:v>0.40277777777777779</c:v>
                </c:pt>
                <c:pt idx="3">
                  <c:v>0.46813725490196079</c:v>
                </c:pt>
                <c:pt idx="4">
                  <c:v>0.546875</c:v>
                </c:pt>
                <c:pt idx="5">
                  <c:v>0.54656862745098045</c:v>
                </c:pt>
                <c:pt idx="7">
                  <c:v>2.34375E-2</c:v>
                </c:pt>
                <c:pt idx="8">
                  <c:v>0.5546875</c:v>
                </c:pt>
                <c:pt idx="9">
                  <c:v>0.49218750000000006</c:v>
                </c:pt>
                <c:pt idx="10">
                  <c:v>0.64583333333333326</c:v>
                </c:pt>
                <c:pt idx="11">
                  <c:v>0.56770833333333326</c:v>
                </c:pt>
                <c:pt idx="15">
                  <c:v>0.46813725490196079</c:v>
                </c:pt>
                <c:pt idx="16">
                  <c:v>0.55208333333333337</c:v>
                </c:pt>
                <c:pt idx="17">
                  <c:v>0.54166666666666663</c:v>
                </c:pt>
                <c:pt idx="18">
                  <c:v>0.57812500000000011</c:v>
                </c:pt>
                <c:pt idx="19">
                  <c:v>0.47135416666666669</c:v>
                </c:pt>
                <c:pt idx="22">
                  <c:v>0.31510416666666663</c:v>
                </c:pt>
                <c:pt idx="23">
                  <c:v>0.46614583333333331</c:v>
                </c:pt>
                <c:pt idx="24">
                  <c:v>0.33854166666666669</c:v>
                </c:pt>
                <c:pt idx="25">
                  <c:v>0.29166666666666663</c:v>
                </c:pt>
                <c:pt idx="26">
                  <c:v>0.19531249999999997</c:v>
                </c:pt>
                <c:pt idx="29">
                  <c:v>0.546875</c:v>
                </c:pt>
                <c:pt idx="31">
                  <c:v>0.31424291938997817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40-4156-8429-ECA251D76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A40-4156-8429-ECA251D76E3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40-4156-8429-ECA251D76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COVER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SLIDER</c:v>
                </c:pt>
                <c:pt idx="10">
                  <c:v>LEAD GUIDE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'25'!$L$6:$L$21</c:f>
              <c:numCache>
                <c:formatCode>_(* #,##0_);_(* \(#,##0\);_(* "-"_);_(@_)</c:formatCode>
                <c:ptCount val="16"/>
                <c:pt idx="1">
                  <c:v>5180</c:v>
                </c:pt>
                <c:pt idx="2">
                  <c:v>5494</c:v>
                </c:pt>
                <c:pt idx="4">
                  <c:v>4876</c:v>
                </c:pt>
                <c:pt idx="6">
                  <c:v>6528</c:v>
                </c:pt>
                <c:pt idx="7">
                  <c:v>1851</c:v>
                </c:pt>
                <c:pt idx="9">
                  <c:v>11936</c:v>
                </c:pt>
                <c:pt idx="12">
                  <c:v>5168</c:v>
                </c:pt>
                <c:pt idx="14">
                  <c:v>5572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EE-439C-8A25-E148FA8A81E4}"/>
            </c:ext>
          </c:extLst>
        </c:ser>
        <c:ser>
          <c:idx val="1"/>
          <c:order val="1"/>
          <c:tx>
            <c:v>계획</c:v>
          </c:tx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COVER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SLIDER</c:v>
                </c:pt>
                <c:pt idx="10">
                  <c:v>LEAD GUIDE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'25'!$J$6:$J$21</c:f>
              <c:numCache>
                <c:formatCode>_(* #,##0_);_(* \(#,##0\);_(* "-"_);_(@_)</c:formatCode>
                <c:ptCount val="16"/>
                <c:pt idx="0">
                  <c:v>1902</c:v>
                </c:pt>
                <c:pt idx="1">
                  <c:v>5180</c:v>
                </c:pt>
                <c:pt idx="2">
                  <c:v>5494</c:v>
                </c:pt>
                <c:pt idx="3">
                  <c:v>8476</c:v>
                </c:pt>
                <c:pt idx="4">
                  <c:v>4876</c:v>
                </c:pt>
                <c:pt idx="5">
                  <c:v>67990</c:v>
                </c:pt>
                <c:pt idx="6">
                  <c:v>6528</c:v>
                </c:pt>
                <c:pt idx="7">
                  <c:v>1851</c:v>
                </c:pt>
                <c:pt idx="8">
                  <c:v>392</c:v>
                </c:pt>
                <c:pt idx="9">
                  <c:v>11936</c:v>
                </c:pt>
                <c:pt idx="10">
                  <c:v>9016</c:v>
                </c:pt>
                <c:pt idx="11">
                  <c:v>600</c:v>
                </c:pt>
                <c:pt idx="12">
                  <c:v>5168</c:v>
                </c:pt>
                <c:pt idx="13">
                  <c:v>5201</c:v>
                </c:pt>
                <c:pt idx="14">
                  <c:v>5572</c:v>
                </c:pt>
                <c:pt idx="15">
                  <c:v>29064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EE-439C-8A25-E148FA8A8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'25'!$AD$6:$AD$21</c:f>
              <c:strCache>
                <c:ptCount val="16"/>
                <c:pt idx="0">
                  <c:v>0%</c:v>
                </c:pt>
                <c:pt idx="1">
                  <c:v>42%</c:v>
                </c:pt>
                <c:pt idx="2">
                  <c:v>100%</c:v>
                </c:pt>
                <c:pt idx="3">
                  <c:v>0%</c:v>
                </c:pt>
                <c:pt idx="4">
                  <c:v>88%</c:v>
                </c:pt>
                <c:pt idx="5">
                  <c:v>0%</c:v>
                </c:pt>
                <c:pt idx="6">
                  <c:v>71%</c:v>
                </c:pt>
                <c:pt idx="7">
                  <c:v>38%</c:v>
                </c:pt>
                <c:pt idx="8">
                  <c:v>0%</c:v>
                </c:pt>
                <c:pt idx="9">
                  <c:v>63%</c:v>
                </c:pt>
                <c:pt idx="10">
                  <c:v>0%</c:v>
                </c:pt>
                <c:pt idx="11">
                  <c:v>0%</c:v>
                </c:pt>
                <c:pt idx="12">
                  <c:v>42%</c:v>
                </c:pt>
                <c:pt idx="13">
                  <c:v>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COVER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SLIDER</c:v>
                </c:pt>
                <c:pt idx="10">
                  <c:v>LEAD GUIDE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'25'!$AD$6:$AD$21</c:f>
              <c:numCache>
                <c:formatCode>0%</c:formatCode>
                <c:ptCount val="16"/>
                <c:pt idx="0">
                  <c:v>0</c:v>
                </c:pt>
                <c:pt idx="1">
                  <c:v>0.41666666666666669</c:v>
                </c:pt>
                <c:pt idx="2">
                  <c:v>1</c:v>
                </c:pt>
                <c:pt idx="3">
                  <c:v>0</c:v>
                </c:pt>
                <c:pt idx="4">
                  <c:v>0.875</c:v>
                </c:pt>
                <c:pt idx="5">
                  <c:v>0</c:v>
                </c:pt>
                <c:pt idx="6">
                  <c:v>0.70833333333333337</c:v>
                </c:pt>
                <c:pt idx="7">
                  <c:v>0.375</c:v>
                </c:pt>
                <c:pt idx="8">
                  <c:v>0</c:v>
                </c:pt>
                <c:pt idx="9">
                  <c:v>0.625</c:v>
                </c:pt>
                <c:pt idx="10">
                  <c:v>0</c:v>
                </c:pt>
                <c:pt idx="11">
                  <c:v>0</c:v>
                </c:pt>
                <c:pt idx="12">
                  <c:v>0.41666666666666669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A3-4E5E-94B6-3CB5F87E195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DA3-4E5E-94B6-3CB5F87E195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COVER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SLIDER</c:v>
                </c:pt>
                <c:pt idx="10">
                  <c:v>LEAD GUIDE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'25'!$AE$6:$AE$21</c:f>
              <c:numCache>
                <c:formatCode>0%</c:formatCode>
                <c:ptCount val="16"/>
                <c:pt idx="0">
                  <c:v>0.33854166666666669</c:v>
                </c:pt>
                <c:pt idx="1">
                  <c:v>0.33854166666666669</c:v>
                </c:pt>
                <c:pt idx="2">
                  <c:v>0.33854166666666669</c:v>
                </c:pt>
                <c:pt idx="3">
                  <c:v>0.33854166666666669</c:v>
                </c:pt>
                <c:pt idx="4">
                  <c:v>0.33854166666666669</c:v>
                </c:pt>
                <c:pt idx="5">
                  <c:v>0.33854166666666669</c:v>
                </c:pt>
                <c:pt idx="6">
                  <c:v>0.33854166666666669</c:v>
                </c:pt>
                <c:pt idx="7">
                  <c:v>0.33854166666666669</c:v>
                </c:pt>
                <c:pt idx="8">
                  <c:v>0.33854166666666669</c:v>
                </c:pt>
                <c:pt idx="9">
                  <c:v>0.33854166666666669</c:v>
                </c:pt>
                <c:pt idx="10">
                  <c:v>0.33854166666666669</c:v>
                </c:pt>
                <c:pt idx="11">
                  <c:v>0.33854166666666669</c:v>
                </c:pt>
                <c:pt idx="12">
                  <c:v>0.33854166666666669</c:v>
                </c:pt>
                <c:pt idx="13">
                  <c:v>0.33854166666666669</c:v>
                </c:pt>
                <c:pt idx="14">
                  <c:v>0.33854166666666669</c:v>
                </c:pt>
                <c:pt idx="15">
                  <c:v>0.33854166666666669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A3-4E5E-94B6-3CB5F87E1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COVER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SLIDER</c:v>
                </c:pt>
                <c:pt idx="10">
                  <c:v>LEAD GUIDE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'25'!$L$6:$L$21</c:f>
              <c:numCache>
                <c:formatCode>_(* #,##0_);_(* \(#,##0\);_(* "-"_);_(@_)</c:formatCode>
                <c:ptCount val="16"/>
                <c:pt idx="1">
                  <c:v>5180</c:v>
                </c:pt>
                <c:pt idx="2">
                  <c:v>5494</c:v>
                </c:pt>
                <c:pt idx="4">
                  <c:v>4876</c:v>
                </c:pt>
                <c:pt idx="6">
                  <c:v>6528</c:v>
                </c:pt>
                <c:pt idx="7">
                  <c:v>1851</c:v>
                </c:pt>
                <c:pt idx="9">
                  <c:v>11936</c:v>
                </c:pt>
                <c:pt idx="12">
                  <c:v>5168</c:v>
                </c:pt>
                <c:pt idx="14">
                  <c:v>5572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1A-45FB-BA2A-523372E873BC}"/>
            </c:ext>
          </c:extLst>
        </c:ser>
        <c:ser>
          <c:idx val="1"/>
          <c:order val="1"/>
          <c:tx>
            <c:v>계획</c:v>
          </c:tx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COVER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SLIDER</c:v>
                </c:pt>
                <c:pt idx="10">
                  <c:v>LEAD GUIDE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'25'!$J$6:$J$21</c:f>
              <c:numCache>
                <c:formatCode>_(* #,##0_);_(* \(#,##0\);_(* "-"_);_(@_)</c:formatCode>
                <c:ptCount val="16"/>
                <c:pt idx="0">
                  <c:v>1902</c:v>
                </c:pt>
                <c:pt idx="1">
                  <c:v>5180</c:v>
                </c:pt>
                <c:pt idx="2">
                  <c:v>5494</c:v>
                </c:pt>
                <c:pt idx="3">
                  <c:v>8476</c:v>
                </c:pt>
                <c:pt idx="4">
                  <c:v>4876</c:v>
                </c:pt>
                <c:pt idx="5">
                  <c:v>67990</c:v>
                </c:pt>
                <c:pt idx="6">
                  <c:v>6528</c:v>
                </c:pt>
                <c:pt idx="7">
                  <c:v>1851</c:v>
                </c:pt>
                <c:pt idx="8">
                  <c:v>392</c:v>
                </c:pt>
                <c:pt idx="9">
                  <c:v>11936</c:v>
                </c:pt>
                <c:pt idx="10">
                  <c:v>9016</c:v>
                </c:pt>
                <c:pt idx="11">
                  <c:v>600</c:v>
                </c:pt>
                <c:pt idx="12">
                  <c:v>5168</c:v>
                </c:pt>
                <c:pt idx="13">
                  <c:v>5201</c:v>
                </c:pt>
                <c:pt idx="14">
                  <c:v>5572</c:v>
                </c:pt>
                <c:pt idx="15">
                  <c:v>29064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1A-45FB-BA2A-523372E87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'25'!$AD$6:$AD$21</c:f>
              <c:strCache>
                <c:ptCount val="16"/>
                <c:pt idx="0">
                  <c:v>0%</c:v>
                </c:pt>
                <c:pt idx="1">
                  <c:v>42%</c:v>
                </c:pt>
                <c:pt idx="2">
                  <c:v>100%</c:v>
                </c:pt>
                <c:pt idx="3">
                  <c:v>0%</c:v>
                </c:pt>
                <c:pt idx="4">
                  <c:v>88%</c:v>
                </c:pt>
                <c:pt idx="5">
                  <c:v>0%</c:v>
                </c:pt>
                <c:pt idx="6">
                  <c:v>71%</c:v>
                </c:pt>
                <c:pt idx="7">
                  <c:v>38%</c:v>
                </c:pt>
                <c:pt idx="8">
                  <c:v>0%</c:v>
                </c:pt>
                <c:pt idx="9">
                  <c:v>63%</c:v>
                </c:pt>
                <c:pt idx="10">
                  <c:v>0%</c:v>
                </c:pt>
                <c:pt idx="11">
                  <c:v>0%</c:v>
                </c:pt>
                <c:pt idx="12">
                  <c:v>42%</c:v>
                </c:pt>
                <c:pt idx="13">
                  <c:v>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COVER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SLIDER</c:v>
                </c:pt>
                <c:pt idx="10">
                  <c:v>LEAD GUIDE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'25'!$AD$6:$AD$21</c:f>
              <c:numCache>
                <c:formatCode>0%</c:formatCode>
                <c:ptCount val="16"/>
                <c:pt idx="0">
                  <c:v>0</c:v>
                </c:pt>
                <c:pt idx="1">
                  <c:v>0.41666666666666669</c:v>
                </c:pt>
                <c:pt idx="2">
                  <c:v>1</c:v>
                </c:pt>
                <c:pt idx="3">
                  <c:v>0</c:v>
                </c:pt>
                <c:pt idx="4">
                  <c:v>0.875</c:v>
                </c:pt>
                <c:pt idx="5">
                  <c:v>0</c:v>
                </c:pt>
                <c:pt idx="6">
                  <c:v>0.70833333333333337</c:v>
                </c:pt>
                <c:pt idx="7">
                  <c:v>0.375</c:v>
                </c:pt>
                <c:pt idx="8">
                  <c:v>0</c:v>
                </c:pt>
                <c:pt idx="9">
                  <c:v>0.625</c:v>
                </c:pt>
                <c:pt idx="10">
                  <c:v>0</c:v>
                </c:pt>
                <c:pt idx="11">
                  <c:v>0</c:v>
                </c:pt>
                <c:pt idx="12">
                  <c:v>0.41666666666666669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6A-4A50-9333-A6CE10E9FAF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16A-4A50-9333-A6CE10E9FAF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COVER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SLIDER</c:v>
                </c:pt>
                <c:pt idx="10">
                  <c:v>LEAD GUIDE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'25'!$AE$6:$AE$21</c:f>
              <c:numCache>
                <c:formatCode>0%</c:formatCode>
                <c:ptCount val="16"/>
                <c:pt idx="0">
                  <c:v>0.33854166666666669</c:v>
                </c:pt>
                <c:pt idx="1">
                  <c:v>0.33854166666666669</c:v>
                </c:pt>
                <c:pt idx="2">
                  <c:v>0.33854166666666669</c:v>
                </c:pt>
                <c:pt idx="3">
                  <c:v>0.33854166666666669</c:v>
                </c:pt>
                <c:pt idx="4">
                  <c:v>0.33854166666666669</c:v>
                </c:pt>
                <c:pt idx="5">
                  <c:v>0.33854166666666669</c:v>
                </c:pt>
                <c:pt idx="6">
                  <c:v>0.33854166666666669</c:v>
                </c:pt>
                <c:pt idx="7">
                  <c:v>0.33854166666666669</c:v>
                </c:pt>
                <c:pt idx="8">
                  <c:v>0.33854166666666669</c:v>
                </c:pt>
                <c:pt idx="9">
                  <c:v>0.33854166666666669</c:v>
                </c:pt>
                <c:pt idx="10">
                  <c:v>0.33854166666666669</c:v>
                </c:pt>
                <c:pt idx="11">
                  <c:v>0.33854166666666669</c:v>
                </c:pt>
                <c:pt idx="12">
                  <c:v>0.33854166666666669</c:v>
                </c:pt>
                <c:pt idx="13">
                  <c:v>0.33854166666666669</c:v>
                </c:pt>
                <c:pt idx="14">
                  <c:v>0.33854166666666669</c:v>
                </c:pt>
                <c:pt idx="15">
                  <c:v>0.33854166666666669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6A-4A50-9333-A6CE10E9F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B3B-44BB-BE8C-38DBCF0035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0.4140625</c:v>
                </c:pt>
                <c:pt idx="2">
                  <c:v>0.40277777777777779</c:v>
                </c:pt>
                <c:pt idx="3">
                  <c:v>0.46813725490196079</c:v>
                </c:pt>
                <c:pt idx="4">
                  <c:v>0.546875</c:v>
                </c:pt>
                <c:pt idx="5">
                  <c:v>0.54656862745098045</c:v>
                </c:pt>
                <c:pt idx="7">
                  <c:v>2.34375E-2</c:v>
                </c:pt>
                <c:pt idx="8">
                  <c:v>0.5546875</c:v>
                </c:pt>
                <c:pt idx="9">
                  <c:v>0.49218750000000006</c:v>
                </c:pt>
                <c:pt idx="10">
                  <c:v>0.64583333333333326</c:v>
                </c:pt>
                <c:pt idx="11">
                  <c:v>0.56770833333333326</c:v>
                </c:pt>
                <c:pt idx="15">
                  <c:v>0.46813725490196079</c:v>
                </c:pt>
                <c:pt idx="16">
                  <c:v>0.55208333333333337</c:v>
                </c:pt>
                <c:pt idx="17">
                  <c:v>0.54166666666666663</c:v>
                </c:pt>
                <c:pt idx="18">
                  <c:v>0.57812500000000011</c:v>
                </c:pt>
                <c:pt idx="19">
                  <c:v>0.47135416666666669</c:v>
                </c:pt>
                <c:pt idx="22">
                  <c:v>0.31510416666666663</c:v>
                </c:pt>
                <c:pt idx="23">
                  <c:v>0.46614583333333331</c:v>
                </c:pt>
                <c:pt idx="24">
                  <c:v>0.33854166666666669</c:v>
                </c:pt>
                <c:pt idx="25">
                  <c:v>0.29166666666666663</c:v>
                </c:pt>
                <c:pt idx="26">
                  <c:v>0.19531249999999997</c:v>
                </c:pt>
                <c:pt idx="29">
                  <c:v>0.546875</c:v>
                </c:pt>
                <c:pt idx="31">
                  <c:v>0.31424291938997817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3B-44BB-BE8C-38DBCF003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B3B-44BB-BE8C-38DBCF00359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3B-44BB-BE8C-38DBCF003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3">
                  <c:v>COVER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'26'!$L$6:$L$23</c:f>
              <c:numCache>
                <c:formatCode>_(* #,##0_);_(* \(#,##0\);_(* "-"_);_(@_)</c:formatCode>
                <c:ptCount val="18"/>
                <c:pt idx="2">
                  <c:v>2802</c:v>
                </c:pt>
                <c:pt idx="6">
                  <c:v>2500</c:v>
                </c:pt>
                <c:pt idx="7">
                  <c:v>3727</c:v>
                </c:pt>
                <c:pt idx="8">
                  <c:v>3101</c:v>
                </c:pt>
                <c:pt idx="11">
                  <c:v>68160</c:v>
                </c:pt>
                <c:pt idx="14">
                  <c:v>399</c:v>
                </c:pt>
                <c:pt idx="15">
                  <c:v>2303</c:v>
                </c:pt>
                <c:pt idx="16">
                  <c:v>5298</c:v>
                </c:pt>
                <c:pt idx="17">
                  <c:v>30675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98-4B0B-B77C-9A59F4E2C23D}"/>
            </c:ext>
          </c:extLst>
        </c:ser>
        <c:ser>
          <c:idx val="1"/>
          <c:order val="1"/>
          <c:tx>
            <c:v>계획</c:v>
          </c:tx>
          <c:cat>
            <c:strRef>
              <c:f>'26'!$D$6:$D$23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3">
                  <c:v>COVER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'26'!$J$6:$J$23</c:f>
              <c:numCache>
                <c:formatCode>_(* #,##0_);_(* \(#,##0\);_(* "-"_);_(@_)</c:formatCode>
                <c:ptCount val="18"/>
                <c:pt idx="0">
                  <c:v>1902</c:v>
                </c:pt>
                <c:pt idx="1">
                  <c:v>5180</c:v>
                </c:pt>
                <c:pt idx="2">
                  <c:v>2802</c:v>
                </c:pt>
                <c:pt idx="3">
                  <c:v>8476</c:v>
                </c:pt>
                <c:pt idx="4">
                  <c:v>4876</c:v>
                </c:pt>
                <c:pt idx="5">
                  <c:v>67990</c:v>
                </c:pt>
                <c:pt idx="6">
                  <c:v>2500</c:v>
                </c:pt>
                <c:pt idx="7">
                  <c:v>3727</c:v>
                </c:pt>
                <c:pt idx="8">
                  <c:v>3101</c:v>
                </c:pt>
                <c:pt idx="9">
                  <c:v>392</c:v>
                </c:pt>
                <c:pt idx="10">
                  <c:v>11936</c:v>
                </c:pt>
                <c:pt idx="11">
                  <c:v>68160</c:v>
                </c:pt>
                <c:pt idx="12">
                  <c:v>600</c:v>
                </c:pt>
                <c:pt idx="13">
                  <c:v>5168</c:v>
                </c:pt>
                <c:pt idx="14">
                  <c:v>399</c:v>
                </c:pt>
                <c:pt idx="15">
                  <c:v>2303</c:v>
                </c:pt>
                <c:pt idx="16">
                  <c:v>5298</c:v>
                </c:pt>
                <c:pt idx="17">
                  <c:v>30675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98-4B0B-B77C-9A59F4E2C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58%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25%</c:v>
                </c:pt>
                <c:pt idx="7">
                  <c:v>71%</c:v>
                </c:pt>
                <c:pt idx="8">
                  <c:v>67%</c:v>
                </c:pt>
                <c:pt idx="9">
                  <c:v>0%</c:v>
                </c:pt>
                <c:pt idx="10">
                  <c:v>0%</c:v>
                </c:pt>
                <c:pt idx="11">
                  <c:v>42%</c:v>
                </c:pt>
                <c:pt idx="12">
                  <c:v>0%</c:v>
                </c:pt>
                <c:pt idx="13">
                  <c:v>0%</c:v>
                </c:pt>
                <c:pt idx="14">
                  <c:v>25%</c:v>
                </c:pt>
                <c:pt idx="15">
                  <c:v>54%</c:v>
                </c:pt>
                <c:pt idx="16">
                  <c:v>100%</c:v>
                </c:pt>
                <c:pt idx="17">
                  <c:v>83%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3">
                  <c:v>COVER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'26'!$AD$6:$AD$23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0.58333333333333337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0.25</c:v>
                </c:pt>
                <c:pt idx="7">
                  <c:v>0.70833333333333337</c:v>
                </c:pt>
                <c:pt idx="8">
                  <c:v>0.66666666666666663</c:v>
                </c:pt>
                <c:pt idx="9">
                  <c:v>0</c:v>
                </c:pt>
                <c:pt idx="10">
                  <c:v>0</c:v>
                </c:pt>
                <c:pt idx="11">
                  <c:v>0.41666666666666669</c:v>
                </c:pt>
                <c:pt idx="12">
                  <c:v>0</c:v>
                </c:pt>
                <c:pt idx="13">
                  <c:v>0</c:v>
                </c:pt>
                <c:pt idx="14">
                  <c:v>0.25</c:v>
                </c:pt>
                <c:pt idx="15">
                  <c:v>0.54166666666666663</c:v>
                </c:pt>
                <c:pt idx="16">
                  <c:v>1</c:v>
                </c:pt>
                <c:pt idx="17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74-46F1-8221-BA479666126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374-46F1-8221-BA479666126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3">
                  <c:v>COVER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'26'!$AE$6:$AE$23</c:f>
              <c:numCache>
                <c:formatCode>0%</c:formatCode>
                <c:ptCount val="18"/>
                <c:pt idx="0">
                  <c:v>0.29166666666666663</c:v>
                </c:pt>
                <c:pt idx="1">
                  <c:v>0.29166666666666663</c:v>
                </c:pt>
                <c:pt idx="2">
                  <c:v>0.29166666666666663</c:v>
                </c:pt>
                <c:pt idx="3">
                  <c:v>0.29166666666666663</c:v>
                </c:pt>
                <c:pt idx="4">
                  <c:v>0.29166666666666663</c:v>
                </c:pt>
                <c:pt idx="5">
                  <c:v>0.29166666666666663</c:v>
                </c:pt>
                <c:pt idx="6">
                  <c:v>0.29166666666666663</c:v>
                </c:pt>
                <c:pt idx="7">
                  <c:v>0.29166666666666663</c:v>
                </c:pt>
                <c:pt idx="8">
                  <c:v>0.29166666666666663</c:v>
                </c:pt>
                <c:pt idx="9">
                  <c:v>0.29166666666666663</c:v>
                </c:pt>
                <c:pt idx="10">
                  <c:v>0.29166666666666663</c:v>
                </c:pt>
                <c:pt idx="11">
                  <c:v>0.29166666666666663</c:v>
                </c:pt>
                <c:pt idx="12">
                  <c:v>0.29166666666666663</c:v>
                </c:pt>
                <c:pt idx="13">
                  <c:v>0.29166666666666663</c:v>
                </c:pt>
                <c:pt idx="14">
                  <c:v>0.29166666666666663</c:v>
                </c:pt>
                <c:pt idx="15">
                  <c:v>0.29166666666666663</c:v>
                </c:pt>
                <c:pt idx="16">
                  <c:v>0.29166666666666663</c:v>
                </c:pt>
                <c:pt idx="17">
                  <c:v>0.29166666666666663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74-46F1-8221-BA4796661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3">
                  <c:v>COVER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'26'!$L$6:$L$23</c:f>
              <c:numCache>
                <c:formatCode>_(* #,##0_);_(* \(#,##0\);_(* "-"_);_(@_)</c:formatCode>
                <c:ptCount val="18"/>
                <c:pt idx="2">
                  <c:v>2802</c:v>
                </c:pt>
                <c:pt idx="6">
                  <c:v>2500</c:v>
                </c:pt>
                <c:pt idx="7">
                  <c:v>3727</c:v>
                </c:pt>
                <c:pt idx="8">
                  <c:v>3101</c:v>
                </c:pt>
                <c:pt idx="11">
                  <c:v>68160</c:v>
                </c:pt>
                <c:pt idx="14">
                  <c:v>399</c:v>
                </c:pt>
                <c:pt idx="15">
                  <c:v>2303</c:v>
                </c:pt>
                <c:pt idx="16">
                  <c:v>5298</c:v>
                </c:pt>
                <c:pt idx="17">
                  <c:v>30675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38-45C7-A71F-B619BDA38A9F}"/>
            </c:ext>
          </c:extLst>
        </c:ser>
        <c:ser>
          <c:idx val="1"/>
          <c:order val="1"/>
          <c:tx>
            <c:v>계획</c:v>
          </c:tx>
          <c:cat>
            <c:strRef>
              <c:f>'26'!$D$6:$D$23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3">
                  <c:v>COVER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'26'!$J$6:$J$23</c:f>
              <c:numCache>
                <c:formatCode>_(* #,##0_);_(* \(#,##0\);_(* "-"_);_(@_)</c:formatCode>
                <c:ptCount val="18"/>
                <c:pt idx="0">
                  <c:v>1902</c:v>
                </c:pt>
                <c:pt idx="1">
                  <c:v>5180</c:v>
                </c:pt>
                <c:pt idx="2">
                  <c:v>2802</c:v>
                </c:pt>
                <c:pt idx="3">
                  <c:v>8476</c:v>
                </c:pt>
                <c:pt idx="4">
                  <c:v>4876</c:v>
                </c:pt>
                <c:pt idx="5">
                  <c:v>67990</c:v>
                </c:pt>
                <c:pt idx="6">
                  <c:v>2500</c:v>
                </c:pt>
                <c:pt idx="7">
                  <c:v>3727</c:v>
                </c:pt>
                <c:pt idx="8">
                  <c:v>3101</c:v>
                </c:pt>
                <c:pt idx="9">
                  <c:v>392</c:v>
                </c:pt>
                <c:pt idx="10">
                  <c:v>11936</c:v>
                </c:pt>
                <c:pt idx="11">
                  <c:v>68160</c:v>
                </c:pt>
                <c:pt idx="12">
                  <c:v>600</c:v>
                </c:pt>
                <c:pt idx="13">
                  <c:v>5168</c:v>
                </c:pt>
                <c:pt idx="14">
                  <c:v>399</c:v>
                </c:pt>
                <c:pt idx="15">
                  <c:v>2303</c:v>
                </c:pt>
                <c:pt idx="16">
                  <c:v>5298</c:v>
                </c:pt>
                <c:pt idx="17">
                  <c:v>30675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38-45C7-A71F-B619BDA38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58%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25%</c:v>
                </c:pt>
                <c:pt idx="7">
                  <c:v>71%</c:v>
                </c:pt>
                <c:pt idx="8">
                  <c:v>67%</c:v>
                </c:pt>
                <c:pt idx="9">
                  <c:v>0%</c:v>
                </c:pt>
                <c:pt idx="10">
                  <c:v>0%</c:v>
                </c:pt>
                <c:pt idx="11">
                  <c:v>42%</c:v>
                </c:pt>
                <c:pt idx="12">
                  <c:v>0%</c:v>
                </c:pt>
                <c:pt idx="13">
                  <c:v>0%</c:v>
                </c:pt>
                <c:pt idx="14">
                  <c:v>25%</c:v>
                </c:pt>
                <c:pt idx="15">
                  <c:v>54%</c:v>
                </c:pt>
                <c:pt idx="16">
                  <c:v>100%</c:v>
                </c:pt>
                <c:pt idx="17">
                  <c:v>83%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3">
                  <c:v>COVER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'26'!$AD$6:$AD$23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0.58333333333333337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0.25</c:v>
                </c:pt>
                <c:pt idx="7">
                  <c:v>0.70833333333333337</c:v>
                </c:pt>
                <c:pt idx="8">
                  <c:v>0.66666666666666663</c:v>
                </c:pt>
                <c:pt idx="9">
                  <c:v>0</c:v>
                </c:pt>
                <c:pt idx="10">
                  <c:v>0</c:v>
                </c:pt>
                <c:pt idx="11">
                  <c:v>0.41666666666666669</c:v>
                </c:pt>
                <c:pt idx="12">
                  <c:v>0</c:v>
                </c:pt>
                <c:pt idx="13">
                  <c:v>0</c:v>
                </c:pt>
                <c:pt idx="14">
                  <c:v>0.25</c:v>
                </c:pt>
                <c:pt idx="15">
                  <c:v>0.54166666666666663</c:v>
                </c:pt>
                <c:pt idx="16">
                  <c:v>1</c:v>
                </c:pt>
                <c:pt idx="17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BC-4D35-B6B8-B43D565DE9B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0BC-4D35-B6B8-B43D565DE9B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'26'!$D$6:$D$23</c:f>
              <c:strCache>
                <c:ptCount val="17"/>
                <c:pt idx="0">
                  <c:v>ADAPTER</c:v>
                </c:pt>
                <c:pt idx="1">
                  <c:v>ADAPTER</c:v>
                </c:pt>
                <c:pt idx="3">
                  <c:v>COVER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ACTUATOR</c:v>
                </c:pt>
                <c:pt idx="9">
                  <c:v>BASE</c:v>
                </c:pt>
                <c:pt idx="10">
                  <c:v>SLIDER</c:v>
                </c:pt>
                <c:pt idx="12">
                  <c:v>ADAPTER</c:v>
                </c:pt>
                <c:pt idx="13">
                  <c:v>BASE</c:v>
                </c:pt>
                <c:pt idx="14">
                  <c:v>BASE</c:v>
                </c:pt>
                <c:pt idx="15">
                  <c:v>ACTUATOR</c:v>
                </c:pt>
                <c:pt idx="16">
                  <c:v>BASE</c:v>
                </c:pt>
              </c:strCache>
            </c:strRef>
          </c:cat>
          <c:val>
            <c:numRef>
              <c:f>'26'!$AE$6:$AE$23</c:f>
              <c:numCache>
                <c:formatCode>0%</c:formatCode>
                <c:ptCount val="18"/>
                <c:pt idx="0">
                  <c:v>0.29166666666666663</c:v>
                </c:pt>
                <c:pt idx="1">
                  <c:v>0.29166666666666663</c:v>
                </c:pt>
                <c:pt idx="2">
                  <c:v>0.29166666666666663</c:v>
                </c:pt>
                <c:pt idx="3">
                  <c:v>0.29166666666666663</c:v>
                </c:pt>
                <c:pt idx="4">
                  <c:v>0.29166666666666663</c:v>
                </c:pt>
                <c:pt idx="5">
                  <c:v>0.29166666666666663</c:v>
                </c:pt>
                <c:pt idx="6">
                  <c:v>0.29166666666666663</c:v>
                </c:pt>
                <c:pt idx="7">
                  <c:v>0.29166666666666663</c:v>
                </c:pt>
                <c:pt idx="8">
                  <c:v>0.29166666666666663</c:v>
                </c:pt>
                <c:pt idx="9">
                  <c:v>0.29166666666666663</c:v>
                </c:pt>
                <c:pt idx="10">
                  <c:v>0.29166666666666663</c:v>
                </c:pt>
                <c:pt idx="11">
                  <c:v>0.29166666666666663</c:v>
                </c:pt>
                <c:pt idx="12">
                  <c:v>0.29166666666666663</c:v>
                </c:pt>
                <c:pt idx="13">
                  <c:v>0.29166666666666663</c:v>
                </c:pt>
                <c:pt idx="14">
                  <c:v>0.29166666666666663</c:v>
                </c:pt>
                <c:pt idx="15">
                  <c:v>0.29166666666666663</c:v>
                </c:pt>
                <c:pt idx="16">
                  <c:v>0.29166666666666663</c:v>
                </c:pt>
                <c:pt idx="17">
                  <c:v>0.29166666666666663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BC-4D35-B6B8-B43D565DE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90B-43DF-931F-D204D5D772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0.4140625</c:v>
                </c:pt>
                <c:pt idx="2">
                  <c:v>0.40277777777777779</c:v>
                </c:pt>
                <c:pt idx="3">
                  <c:v>0.46813725490196079</c:v>
                </c:pt>
                <c:pt idx="4">
                  <c:v>0.546875</c:v>
                </c:pt>
                <c:pt idx="5">
                  <c:v>0.54656862745098045</c:v>
                </c:pt>
                <c:pt idx="7">
                  <c:v>2.34375E-2</c:v>
                </c:pt>
                <c:pt idx="8">
                  <c:v>0.5546875</c:v>
                </c:pt>
                <c:pt idx="9">
                  <c:v>0.49218750000000006</c:v>
                </c:pt>
                <c:pt idx="10">
                  <c:v>0.64583333333333326</c:v>
                </c:pt>
                <c:pt idx="11">
                  <c:v>0.56770833333333326</c:v>
                </c:pt>
                <c:pt idx="15">
                  <c:v>0.46813725490196079</c:v>
                </c:pt>
                <c:pt idx="16">
                  <c:v>0.55208333333333337</c:v>
                </c:pt>
                <c:pt idx="17">
                  <c:v>0.54166666666666663</c:v>
                </c:pt>
                <c:pt idx="18">
                  <c:v>0.57812500000000011</c:v>
                </c:pt>
                <c:pt idx="19">
                  <c:v>0.47135416666666669</c:v>
                </c:pt>
                <c:pt idx="22">
                  <c:v>0.31510416666666663</c:v>
                </c:pt>
                <c:pt idx="23">
                  <c:v>0.46614583333333331</c:v>
                </c:pt>
                <c:pt idx="24">
                  <c:v>0.33854166666666669</c:v>
                </c:pt>
                <c:pt idx="25">
                  <c:v>0.29166666666666663</c:v>
                </c:pt>
                <c:pt idx="26">
                  <c:v>0.19531249999999997</c:v>
                </c:pt>
                <c:pt idx="29">
                  <c:v>0.546875</c:v>
                </c:pt>
                <c:pt idx="31">
                  <c:v>0.31424291938997817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0B-43DF-931F-D204D5D77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90B-43DF-931F-D204D5D7722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0B-43DF-931F-D204D5D77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'27'!$L$6:$L$21</c:f>
              <c:numCache>
                <c:formatCode>_(* #,##0_);_(* \(#,##0\);_(* "-"_);_(@_)</c:formatCode>
                <c:ptCount val="16"/>
                <c:pt idx="2">
                  <c:v>2448</c:v>
                </c:pt>
                <c:pt idx="3">
                  <c:v>1962</c:v>
                </c:pt>
                <c:pt idx="6">
                  <c:v>2350</c:v>
                </c:pt>
                <c:pt idx="7">
                  <c:v>1908</c:v>
                </c:pt>
                <c:pt idx="9">
                  <c:v>2269</c:v>
                </c:pt>
                <c:pt idx="13">
                  <c:v>1260</c:v>
                </c:pt>
                <c:pt idx="14">
                  <c:v>1901</c:v>
                </c:pt>
                <c:pt idx="15">
                  <c:v>23163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DB-467B-A292-25D1695563AC}"/>
            </c:ext>
          </c:extLst>
        </c:ser>
        <c:ser>
          <c:idx val="1"/>
          <c:order val="1"/>
          <c:tx>
            <c:v>계획</c:v>
          </c:tx>
          <c:cat>
            <c:strRef>
              <c:f>'27'!$D$6:$D$21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'27'!$J$6:$J$21</c:f>
              <c:numCache>
                <c:formatCode>_(* #,##0_);_(* \(#,##0\);_(* "-"_);_(@_)</c:formatCode>
                <c:ptCount val="16"/>
                <c:pt idx="0">
                  <c:v>1902</c:v>
                </c:pt>
                <c:pt idx="1">
                  <c:v>5180</c:v>
                </c:pt>
                <c:pt idx="2">
                  <c:v>2448</c:v>
                </c:pt>
                <c:pt idx="3">
                  <c:v>1962</c:v>
                </c:pt>
                <c:pt idx="4">
                  <c:v>4876</c:v>
                </c:pt>
                <c:pt idx="5">
                  <c:v>67990</c:v>
                </c:pt>
                <c:pt idx="6">
                  <c:v>2350</c:v>
                </c:pt>
                <c:pt idx="7">
                  <c:v>1908</c:v>
                </c:pt>
                <c:pt idx="8">
                  <c:v>392</c:v>
                </c:pt>
                <c:pt idx="9">
                  <c:v>2269</c:v>
                </c:pt>
                <c:pt idx="10">
                  <c:v>68160</c:v>
                </c:pt>
                <c:pt idx="11">
                  <c:v>600</c:v>
                </c:pt>
                <c:pt idx="12">
                  <c:v>5168</c:v>
                </c:pt>
                <c:pt idx="13">
                  <c:v>1260</c:v>
                </c:pt>
                <c:pt idx="14">
                  <c:v>1901</c:v>
                </c:pt>
                <c:pt idx="15">
                  <c:v>23163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DB-467B-A292-25D169556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42%</c:v>
                </c:pt>
                <c:pt idx="3">
                  <c:v>38%</c:v>
                </c:pt>
                <c:pt idx="4">
                  <c:v>0%</c:v>
                </c:pt>
                <c:pt idx="5">
                  <c:v>0%</c:v>
                </c:pt>
                <c:pt idx="6">
                  <c:v>42%</c:v>
                </c:pt>
                <c:pt idx="7">
                  <c:v>38%</c:v>
                </c:pt>
                <c:pt idx="8">
                  <c:v>0%</c:v>
                </c:pt>
                <c:pt idx="9">
                  <c:v>42%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29%</c:v>
                </c:pt>
                <c:pt idx="14">
                  <c:v>42%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0.41666666666666669</c:v>
                </c:pt>
                <c:pt idx="3">
                  <c:v>0.375</c:v>
                </c:pt>
                <c:pt idx="4">
                  <c:v>0</c:v>
                </c:pt>
                <c:pt idx="5">
                  <c:v>0</c:v>
                </c:pt>
                <c:pt idx="6">
                  <c:v>0.41666666666666669</c:v>
                </c:pt>
                <c:pt idx="7">
                  <c:v>0.375</c:v>
                </c:pt>
                <c:pt idx="8">
                  <c:v>0</c:v>
                </c:pt>
                <c:pt idx="9">
                  <c:v>0.41666666666666669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0.29166666666666669</c:v>
                </c:pt>
                <c:pt idx="14">
                  <c:v>0.41666666666666669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E0-4E97-8F36-F59D665BEB4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E0-4E97-8F36-F59D665BEB4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'27'!$AE$6:$AE$21</c:f>
              <c:numCache>
                <c:formatCode>0%</c:formatCode>
                <c:ptCount val="16"/>
                <c:pt idx="0">
                  <c:v>0.19531249999999997</c:v>
                </c:pt>
                <c:pt idx="1">
                  <c:v>0.19531249999999997</c:v>
                </c:pt>
                <c:pt idx="2">
                  <c:v>0.19531249999999997</c:v>
                </c:pt>
                <c:pt idx="3">
                  <c:v>0.19531249999999997</c:v>
                </c:pt>
                <c:pt idx="4">
                  <c:v>0.19531249999999997</c:v>
                </c:pt>
                <c:pt idx="5">
                  <c:v>0.19531249999999997</c:v>
                </c:pt>
                <c:pt idx="6">
                  <c:v>0.19531249999999997</c:v>
                </c:pt>
                <c:pt idx="7">
                  <c:v>0.19531249999999997</c:v>
                </c:pt>
                <c:pt idx="8">
                  <c:v>0.19531249999999997</c:v>
                </c:pt>
                <c:pt idx="9">
                  <c:v>0.19531249999999997</c:v>
                </c:pt>
                <c:pt idx="10">
                  <c:v>0.19531249999999997</c:v>
                </c:pt>
                <c:pt idx="11">
                  <c:v>0.19531249999999997</c:v>
                </c:pt>
                <c:pt idx="12">
                  <c:v>0.19531249999999997</c:v>
                </c:pt>
                <c:pt idx="13">
                  <c:v>0.19531249999999997</c:v>
                </c:pt>
                <c:pt idx="14">
                  <c:v>0.19531249999999997</c:v>
                </c:pt>
                <c:pt idx="15">
                  <c:v>0.19531249999999997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E0-4E97-8F36-F59D665BE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'27'!$L$6:$L$21</c:f>
              <c:numCache>
                <c:formatCode>_(* #,##0_);_(* \(#,##0\);_(* "-"_);_(@_)</c:formatCode>
                <c:ptCount val="16"/>
                <c:pt idx="2">
                  <c:v>2448</c:v>
                </c:pt>
                <c:pt idx="3">
                  <c:v>1962</c:v>
                </c:pt>
                <c:pt idx="6">
                  <c:v>2350</c:v>
                </c:pt>
                <c:pt idx="7">
                  <c:v>1908</c:v>
                </c:pt>
                <c:pt idx="9">
                  <c:v>2269</c:v>
                </c:pt>
                <c:pt idx="13">
                  <c:v>1260</c:v>
                </c:pt>
                <c:pt idx="14">
                  <c:v>1901</c:v>
                </c:pt>
                <c:pt idx="15">
                  <c:v>23163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54-49E7-963B-2F5F38FBBD22}"/>
            </c:ext>
          </c:extLst>
        </c:ser>
        <c:ser>
          <c:idx val="1"/>
          <c:order val="1"/>
          <c:tx>
            <c:v>계획</c:v>
          </c:tx>
          <c:cat>
            <c:strRef>
              <c:f>'27'!$D$6:$D$21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'27'!$J$6:$J$21</c:f>
              <c:numCache>
                <c:formatCode>_(* #,##0_);_(* \(#,##0\);_(* "-"_);_(@_)</c:formatCode>
                <c:ptCount val="16"/>
                <c:pt idx="0">
                  <c:v>1902</c:v>
                </c:pt>
                <c:pt idx="1">
                  <c:v>5180</c:v>
                </c:pt>
                <c:pt idx="2">
                  <c:v>2448</c:v>
                </c:pt>
                <c:pt idx="3">
                  <c:v>1962</c:v>
                </c:pt>
                <c:pt idx="4">
                  <c:v>4876</c:v>
                </c:pt>
                <c:pt idx="5">
                  <c:v>67990</c:v>
                </c:pt>
                <c:pt idx="6">
                  <c:v>2350</c:v>
                </c:pt>
                <c:pt idx="7">
                  <c:v>1908</c:v>
                </c:pt>
                <c:pt idx="8">
                  <c:v>392</c:v>
                </c:pt>
                <c:pt idx="9">
                  <c:v>2269</c:v>
                </c:pt>
                <c:pt idx="10">
                  <c:v>68160</c:v>
                </c:pt>
                <c:pt idx="11">
                  <c:v>600</c:v>
                </c:pt>
                <c:pt idx="12">
                  <c:v>5168</c:v>
                </c:pt>
                <c:pt idx="13">
                  <c:v>1260</c:v>
                </c:pt>
                <c:pt idx="14">
                  <c:v>1901</c:v>
                </c:pt>
                <c:pt idx="15">
                  <c:v>23163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54-49E7-963B-2F5F38FBB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42%</c:v>
                </c:pt>
                <c:pt idx="3">
                  <c:v>38%</c:v>
                </c:pt>
                <c:pt idx="4">
                  <c:v>0%</c:v>
                </c:pt>
                <c:pt idx="5">
                  <c:v>0%</c:v>
                </c:pt>
                <c:pt idx="6">
                  <c:v>42%</c:v>
                </c:pt>
                <c:pt idx="7">
                  <c:v>38%</c:v>
                </c:pt>
                <c:pt idx="8">
                  <c:v>0%</c:v>
                </c:pt>
                <c:pt idx="9">
                  <c:v>42%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29%</c:v>
                </c:pt>
                <c:pt idx="14">
                  <c:v>42%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0.41666666666666669</c:v>
                </c:pt>
                <c:pt idx="3">
                  <c:v>0.375</c:v>
                </c:pt>
                <c:pt idx="4">
                  <c:v>0</c:v>
                </c:pt>
                <c:pt idx="5">
                  <c:v>0</c:v>
                </c:pt>
                <c:pt idx="6">
                  <c:v>0.41666666666666669</c:v>
                </c:pt>
                <c:pt idx="7">
                  <c:v>0.375</c:v>
                </c:pt>
                <c:pt idx="8">
                  <c:v>0</c:v>
                </c:pt>
                <c:pt idx="9">
                  <c:v>0.41666666666666669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0.29166666666666669</c:v>
                </c:pt>
                <c:pt idx="14">
                  <c:v>0.41666666666666669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1C-4100-9D9C-2412D91CE05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61C-4100-9D9C-2412D91CE05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0">
                  <c:v>ADAPTER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1">
                  <c:v>ADAPTER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'27'!$AE$6:$AE$21</c:f>
              <c:numCache>
                <c:formatCode>0%</c:formatCode>
                <c:ptCount val="16"/>
                <c:pt idx="0">
                  <c:v>0.19531249999999997</c:v>
                </c:pt>
                <c:pt idx="1">
                  <c:v>0.19531249999999997</c:v>
                </c:pt>
                <c:pt idx="2">
                  <c:v>0.19531249999999997</c:v>
                </c:pt>
                <c:pt idx="3">
                  <c:v>0.19531249999999997</c:v>
                </c:pt>
                <c:pt idx="4">
                  <c:v>0.19531249999999997</c:v>
                </c:pt>
                <c:pt idx="5">
                  <c:v>0.19531249999999997</c:v>
                </c:pt>
                <c:pt idx="6">
                  <c:v>0.19531249999999997</c:v>
                </c:pt>
                <c:pt idx="7">
                  <c:v>0.19531249999999997</c:v>
                </c:pt>
                <c:pt idx="8">
                  <c:v>0.19531249999999997</c:v>
                </c:pt>
                <c:pt idx="9">
                  <c:v>0.19531249999999997</c:v>
                </c:pt>
                <c:pt idx="10">
                  <c:v>0.19531249999999997</c:v>
                </c:pt>
                <c:pt idx="11">
                  <c:v>0.19531249999999997</c:v>
                </c:pt>
                <c:pt idx="12">
                  <c:v>0.19531249999999997</c:v>
                </c:pt>
                <c:pt idx="13">
                  <c:v>0.19531249999999997</c:v>
                </c:pt>
                <c:pt idx="14">
                  <c:v>0.19531249999999997</c:v>
                </c:pt>
                <c:pt idx="15">
                  <c:v>0.19531249999999997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1C-4100-9D9C-2412D91CE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AE2-43C2-8046-4D2FBF37DC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0.4140625</c:v>
                </c:pt>
                <c:pt idx="2">
                  <c:v>0.40277777777777779</c:v>
                </c:pt>
                <c:pt idx="3">
                  <c:v>0.46813725490196079</c:v>
                </c:pt>
                <c:pt idx="4">
                  <c:v>0.546875</c:v>
                </c:pt>
                <c:pt idx="5">
                  <c:v>0.54656862745098045</c:v>
                </c:pt>
                <c:pt idx="7">
                  <c:v>2.34375E-2</c:v>
                </c:pt>
                <c:pt idx="8">
                  <c:v>0.5546875</c:v>
                </c:pt>
                <c:pt idx="9">
                  <c:v>0.49218750000000006</c:v>
                </c:pt>
                <c:pt idx="10">
                  <c:v>0.64583333333333326</c:v>
                </c:pt>
                <c:pt idx="11">
                  <c:v>0.56770833333333326</c:v>
                </c:pt>
                <c:pt idx="15">
                  <c:v>0.46813725490196079</c:v>
                </c:pt>
                <c:pt idx="16">
                  <c:v>0.55208333333333337</c:v>
                </c:pt>
                <c:pt idx="17">
                  <c:v>0.54166666666666663</c:v>
                </c:pt>
                <c:pt idx="18">
                  <c:v>0.57812500000000011</c:v>
                </c:pt>
                <c:pt idx="19">
                  <c:v>0.47135416666666669</c:v>
                </c:pt>
                <c:pt idx="22">
                  <c:v>0.31510416666666663</c:v>
                </c:pt>
                <c:pt idx="23">
                  <c:v>0.46614583333333331</c:v>
                </c:pt>
                <c:pt idx="24">
                  <c:v>0.33854166666666669</c:v>
                </c:pt>
                <c:pt idx="25">
                  <c:v>0.29166666666666663</c:v>
                </c:pt>
                <c:pt idx="26">
                  <c:v>0.19531249999999997</c:v>
                </c:pt>
                <c:pt idx="29">
                  <c:v>0.546875</c:v>
                </c:pt>
                <c:pt idx="31">
                  <c:v>0.31424291938997817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E2-43C2-8046-4D2FBF37D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BAE2-43C2-8046-4D2FBF37DC8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E2-43C2-8046-4D2FBF37D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0">
                  <c:v>38P</c:v>
                </c:pt>
                <c:pt idx="11">
                  <c:v>ADAPTER</c:v>
                </c:pt>
                <c:pt idx="12">
                  <c:v>PLATE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'30'!$L$6:$L$21</c:f>
              <c:numCache>
                <c:formatCode>_(* #,##0_);_(* \(#,##0\);_(* "-"_);_(@_)</c:formatCode>
                <c:ptCount val="16"/>
                <c:pt idx="0">
                  <c:v>14448</c:v>
                </c:pt>
                <c:pt idx="2">
                  <c:v>5266</c:v>
                </c:pt>
                <c:pt idx="3">
                  <c:v>4980</c:v>
                </c:pt>
                <c:pt idx="6">
                  <c:v>5102</c:v>
                </c:pt>
                <c:pt idx="7">
                  <c:v>1088</c:v>
                </c:pt>
                <c:pt idx="9">
                  <c:v>5219</c:v>
                </c:pt>
                <c:pt idx="10">
                  <c:v>5493</c:v>
                </c:pt>
                <c:pt idx="12">
                  <c:v>4438</c:v>
                </c:pt>
                <c:pt idx="13">
                  <c:v>4835</c:v>
                </c:pt>
                <c:pt idx="14">
                  <c:v>3170</c:v>
                </c:pt>
                <c:pt idx="15">
                  <c:v>14664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1E-4419-BA61-39E01C91CD4E}"/>
            </c:ext>
          </c:extLst>
        </c:ser>
        <c:ser>
          <c:idx val="1"/>
          <c:order val="1"/>
          <c:tx>
            <c:v>계획</c:v>
          </c:tx>
          <c:cat>
            <c:strRef>
              <c:f>'30'!$D$6:$D$21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0">
                  <c:v>38P</c:v>
                </c:pt>
                <c:pt idx="11">
                  <c:v>ADAPTER</c:v>
                </c:pt>
                <c:pt idx="12">
                  <c:v>PLATE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'30'!$J$6:$J$21</c:f>
              <c:numCache>
                <c:formatCode>_(* #,##0_);_(* \(#,##0\);_(* "-"_);_(@_)</c:formatCode>
                <c:ptCount val="16"/>
                <c:pt idx="0">
                  <c:v>14448</c:v>
                </c:pt>
                <c:pt idx="1">
                  <c:v>5180</c:v>
                </c:pt>
                <c:pt idx="2">
                  <c:v>5266</c:v>
                </c:pt>
                <c:pt idx="3">
                  <c:v>4980</c:v>
                </c:pt>
                <c:pt idx="4">
                  <c:v>4876</c:v>
                </c:pt>
                <c:pt idx="5">
                  <c:v>67990</c:v>
                </c:pt>
                <c:pt idx="6">
                  <c:v>5102</c:v>
                </c:pt>
                <c:pt idx="7">
                  <c:v>1088</c:v>
                </c:pt>
                <c:pt idx="8">
                  <c:v>392</c:v>
                </c:pt>
                <c:pt idx="9">
                  <c:v>5219</c:v>
                </c:pt>
                <c:pt idx="10">
                  <c:v>5493</c:v>
                </c:pt>
                <c:pt idx="11">
                  <c:v>600</c:v>
                </c:pt>
                <c:pt idx="12">
                  <c:v>4438</c:v>
                </c:pt>
                <c:pt idx="13">
                  <c:v>4835</c:v>
                </c:pt>
                <c:pt idx="14">
                  <c:v>3170</c:v>
                </c:pt>
                <c:pt idx="15">
                  <c:v>14664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1E-4419-BA61-39E01C91C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'30'!$AD$6:$AD$21</c:f>
              <c:strCache>
                <c:ptCount val="16"/>
                <c:pt idx="0">
                  <c:v>75%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25%</c:v>
                </c:pt>
                <c:pt idx="8">
                  <c:v>0%</c:v>
                </c:pt>
                <c:pt idx="9">
                  <c:v>100%</c:v>
                </c:pt>
                <c:pt idx="10">
                  <c:v>96%</c:v>
                </c:pt>
                <c:pt idx="11">
                  <c:v>0%</c:v>
                </c:pt>
                <c:pt idx="12">
                  <c:v>92%</c:v>
                </c:pt>
                <c:pt idx="13">
                  <c:v>100%</c:v>
                </c:pt>
                <c:pt idx="14">
                  <c:v>63%</c:v>
                </c:pt>
                <c:pt idx="15">
                  <c:v>25%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0">
                  <c:v>38P</c:v>
                </c:pt>
                <c:pt idx="11">
                  <c:v>ADAPTER</c:v>
                </c:pt>
                <c:pt idx="12">
                  <c:v>PLATE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'30'!$AD$6:$AD$21</c:f>
              <c:numCache>
                <c:formatCode>0%</c:formatCode>
                <c:ptCount val="16"/>
                <c:pt idx="0">
                  <c:v>0.75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0.25</c:v>
                </c:pt>
                <c:pt idx="8">
                  <c:v>0</c:v>
                </c:pt>
                <c:pt idx="9">
                  <c:v>1</c:v>
                </c:pt>
                <c:pt idx="10">
                  <c:v>0.95833333333333337</c:v>
                </c:pt>
                <c:pt idx="11">
                  <c:v>0</c:v>
                </c:pt>
                <c:pt idx="12">
                  <c:v>0.91666666666666663</c:v>
                </c:pt>
                <c:pt idx="13">
                  <c:v>1</c:v>
                </c:pt>
                <c:pt idx="14">
                  <c:v>0.625</c:v>
                </c:pt>
                <c:pt idx="15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13-406A-A0DE-0E4F7080E99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513-406A-A0DE-0E4F7080E99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0">
                  <c:v>38P</c:v>
                </c:pt>
                <c:pt idx="11">
                  <c:v>ADAPTER</c:v>
                </c:pt>
                <c:pt idx="12">
                  <c:v>PLATE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'30'!$AE$6:$AE$21</c:f>
              <c:numCache>
                <c:formatCode>0%</c:formatCode>
                <c:ptCount val="16"/>
                <c:pt idx="0">
                  <c:v>0.546875</c:v>
                </c:pt>
                <c:pt idx="1">
                  <c:v>0.546875</c:v>
                </c:pt>
                <c:pt idx="2">
                  <c:v>0.546875</c:v>
                </c:pt>
                <c:pt idx="3">
                  <c:v>0.546875</c:v>
                </c:pt>
                <c:pt idx="4">
                  <c:v>0.546875</c:v>
                </c:pt>
                <c:pt idx="5">
                  <c:v>0.546875</c:v>
                </c:pt>
                <c:pt idx="6">
                  <c:v>0.546875</c:v>
                </c:pt>
                <c:pt idx="7">
                  <c:v>0.546875</c:v>
                </c:pt>
                <c:pt idx="8">
                  <c:v>0.546875</c:v>
                </c:pt>
                <c:pt idx="9">
                  <c:v>0.546875</c:v>
                </c:pt>
                <c:pt idx="10">
                  <c:v>0.546875</c:v>
                </c:pt>
                <c:pt idx="11">
                  <c:v>0.546875</c:v>
                </c:pt>
                <c:pt idx="12">
                  <c:v>0.546875</c:v>
                </c:pt>
                <c:pt idx="13">
                  <c:v>0.546875</c:v>
                </c:pt>
                <c:pt idx="14">
                  <c:v>0.546875</c:v>
                </c:pt>
                <c:pt idx="15">
                  <c:v>0.546875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13-406A-A0DE-0E4F7080E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0">
                  <c:v>38P</c:v>
                </c:pt>
                <c:pt idx="11">
                  <c:v>ADAPTER</c:v>
                </c:pt>
                <c:pt idx="12">
                  <c:v>PLATE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'30'!$L$6:$L$21</c:f>
              <c:numCache>
                <c:formatCode>_(* #,##0_);_(* \(#,##0\);_(* "-"_);_(@_)</c:formatCode>
                <c:ptCount val="16"/>
                <c:pt idx="0">
                  <c:v>14448</c:v>
                </c:pt>
                <c:pt idx="2">
                  <c:v>5266</c:v>
                </c:pt>
                <c:pt idx="3">
                  <c:v>4980</c:v>
                </c:pt>
                <c:pt idx="6">
                  <c:v>5102</c:v>
                </c:pt>
                <c:pt idx="7">
                  <c:v>1088</c:v>
                </c:pt>
                <c:pt idx="9">
                  <c:v>5219</c:v>
                </c:pt>
                <c:pt idx="10">
                  <c:v>5493</c:v>
                </c:pt>
                <c:pt idx="12">
                  <c:v>4438</c:v>
                </c:pt>
                <c:pt idx="13">
                  <c:v>4835</c:v>
                </c:pt>
                <c:pt idx="14">
                  <c:v>3170</c:v>
                </c:pt>
                <c:pt idx="15">
                  <c:v>14664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34-45C5-B441-18B7B58E85E2}"/>
            </c:ext>
          </c:extLst>
        </c:ser>
        <c:ser>
          <c:idx val="1"/>
          <c:order val="1"/>
          <c:tx>
            <c:v>계획</c:v>
          </c:tx>
          <c:cat>
            <c:strRef>
              <c:f>'30'!$D$6:$D$21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0">
                  <c:v>38P</c:v>
                </c:pt>
                <c:pt idx="11">
                  <c:v>ADAPTER</c:v>
                </c:pt>
                <c:pt idx="12">
                  <c:v>PLATE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'30'!$J$6:$J$21</c:f>
              <c:numCache>
                <c:formatCode>_(* #,##0_);_(* \(#,##0\);_(* "-"_);_(@_)</c:formatCode>
                <c:ptCount val="16"/>
                <c:pt idx="0">
                  <c:v>14448</c:v>
                </c:pt>
                <c:pt idx="1">
                  <c:v>5180</c:v>
                </c:pt>
                <c:pt idx="2">
                  <c:v>5266</c:v>
                </c:pt>
                <c:pt idx="3">
                  <c:v>4980</c:v>
                </c:pt>
                <c:pt idx="4">
                  <c:v>4876</c:v>
                </c:pt>
                <c:pt idx="5">
                  <c:v>67990</c:v>
                </c:pt>
                <c:pt idx="6">
                  <c:v>5102</c:v>
                </c:pt>
                <c:pt idx="7">
                  <c:v>1088</c:v>
                </c:pt>
                <c:pt idx="8">
                  <c:v>392</c:v>
                </c:pt>
                <c:pt idx="9">
                  <c:v>5219</c:v>
                </c:pt>
                <c:pt idx="10">
                  <c:v>5493</c:v>
                </c:pt>
                <c:pt idx="11">
                  <c:v>600</c:v>
                </c:pt>
                <c:pt idx="12">
                  <c:v>4438</c:v>
                </c:pt>
                <c:pt idx="13">
                  <c:v>4835</c:v>
                </c:pt>
                <c:pt idx="14">
                  <c:v>3170</c:v>
                </c:pt>
                <c:pt idx="15">
                  <c:v>14664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34-45C5-B441-18B7B58E8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'30'!$AD$6:$AD$21</c:f>
              <c:strCache>
                <c:ptCount val="16"/>
                <c:pt idx="0">
                  <c:v>75%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0%</c:v>
                </c:pt>
                <c:pt idx="5">
                  <c:v>0%</c:v>
                </c:pt>
                <c:pt idx="6">
                  <c:v>100%</c:v>
                </c:pt>
                <c:pt idx="7">
                  <c:v>25%</c:v>
                </c:pt>
                <c:pt idx="8">
                  <c:v>0%</c:v>
                </c:pt>
                <c:pt idx="9">
                  <c:v>100%</c:v>
                </c:pt>
                <c:pt idx="10">
                  <c:v>96%</c:v>
                </c:pt>
                <c:pt idx="11">
                  <c:v>0%</c:v>
                </c:pt>
                <c:pt idx="12">
                  <c:v>92%</c:v>
                </c:pt>
                <c:pt idx="13">
                  <c:v>100%</c:v>
                </c:pt>
                <c:pt idx="14">
                  <c:v>63%</c:v>
                </c:pt>
                <c:pt idx="15">
                  <c:v>25%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0">
                  <c:v>38P</c:v>
                </c:pt>
                <c:pt idx="11">
                  <c:v>ADAPTER</c:v>
                </c:pt>
                <c:pt idx="12">
                  <c:v>PLATE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'30'!$AD$6:$AD$21</c:f>
              <c:numCache>
                <c:formatCode>0%</c:formatCode>
                <c:ptCount val="16"/>
                <c:pt idx="0">
                  <c:v>0.75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0.25</c:v>
                </c:pt>
                <c:pt idx="8">
                  <c:v>0</c:v>
                </c:pt>
                <c:pt idx="9">
                  <c:v>1</c:v>
                </c:pt>
                <c:pt idx="10">
                  <c:v>0.95833333333333337</c:v>
                </c:pt>
                <c:pt idx="11">
                  <c:v>0</c:v>
                </c:pt>
                <c:pt idx="12">
                  <c:v>0.91666666666666663</c:v>
                </c:pt>
                <c:pt idx="13">
                  <c:v>1</c:v>
                </c:pt>
                <c:pt idx="14">
                  <c:v>0.625</c:v>
                </c:pt>
                <c:pt idx="15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B3-4712-A81F-2051C1A1EF3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BB3-4712-A81F-2051C1A1EF3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0">
                  <c:v>SLIDER</c:v>
                </c:pt>
                <c:pt idx="1">
                  <c:v>ADAPTER</c:v>
                </c:pt>
                <c:pt idx="3">
                  <c:v>STOPPPER</c:v>
                </c:pt>
                <c:pt idx="4">
                  <c:v>COVER</c:v>
                </c:pt>
                <c:pt idx="5">
                  <c:v>SHAFT</c:v>
                </c:pt>
                <c:pt idx="6">
                  <c:v>BASE</c:v>
                </c:pt>
                <c:pt idx="7">
                  <c:v>ACTUATOR</c:v>
                </c:pt>
                <c:pt idx="8">
                  <c:v>BASE</c:v>
                </c:pt>
                <c:pt idx="9">
                  <c:v>IC GUIDE</c:v>
                </c:pt>
                <c:pt idx="10">
                  <c:v>38P</c:v>
                </c:pt>
                <c:pt idx="11">
                  <c:v>ADAPTER</c:v>
                </c:pt>
                <c:pt idx="12">
                  <c:v>PLATE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'30'!$AE$6:$AE$21</c:f>
              <c:numCache>
                <c:formatCode>0%</c:formatCode>
                <c:ptCount val="16"/>
                <c:pt idx="0">
                  <c:v>0.546875</c:v>
                </c:pt>
                <c:pt idx="1">
                  <c:v>0.546875</c:v>
                </c:pt>
                <c:pt idx="2">
                  <c:v>0.546875</c:v>
                </c:pt>
                <c:pt idx="3">
                  <c:v>0.546875</c:v>
                </c:pt>
                <c:pt idx="4">
                  <c:v>0.546875</c:v>
                </c:pt>
                <c:pt idx="5">
                  <c:v>0.546875</c:v>
                </c:pt>
                <c:pt idx="6">
                  <c:v>0.546875</c:v>
                </c:pt>
                <c:pt idx="7">
                  <c:v>0.546875</c:v>
                </c:pt>
                <c:pt idx="8">
                  <c:v>0.546875</c:v>
                </c:pt>
                <c:pt idx="9">
                  <c:v>0.546875</c:v>
                </c:pt>
                <c:pt idx="10">
                  <c:v>0.546875</c:v>
                </c:pt>
                <c:pt idx="11">
                  <c:v>0.546875</c:v>
                </c:pt>
                <c:pt idx="12">
                  <c:v>0.546875</c:v>
                </c:pt>
                <c:pt idx="13">
                  <c:v>0.546875</c:v>
                </c:pt>
                <c:pt idx="14">
                  <c:v>0.546875</c:v>
                </c:pt>
                <c:pt idx="15">
                  <c:v>0.546875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B3-4712-A81F-2051C1A1E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7FF-47EC-AE10-8AC596B1FE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0.4140625</c:v>
                </c:pt>
                <c:pt idx="2">
                  <c:v>0.40277777777777779</c:v>
                </c:pt>
                <c:pt idx="3">
                  <c:v>0.46813725490196079</c:v>
                </c:pt>
                <c:pt idx="4">
                  <c:v>0.546875</c:v>
                </c:pt>
                <c:pt idx="5">
                  <c:v>0.54656862745098045</c:v>
                </c:pt>
                <c:pt idx="7">
                  <c:v>2.34375E-2</c:v>
                </c:pt>
                <c:pt idx="8">
                  <c:v>0.5546875</c:v>
                </c:pt>
                <c:pt idx="9">
                  <c:v>0.49218750000000006</c:v>
                </c:pt>
                <c:pt idx="10">
                  <c:v>0.64583333333333326</c:v>
                </c:pt>
                <c:pt idx="11">
                  <c:v>0.56770833333333326</c:v>
                </c:pt>
                <c:pt idx="15">
                  <c:v>0.46813725490196079</c:v>
                </c:pt>
                <c:pt idx="16">
                  <c:v>0.55208333333333337</c:v>
                </c:pt>
                <c:pt idx="17">
                  <c:v>0.54166666666666663</c:v>
                </c:pt>
                <c:pt idx="18">
                  <c:v>0.57812500000000011</c:v>
                </c:pt>
                <c:pt idx="19">
                  <c:v>0.47135416666666669</c:v>
                </c:pt>
                <c:pt idx="22">
                  <c:v>0.31510416666666663</c:v>
                </c:pt>
                <c:pt idx="23">
                  <c:v>0.46614583333333331</c:v>
                </c:pt>
                <c:pt idx="24">
                  <c:v>0.33854166666666669</c:v>
                </c:pt>
                <c:pt idx="25">
                  <c:v>0.29166666666666663</c:v>
                </c:pt>
                <c:pt idx="26">
                  <c:v>0.19531249999999997</c:v>
                </c:pt>
                <c:pt idx="29">
                  <c:v>0.546875</c:v>
                </c:pt>
                <c:pt idx="31">
                  <c:v>0.31424291938997817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F-47EC-AE10-8AC596B1F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7FF-47EC-AE10-8AC596B1FEB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FF-47EC-AE10-8AC596B1F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11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320477502295683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1">
                  <c:v>0.4140625</c:v>
                </c:pt>
                <c:pt idx="2">
                  <c:v>0.40277777777777779</c:v>
                </c:pt>
                <c:pt idx="3">
                  <c:v>0.46813725490196079</c:v>
                </c:pt>
                <c:pt idx="4">
                  <c:v>0.546875</c:v>
                </c:pt>
                <c:pt idx="5">
                  <c:v>0.54656862745098045</c:v>
                </c:pt>
                <c:pt idx="7">
                  <c:v>2.34375E-2</c:v>
                </c:pt>
                <c:pt idx="8">
                  <c:v>0.5546875</c:v>
                </c:pt>
                <c:pt idx="9">
                  <c:v>0.49218750000000006</c:v>
                </c:pt>
                <c:pt idx="10">
                  <c:v>0.64583333333333326</c:v>
                </c:pt>
                <c:pt idx="11">
                  <c:v>0.56770833333333326</c:v>
                </c:pt>
                <c:pt idx="15">
                  <c:v>0.46813725490196079</c:v>
                </c:pt>
                <c:pt idx="16">
                  <c:v>0.55208333333333337</c:v>
                </c:pt>
                <c:pt idx="17">
                  <c:v>0.54166666666666663</c:v>
                </c:pt>
                <c:pt idx="18">
                  <c:v>0.57812500000000011</c:v>
                </c:pt>
                <c:pt idx="19">
                  <c:v>0.47135416666666669</c:v>
                </c:pt>
                <c:pt idx="22">
                  <c:v>0.31510416666666663</c:v>
                </c:pt>
                <c:pt idx="23">
                  <c:v>0.46614583333333331</c:v>
                </c:pt>
                <c:pt idx="24">
                  <c:v>0.33854166666666669</c:v>
                </c:pt>
                <c:pt idx="25">
                  <c:v>0.29166666666666663</c:v>
                </c:pt>
                <c:pt idx="26">
                  <c:v>0.19531249999999997</c:v>
                </c:pt>
                <c:pt idx="29">
                  <c:v>0.546875</c:v>
                </c:pt>
                <c:pt idx="31">
                  <c:v>0.31424291938997817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11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총괄!$A$3:$A$18</c:f>
              <c:strCache>
                <c:ptCount val="16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  <c:pt idx="15">
                  <c:v>16호기</c:v>
                </c:pt>
              </c:strCache>
            </c:strRef>
          </c:cat>
          <c:val>
            <c:numRef>
              <c:f>총괄!$AG$3:$AG$18</c:f>
              <c:numCache>
                <c:formatCode>0%</c:formatCode>
                <c:ptCount val="16"/>
                <c:pt idx="0">
                  <c:v>0.24166666666666667</c:v>
                </c:pt>
                <c:pt idx="1">
                  <c:v>0.44444444444444448</c:v>
                </c:pt>
                <c:pt idx="2">
                  <c:v>0.53333333333333333</c:v>
                </c:pt>
                <c:pt idx="3">
                  <c:v>0.44861111111111113</c:v>
                </c:pt>
                <c:pt idx="4">
                  <c:v>0.39444444444444449</c:v>
                </c:pt>
                <c:pt idx="5">
                  <c:v>6.3888888888888884E-2</c:v>
                </c:pt>
                <c:pt idx="6">
                  <c:v>0.56805555555555565</c:v>
                </c:pt>
                <c:pt idx="7">
                  <c:v>0.39027777777777772</c:v>
                </c:pt>
                <c:pt idx="8">
                  <c:v>9.7222222222222224E-3</c:v>
                </c:pt>
                <c:pt idx="9">
                  <c:v>6.8055555555555564E-2</c:v>
                </c:pt>
                <c:pt idx="10">
                  <c:v>0.27083333333333331</c:v>
                </c:pt>
                <c:pt idx="11">
                  <c:v>0.17222222222222222</c:v>
                </c:pt>
                <c:pt idx="12">
                  <c:v>0.33888888888888885</c:v>
                </c:pt>
                <c:pt idx="13">
                  <c:v>0.31805555555555554</c:v>
                </c:pt>
                <c:pt idx="14">
                  <c:v>0.56111111111111112</c:v>
                </c:pt>
                <c:pt idx="15">
                  <c:v>0.29999999999999993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5.xml"/><Relationship Id="rId5" Type="http://schemas.openxmlformats.org/officeDocument/2006/relationships/chart" Target="../charts/chart44.xml"/><Relationship Id="rId4" Type="http://schemas.openxmlformats.org/officeDocument/2006/relationships/chart" Target="../charts/chart43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0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7.xml"/><Relationship Id="rId1" Type="http://schemas.openxmlformats.org/officeDocument/2006/relationships/chart" Target="../charts/chart56.xml"/><Relationship Id="rId6" Type="http://schemas.openxmlformats.org/officeDocument/2006/relationships/chart" Target="../charts/chart60.xml"/><Relationship Id="rId5" Type="http://schemas.openxmlformats.org/officeDocument/2006/relationships/chart" Target="../charts/chart59.xml"/><Relationship Id="rId4" Type="http://schemas.openxmlformats.org/officeDocument/2006/relationships/chart" Target="../charts/chart58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6" Type="http://schemas.openxmlformats.org/officeDocument/2006/relationships/chart" Target="../charts/chart65.xml"/><Relationship Id="rId5" Type="http://schemas.openxmlformats.org/officeDocument/2006/relationships/chart" Target="../charts/chart64.xml"/><Relationship Id="rId4" Type="http://schemas.openxmlformats.org/officeDocument/2006/relationships/chart" Target="../charts/chart63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7.xml"/><Relationship Id="rId1" Type="http://schemas.openxmlformats.org/officeDocument/2006/relationships/chart" Target="../charts/chart66.xml"/><Relationship Id="rId6" Type="http://schemas.openxmlformats.org/officeDocument/2006/relationships/chart" Target="../charts/chart70.xml"/><Relationship Id="rId5" Type="http://schemas.openxmlformats.org/officeDocument/2006/relationships/chart" Target="../charts/chart69.xml"/><Relationship Id="rId4" Type="http://schemas.openxmlformats.org/officeDocument/2006/relationships/chart" Target="../charts/chart68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chart" Target="../charts/chart75.xml"/><Relationship Id="rId5" Type="http://schemas.openxmlformats.org/officeDocument/2006/relationships/chart" Target="../charts/chart74.xml"/><Relationship Id="rId4" Type="http://schemas.openxmlformats.org/officeDocument/2006/relationships/chart" Target="../charts/chart73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7.xml"/><Relationship Id="rId1" Type="http://schemas.openxmlformats.org/officeDocument/2006/relationships/chart" Target="../charts/chart76.xml"/><Relationship Id="rId6" Type="http://schemas.openxmlformats.org/officeDocument/2006/relationships/chart" Target="../charts/chart80.xml"/><Relationship Id="rId5" Type="http://schemas.openxmlformats.org/officeDocument/2006/relationships/chart" Target="../charts/chart79.xml"/><Relationship Id="rId4" Type="http://schemas.openxmlformats.org/officeDocument/2006/relationships/chart" Target="../charts/chart78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2.xml"/><Relationship Id="rId1" Type="http://schemas.openxmlformats.org/officeDocument/2006/relationships/chart" Target="../charts/chart81.xml"/><Relationship Id="rId6" Type="http://schemas.openxmlformats.org/officeDocument/2006/relationships/chart" Target="../charts/chart85.xml"/><Relationship Id="rId5" Type="http://schemas.openxmlformats.org/officeDocument/2006/relationships/chart" Target="../charts/chart84.xml"/><Relationship Id="rId4" Type="http://schemas.openxmlformats.org/officeDocument/2006/relationships/chart" Target="../charts/chart83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7.xml"/><Relationship Id="rId1" Type="http://schemas.openxmlformats.org/officeDocument/2006/relationships/chart" Target="../charts/chart86.xml"/><Relationship Id="rId6" Type="http://schemas.openxmlformats.org/officeDocument/2006/relationships/chart" Target="../charts/chart90.xml"/><Relationship Id="rId5" Type="http://schemas.openxmlformats.org/officeDocument/2006/relationships/chart" Target="../charts/chart89.xml"/><Relationship Id="rId4" Type="http://schemas.openxmlformats.org/officeDocument/2006/relationships/chart" Target="../charts/chart88.xml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2.xml"/><Relationship Id="rId1" Type="http://schemas.openxmlformats.org/officeDocument/2006/relationships/chart" Target="../charts/chart91.xml"/><Relationship Id="rId6" Type="http://schemas.openxmlformats.org/officeDocument/2006/relationships/chart" Target="../charts/chart95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7.xml"/><Relationship Id="rId1" Type="http://schemas.openxmlformats.org/officeDocument/2006/relationships/chart" Target="../charts/chart96.xml"/><Relationship Id="rId6" Type="http://schemas.openxmlformats.org/officeDocument/2006/relationships/chart" Target="../charts/chart100.xml"/><Relationship Id="rId5" Type="http://schemas.openxmlformats.org/officeDocument/2006/relationships/chart" Target="../charts/chart99.xml"/><Relationship Id="rId4" Type="http://schemas.openxmlformats.org/officeDocument/2006/relationships/chart" Target="../charts/chart98.xml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2.xml"/><Relationship Id="rId1" Type="http://schemas.openxmlformats.org/officeDocument/2006/relationships/chart" Target="../charts/chart101.xml"/><Relationship Id="rId6" Type="http://schemas.openxmlformats.org/officeDocument/2006/relationships/chart" Target="../charts/chart105.xml"/><Relationship Id="rId5" Type="http://schemas.openxmlformats.org/officeDocument/2006/relationships/chart" Target="../charts/chart104.xml"/><Relationship Id="rId4" Type="http://schemas.openxmlformats.org/officeDocument/2006/relationships/chart" Target="../charts/chart103.xml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7.xml"/><Relationship Id="rId1" Type="http://schemas.openxmlformats.org/officeDocument/2006/relationships/chart" Target="../charts/chart10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4F044F3-2B0A-4D3F-A6FA-8D43508CB4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6876583-EB3F-4A32-83C6-F676F4CC8E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C1C46FD-C422-4E03-A169-304E0F437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47D7754-FF6E-4A0A-8A1E-464B60873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F5770A8-DE2A-498A-A8E4-D4125D033C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0FFC4E1-89C3-4536-94B6-830BE04A7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7E898C6-494A-4B26-903D-BBCB444B3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12FDEF0-E0D8-4434-B894-FDAD97102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B5A596B-1B8D-41A8-AEFF-47B388C9A6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85B24D0-730F-471D-A258-E03BD67CB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EBD191D-9C55-4AC4-81B5-B580BE4E83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1BCF524-F9CD-4012-9943-A0DD767B2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D9DE8AF-EBD3-44B1-A32A-C60E8FFDA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F730474-C6CB-4725-9ED7-0013D73104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ACC68FF-EE78-408A-81F3-0E79AD226E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D6328DE-7231-4421-8AF5-AE1846D82A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A4B8D51-8103-4925-8FE1-0297ED30A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F2E9788-2D58-4A7B-A0FD-0000F0C5A9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47B97CB-1128-4194-861B-1E4917C8DA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47D5EDE-20BD-4C7C-A1DB-36FF7F5EB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A9A824B-25BA-4840-962F-55D04825DD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C60ED0B-6094-4BB6-B812-204DA8D456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6BCC0A6-3D36-43AD-99E1-E9A636A5B4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83DBE13-815E-4860-8227-E6E08913C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12FE50C-4340-4FE2-B8E6-7393A391A1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F4C6E80-25D0-4A71-8481-08A2EA3320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D09BE4F-E8D1-4A20-ADBF-F6608E86D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C152929-56BA-427C-919B-542C48FE89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F3F24C-6524-48D1-906B-9519BFEF53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0312D37-9A62-4A93-BB21-954D8E73A1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973A6D4-6FB6-475F-9B96-21359FBE0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794983F-B017-43AC-832D-B29511435E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8D5AC6B-0470-4C08-9B6E-A0D429F2B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23AABE4-4BB5-4E0E-8769-BB6B6D961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4BDB947-F2DF-408A-B07D-156E9CEE7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41A3470-80CD-4A98-8C1F-EE17553E1C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2A7184F-0689-4E1C-BEA2-09F078B1E3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0554BDA-9973-4C93-9948-8743D16B7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F07F433-7BA6-42F6-AB32-0CF5F9A960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73B93A9-9C34-4413-8B32-954931903E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AF8D23E-81F6-4D80-BAC0-F2E811FF8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3EA3FBA-ACCA-4B89-B766-871157C860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9B908C4-76AB-4130-954B-276F2176CE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408867D-DCD5-498D-8A3A-A3C3A4F0D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3F4F99E-2D1E-48B6-BE1E-CFADC98C8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9FAED17-3F8D-4C65-B7AF-57CE3C1EB0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DEAE07D-C15E-48ED-99CD-DFC05DA6D0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7324DBC-C8F2-4FB9-8256-E3D6CDDD0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605CD32-1848-4419-B250-F10F9137D4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CC9B7CD-977A-485E-ACBA-9F6FAAA215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50866BB-2868-46B4-8BA8-D6139710A9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4FDBA93-6183-46FE-808F-27C784A4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AAC5942-7F44-49D4-95F8-34C234512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B9A5E0A-1B4F-49D6-B15E-505EE2284B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B0C8128-BA60-434F-918D-0242E6291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DBFE87F-B1BE-4B15-93A5-93447827C9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5724488-4838-4333-88B4-96C8D2655D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FACCA91-731E-4302-BF04-51BE7E93C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625366F-34DC-4867-820C-871DC215F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E9BAB29-CC55-4D42-AABC-3E196F4AA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7B06A68-1E95-4527-AD2B-6180A3E22B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DCB3CD1-FBA7-4A18-BA7D-1A1F9F86B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C1539B7-A32C-490C-A6D3-0D4D0B2773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0E66EE1-EA2E-41FD-A723-DB30B77536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F045877-3F3C-46A5-AB99-75876CC1D6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2AE7232-18E9-4F7E-AEC8-2783A5B2F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E4C0B16-F414-4690-819A-3EDC30193D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D8E2C7B-5E45-4095-B290-704B5009E5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7969CF7-1AAB-4FFB-8A06-FE1E13518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BC3EA65-32CE-4421-9984-B179E7BA6A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5A643D1-FC76-4529-958C-C375D4B7CB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13FC27B-01E2-45E8-8DE8-6F9E9A8F4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EABA638-1742-43FA-9C11-7512F89F4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CD2E089-17AD-426B-8845-92965BB71D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8CD22F4-6713-4117-BCB1-9D18B900F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9248703-ACFB-4315-BEE9-0701B3B1A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E067221-C752-475F-B7BA-7FFE9B51DB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D2D4EE8-AE05-4F41-927C-B8C50B1E62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D60647A-6AB6-4C91-B00D-53E3EE0B23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ABD5C0F-B597-43A4-A887-1EA83BBE8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B67DE4B-757F-4726-8CA6-63EED5BBCD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E1E9620-09D2-4841-A0B4-B33A811859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3780F37-A627-4F5D-9862-BA57DA2A9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55972E4-9320-4CE2-9227-B44003C7C0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6B0B0A2-E56D-4C1F-9762-98E7AFE050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8C0A740-92AC-4145-850F-611542F46E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5030BC1-C5E7-4F0F-9906-5B80941A5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A687044-A684-49CC-AADE-58342AEEB6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F6EF26F-D0AD-43CB-8DD4-12D1D00F6B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86E7A0D-C2E0-4043-BD85-F533E658F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652ABFB-86BF-4C06-9311-10787E1EEF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2F2D49F-4419-443D-A91F-B50E41FF0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2AA1B9A-87A6-4770-835A-686B87591D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A591160-9132-4D6E-9C56-936E80F86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6A89282-3605-4B59-B306-DBBCF0F0EA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2226528-9DCA-4504-B467-E19D81679C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D769F26-0457-44CB-A868-1615D9687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4907277-0073-4EEE-B81E-580236066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583433E-4721-4D8C-AFEA-46148E3AC7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F890C7E-95BE-40DE-9652-EE82DCC662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D8B8F00-0C42-4F24-80F3-3C0F6ADF9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41C3D6D-224B-45AF-A938-61CC90FC90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A9C4393-CCA4-485F-B65E-651D322498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AF74909-6B7D-495A-9B5D-428C267FC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E6630B8-68AA-4B2F-99F4-2DE75724C9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CBA6813-6EB7-478E-969A-8A0D4E5B54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AC70480-A57C-4713-A989-207527CBA2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E20F31B-BBDA-4353-BB23-41E08353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FDB2434-310D-4DEC-B6BB-D887479BD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5B6BA7A-41B9-41B6-9E91-912DD34482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4E30E3D-929A-4821-A021-37E651E3B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F969675-A191-4DFD-B27B-1C4F00C690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3EF5F30-C6F8-416C-9494-F1927D4BB6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A7BA9E4-87AD-45C4-862E-E9D0A7ED60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E3399B7-CC79-415D-9412-1535B821D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5EF6FAC-DCF2-46F9-A29F-B1C60502EA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AA09C5B-1BE7-4EB8-B2C3-55FD0BD6EC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9F21343-A327-4850-B8D5-429E7884C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AD5D57F-C409-4645-BCED-7AA6A8BDA7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8431975-D1FE-42EF-8EAC-633056EFAE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B41EDDC-886D-4436-A67F-81D902ED8E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67036E9-BD71-4A0E-B833-2EA8C51BA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54DA507-B5C1-4965-BDE9-664105B448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1B1E3F8-7831-43F4-AAAC-A18DAC9649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772773E-1E17-4826-A9C8-73F5CFB9F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1A54E57-9078-4ED3-8008-963C042748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DDF974D-09F7-491C-B827-5492E0D43E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1B18019-AEA4-4C00-84BA-CA1406ED2B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899FCA7-AB61-425E-9433-A4753EFDC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0DD95E2-E533-444C-AA43-29FB4F151F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3A3BE77-681F-4D4A-B4F8-5B8F066EFF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62CFC68-3EFF-465D-A072-3C8CC738B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EAB4987-11C6-4D26-B9D3-321799F6E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4E104B5-4FDF-4FB7-83B0-B0776AC3BC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C1B2750-0330-466E-897E-2ED7A49FA3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A380BF6-444F-4CB0-B2B4-304D69936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EDF10EC-A8F8-4FB9-8B4E-E18579C87B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545AED8-F066-48DE-9181-40328CF0E6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D2BF2BC-84CD-4168-867B-E4A0A7A33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74F3520-420B-4487-8F24-87596BB42C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FDD12FF-F404-4663-B563-D190BF51E8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648576A-A68F-49F6-B7C2-DE767D87B0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F1C53B1-FA1C-46C8-B2EE-DF613910B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F0179AC-8984-4CE9-B443-2BEB040A94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60763D7-AE45-4630-8D50-4BF57B236E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C753A2D-D7F2-4A90-A0FD-1F335B4CE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4D9AA8D-B131-4DBC-8C8E-14F9580D7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20</xdr:row>
      <xdr:rowOff>104775</xdr:rowOff>
    </xdr:from>
    <xdr:to>
      <xdr:col>16</xdr:col>
      <xdr:colOff>66675</xdr:colOff>
      <xdr:row>32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20</xdr:row>
      <xdr:rowOff>123825</xdr:rowOff>
    </xdr:from>
    <xdr:to>
      <xdr:col>32</xdr:col>
      <xdr:colOff>371474</xdr:colOff>
      <xdr:row>32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71A4-48F3-4CFB-BAA4-EAAF82E728B0}">
  <dimension ref="A1:AF87"/>
  <sheetViews>
    <sheetView view="pageBreakPreview" zoomScale="70" zoomScaleNormal="72" zoomScaleSheetLayoutView="70" workbookViewId="0">
      <selection activeCell="F81" sqref="F81:J8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70" t="s">
        <v>163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5"/>
      <c r="T4" s="405"/>
      <c r="U4" s="405"/>
      <c r="V4" s="405"/>
      <c r="W4" s="406" t="s">
        <v>11</v>
      </c>
      <c r="X4" s="405"/>
      <c r="Y4" s="405"/>
      <c r="Z4" s="405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120" t="s">
        <v>17</v>
      </c>
      <c r="L5" s="120" t="s">
        <v>18</v>
      </c>
      <c r="M5" s="120" t="s">
        <v>19</v>
      </c>
      <c r="N5" s="12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30" customHeight="1">
      <c r="A6" s="96">
        <v>1</v>
      </c>
      <c r="B6" s="11" t="s">
        <v>57</v>
      </c>
      <c r="C6" s="34" t="s">
        <v>119</v>
      </c>
      <c r="D6" s="52" t="s">
        <v>131</v>
      </c>
      <c r="E6" s="53" t="s">
        <v>139</v>
      </c>
      <c r="F6" s="30" t="s">
        <v>133</v>
      </c>
      <c r="G6" s="12">
        <v>1</v>
      </c>
      <c r="H6" s="13">
        <v>24</v>
      </c>
      <c r="I6" s="7">
        <v>20000</v>
      </c>
      <c r="J6" s="14">
        <v>2814</v>
      </c>
      <c r="K6" s="15">
        <f>L6+4797+2971+5466+4155+4741+2184</f>
        <v>24314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0.4140625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 t="s">
        <v>147</v>
      </c>
      <c r="E7" s="53" t="s">
        <v>165</v>
      </c>
      <c r="F7" s="12" t="s">
        <v>166</v>
      </c>
      <c r="G7" s="12">
        <v>4</v>
      </c>
      <c r="H7" s="13">
        <v>24</v>
      </c>
      <c r="I7" s="31">
        <v>10000</v>
      </c>
      <c r="J7" s="14">
        <v>23552</v>
      </c>
      <c r="K7" s="15">
        <f>L7</f>
        <v>23552</v>
      </c>
      <c r="L7" s="15">
        <f>2532*4+2919*4+437*4</f>
        <v>23552</v>
      </c>
      <c r="M7" s="15">
        <f t="shared" si="0"/>
        <v>23552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0.4140625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119</v>
      </c>
      <c r="D8" s="52" t="s">
        <v>147</v>
      </c>
      <c r="E8" s="53" t="s">
        <v>167</v>
      </c>
      <c r="F8" s="30" t="s">
        <v>168</v>
      </c>
      <c r="G8" s="33">
        <v>2</v>
      </c>
      <c r="H8" s="35">
        <v>24</v>
      </c>
      <c r="I8" s="7">
        <v>40000</v>
      </c>
      <c r="J8" s="5">
        <v>12262</v>
      </c>
      <c r="K8" s="15">
        <f>L8</f>
        <v>12262</v>
      </c>
      <c r="L8" s="15">
        <f>2833*2+3298*2</f>
        <v>12262</v>
      </c>
      <c r="M8" s="15">
        <f t="shared" si="0"/>
        <v>12262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0.4140625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119</v>
      </c>
      <c r="D9" s="52" t="s">
        <v>146</v>
      </c>
      <c r="E9" s="53" t="s">
        <v>155</v>
      </c>
      <c r="F9" s="30" t="s">
        <v>142</v>
      </c>
      <c r="G9" s="12">
        <v>1</v>
      </c>
      <c r="H9" s="13">
        <v>24</v>
      </c>
      <c r="I9" s="7">
        <v>12000</v>
      </c>
      <c r="J9" s="14">
        <v>5165</v>
      </c>
      <c r="K9" s="15">
        <f>L9+5165</f>
        <v>5165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>
        <v>24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0.4140625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119</v>
      </c>
      <c r="D10" s="52" t="s">
        <v>115</v>
      </c>
      <c r="E10" s="53" t="s">
        <v>159</v>
      </c>
      <c r="F10" s="30" t="s">
        <v>158</v>
      </c>
      <c r="G10" s="33">
        <v>4</v>
      </c>
      <c r="H10" s="35">
        <v>24</v>
      </c>
      <c r="I10" s="7">
        <v>40000</v>
      </c>
      <c r="J10" s="14">
        <v>6230</v>
      </c>
      <c r="K10" s="15">
        <f>L10+7400</f>
        <v>13630</v>
      </c>
      <c r="L10" s="15">
        <f>2517*2+299*4</f>
        <v>6230</v>
      </c>
      <c r="M10" s="15">
        <f t="shared" si="0"/>
        <v>6230</v>
      </c>
      <c r="N10" s="15">
        <v>0</v>
      </c>
      <c r="O10" s="58">
        <f t="shared" si="1"/>
        <v>0</v>
      </c>
      <c r="P10" s="39">
        <f t="shared" si="2"/>
        <v>14</v>
      </c>
      <c r="Q10" s="40">
        <f t="shared" si="3"/>
        <v>10</v>
      </c>
      <c r="R10" s="7"/>
      <c r="S10" s="6">
        <v>10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0.58333333333333337</v>
      </c>
      <c r="AD10" s="10">
        <f t="shared" si="6"/>
        <v>0.58333333333333337</v>
      </c>
      <c r="AE10" s="36">
        <f t="shared" si="7"/>
        <v>0.4140625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121</v>
      </c>
      <c r="D11" s="52"/>
      <c r="E11" s="53" t="s">
        <v>152</v>
      </c>
      <c r="F11" s="30" t="s">
        <v>133</v>
      </c>
      <c r="G11" s="33">
        <v>1</v>
      </c>
      <c r="H11" s="35">
        <v>24</v>
      </c>
      <c r="I11" s="7">
        <v>10000</v>
      </c>
      <c r="J11" s="14">
        <v>2057</v>
      </c>
      <c r="K11" s="15">
        <f>L11+4460+5359+2057</f>
        <v>11876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0.4140625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149</v>
      </c>
      <c r="F12" s="30" t="s">
        <v>142</v>
      </c>
      <c r="G12" s="12">
        <v>1</v>
      </c>
      <c r="H12" s="13">
        <v>22</v>
      </c>
      <c r="I12" s="31">
        <v>100000</v>
      </c>
      <c r="J12" s="5">
        <v>4646</v>
      </c>
      <c r="K12" s="15">
        <f>L12+3980+4963+4857+4991+5052+5074+5369+4402+4760+5003+4109+5018+5406+4902+5041+5019+5033+5053</f>
        <v>92678</v>
      </c>
      <c r="L12" s="15">
        <f>2553+2093</f>
        <v>4646</v>
      </c>
      <c r="M12" s="15">
        <f t="shared" si="0"/>
        <v>4646</v>
      </c>
      <c r="N12" s="15">
        <v>0</v>
      </c>
      <c r="O12" s="58">
        <f t="shared" si="1"/>
        <v>0</v>
      </c>
      <c r="P12" s="39">
        <f t="shared" si="2"/>
        <v>22</v>
      </c>
      <c r="Q12" s="40">
        <f t="shared" si="3"/>
        <v>2</v>
      </c>
      <c r="R12" s="7"/>
      <c r="S12" s="6">
        <v>2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0.91666666666666663</v>
      </c>
      <c r="AD12" s="10">
        <f t="shared" si="6"/>
        <v>0.91666666666666663</v>
      </c>
      <c r="AE12" s="36">
        <f t="shared" si="7"/>
        <v>0.4140625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162</v>
      </c>
      <c r="D13" s="52"/>
      <c r="E13" s="53" t="s">
        <v>161</v>
      </c>
      <c r="F13" s="30" t="s">
        <v>169</v>
      </c>
      <c r="G13" s="12">
        <v>1</v>
      </c>
      <c r="H13" s="13">
        <v>24</v>
      </c>
      <c r="I13" s="31">
        <v>6000</v>
      </c>
      <c r="J13" s="14">
        <v>3566</v>
      </c>
      <c r="K13" s="15">
        <f>L13</f>
        <v>3566</v>
      </c>
      <c r="L13" s="15">
        <f>1373+2193</f>
        <v>3566</v>
      </c>
      <c r="M13" s="15">
        <f t="shared" si="0"/>
        <v>3566</v>
      </c>
      <c r="N13" s="15">
        <v>0</v>
      </c>
      <c r="O13" s="58">
        <f t="shared" si="1"/>
        <v>0</v>
      </c>
      <c r="P13" s="39">
        <f t="shared" si="2"/>
        <v>20</v>
      </c>
      <c r="Q13" s="40">
        <f t="shared" si="3"/>
        <v>4</v>
      </c>
      <c r="R13" s="7"/>
      <c r="S13" s="6">
        <v>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0.83333333333333337</v>
      </c>
      <c r="AD13" s="10">
        <f>AC13*AB13*(1-O13)</f>
        <v>0.83333333333333337</v>
      </c>
      <c r="AE13" s="36">
        <f t="shared" si="7"/>
        <v>0.4140625</v>
      </c>
      <c r="AF13" s="84">
        <f t="shared" si="8"/>
        <v>8</v>
      </c>
    </row>
    <row r="14" spans="1:32" ht="27" customHeight="1">
      <c r="A14" s="105">
        <v>9</v>
      </c>
      <c r="B14" s="11" t="s">
        <v>156</v>
      </c>
      <c r="C14" s="34" t="s">
        <v>112</v>
      </c>
      <c r="D14" s="52" t="s">
        <v>115</v>
      </c>
      <c r="E14" s="53" t="s">
        <v>153</v>
      </c>
      <c r="F14" s="30" t="s">
        <v>144</v>
      </c>
      <c r="G14" s="33">
        <v>1</v>
      </c>
      <c r="H14" s="35">
        <v>50</v>
      </c>
      <c r="I14" s="7">
        <v>50</v>
      </c>
      <c r="J14" s="5"/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0.4140625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125</v>
      </c>
      <c r="E15" s="53" t="s">
        <v>150</v>
      </c>
      <c r="F15" s="12" t="s">
        <v>138</v>
      </c>
      <c r="G15" s="12">
        <v>1</v>
      </c>
      <c r="H15" s="13">
        <v>24</v>
      </c>
      <c r="I15" s="31">
        <v>6500</v>
      </c>
      <c r="J15" s="14">
        <v>5214</v>
      </c>
      <c r="K15" s="15">
        <f>L15+2059+5272+5214</f>
        <v>12545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0.4140625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125</v>
      </c>
      <c r="E16" s="53" t="s">
        <v>170</v>
      </c>
      <c r="F16" s="30" t="s">
        <v>127</v>
      </c>
      <c r="G16" s="12">
        <v>1</v>
      </c>
      <c r="H16" s="13">
        <v>24</v>
      </c>
      <c r="I16" s="7">
        <v>300</v>
      </c>
      <c r="J16" s="14">
        <v>5165</v>
      </c>
      <c r="K16" s="15">
        <f>L16</f>
        <v>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>
        <v>24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0.4140625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119</v>
      </c>
      <c r="D17" s="52" t="s">
        <v>131</v>
      </c>
      <c r="E17" s="53" t="s">
        <v>157</v>
      </c>
      <c r="F17" s="30" t="s">
        <v>132</v>
      </c>
      <c r="G17" s="12">
        <v>4</v>
      </c>
      <c r="H17" s="13">
        <v>24</v>
      </c>
      <c r="I17" s="7">
        <v>40000</v>
      </c>
      <c r="J17" s="14">
        <v>22068</v>
      </c>
      <c r="K17" s="15">
        <f>L17+17212</f>
        <v>39280</v>
      </c>
      <c r="L17" s="15">
        <f>2619*4+2898*4</f>
        <v>22068</v>
      </c>
      <c r="M17" s="15">
        <f t="shared" si="0"/>
        <v>22068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0.4140625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119</v>
      </c>
      <c r="D18" s="52" t="s">
        <v>115</v>
      </c>
      <c r="E18" s="53" t="s">
        <v>154</v>
      </c>
      <c r="F18" s="30" t="s">
        <v>142</v>
      </c>
      <c r="G18" s="33">
        <v>1</v>
      </c>
      <c r="H18" s="35">
        <v>24</v>
      </c>
      <c r="I18" s="7">
        <v>12000</v>
      </c>
      <c r="J18" s="14">
        <v>4089</v>
      </c>
      <c r="K18" s="15">
        <f>L18+1601+4558+5644+4089</f>
        <v>15892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0.4140625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160</v>
      </c>
      <c r="F19" s="30" t="s">
        <v>171</v>
      </c>
      <c r="G19" s="33">
        <v>1</v>
      </c>
      <c r="H19" s="35">
        <v>24</v>
      </c>
      <c r="I19" s="7">
        <v>500</v>
      </c>
      <c r="J19" s="14">
        <v>921</v>
      </c>
      <c r="K19" s="15">
        <f>L19</f>
        <v>921</v>
      </c>
      <c r="L19" s="15">
        <f>692+229</f>
        <v>921</v>
      </c>
      <c r="M19" s="15">
        <f t="shared" si="0"/>
        <v>921</v>
      </c>
      <c r="N19" s="15">
        <v>0</v>
      </c>
      <c r="O19" s="58">
        <f t="shared" si="1"/>
        <v>0</v>
      </c>
      <c r="P19" s="39">
        <f t="shared" si="2"/>
        <v>12</v>
      </c>
      <c r="Q19" s="40">
        <f t="shared" si="3"/>
        <v>12</v>
      </c>
      <c r="R19" s="7"/>
      <c r="S19" s="6">
        <v>12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0.5</v>
      </c>
      <c r="AD19" s="10">
        <f t="shared" si="6"/>
        <v>0.5</v>
      </c>
      <c r="AE19" s="36">
        <f t="shared" si="7"/>
        <v>0.4140625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151</v>
      </c>
      <c r="F20" s="30" t="s">
        <v>142</v>
      </c>
      <c r="G20" s="12">
        <v>1</v>
      </c>
      <c r="H20" s="13">
        <v>24</v>
      </c>
      <c r="I20" s="7">
        <v>52000</v>
      </c>
      <c r="J20" s="14">
        <v>4186</v>
      </c>
      <c r="K20" s="15">
        <f>L20+2928+5476+5823+3267+3626+5491+5401+5798</f>
        <v>41996</v>
      </c>
      <c r="L20" s="15">
        <f>2621+1565</f>
        <v>4186</v>
      </c>
      <c r="M20" s="15">
        <f t="shared" si="0"/>
        <v>4186</v>
      </c>
      <c r="N20" s="15">
        <v>0</v>
      </c>
      <c r="O20" s="58">
        <f t="shared" si="1"/>
        <v>0</v>
      </c>
      <c r="P20" s="39">
        <f t="shared" si="2"/>
        <v>19</v>
      </c>
      <c r="Q20" s="40">
        <f t="shared" si="3"/>
        <v>5</v>
      </c>
      <c r="R20" s="7"/>
      <c r="S20" s="6">
        <v>5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0.79166666666666663</v>
      </c>
      <c r="AD20" s="10">
        <f t="shared" si="6"/>
        <v>0.79166666666666663</v>
      </c>
      <c r="AE20" s="36">
        <f t="shared" si="7"/>
        <v>0.4140625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140</v>
      </c>
      <c r="F21" s="12" t="s">
        <v>114</v>
      </c>
      <c r="G21" s="12">
        <v>4</v>
      </c>
      <c r="H21" s="35">
        <v>20</v>
      </c>
      <c r="I21" s="7">
        <v>300000</v>
      </c>
      <c r="J21" s="14">
        <v>4004</v>
      </c>
      <c r="K21" s="15">
        <f>30816+34860+35212+34672+33032+29240+28664+35888+4004</f>
        <v>266388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0.4140625</v>
      </c>
      <c r="AF21" s="84">
        <f t="shared" si="8"/>
        <v>16</v>
      </c>
    </row>
    <row r="22" spans="1:32" ht="31.5" customHeight="1" thickBot="1">
      <c r="A22" s="384" t="s">
        <v>34</v>
      </c>
      <c r="B22" s="385"/>
      <c r="C22" s="385"/>
      <c r="D22" s="385"/>
      <c r="E22" s="385"/>
      <c r="F22" s="385"/>
      <c r="G22" s="385"/>
      <c r="H22" s="386"/>
      <c r="I22" s="22">
        <f t="shared" ref="I22:N22" si="9">SUM(I6:I21)</f>
        <v>649350</v>
      </c>
      <c r="J22" s="19">
        <f t="shared" si="9"/>
        <v>105939</v>
      </c>
      <c r="K22" s="20">
        <f t="shared" si="9"/>
        <v>564065</v>
      </c>
      <c r="L22" s="21">
        <f t="shared" si="9"/>
        <v>77431</v>
      </c>
      <c r="M22" s="20">
        <f t="shared" si="9"/>
        <v>77431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159</v>
      </c>
      <c r="Q22" s="43">
        <f t="shared" si="10"/>
        <v>225</v>
      </c>
      <c r="R22" s="23">
        <f t="shared" si="10"/>
        <v>0</v>
      </c>
      <c r="S22" s="24">
        <f t="shared" si="10"/>
        <v>81</v>
      </c>
      <c r="T22" s="24">
        <f t="shared" si="10"/>
        <v>0</v>
      </c>
      <c r="U22" s="24">
        <f t="shared" si="10"/>
        <v>0</v>
      </c>
      <c r="V22" s="25">
        <f t="shared" si="10"/>
        <v>24</v>
      </c>
      <c r="W22" s="26">
        <f t="shared" si="10"/>
        <v>96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24</v>
      </c>
      <c r="AB22" s="28">
        <f>AVERAGE(AB6:AB21)</f>
        <v>0.53333333333333333</v>
      </c>
      <c r="AC22" s="4">
        <f>AVERAGE(AC6:AC21)</f>
        <v>0.4140625</v>
      </c>
      <c r="AD22" s="4">
        <f>AVERAGE(AD6:AD21)</f>
        <v>0.4140625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387" t="s">
        <v>45</v>
      </c>
      <c r="B49" s="387"/>
      <c r="C49" s="387"/>
      <c r="D49" s="387"/>
      <c r="E49" s="38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388" t="s">
        <v>172</v>
      </c>
      <c r="B50" s="389"/>
      <c r="C50" s="389"/>
      <c r="D50" s="389"/>
      <c r="E50" s="389"/>
      <c r="F50" s="389"/>
      <c r="G50" s="389"/>
      <c r="H50" s="389"/>
      <c r="I50" s="389"/>
      <c r="J50" s="389"/>
      <c r="K50" s="389"/>
      <c r="L50" s="389"/>
      <c r="M50" s="390"/>
      <c r="N50" s="391" t="s">
        <v>186</v>
      </c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  <c r="AA50" s="392"/>
      <c r="AB50" s="392"/>
      <c r="AC50" s="392"/>
      <c r="AD50" s="393"/>
    </row>
    <row r="51" spans="1:32" ht="27" customHeight="1">
      <c r="A51" s="394" t="s">
        <v>2</v>
      </c>
      <c r="B51" s="395"/>
      <c r="C51" s="121" t="s">
        <v>46</v>
      </c>
      <c r="D51" s="121" t="s">
        <v>47</v>
      </c>
      <c r="E51" s="121" t="s">
        <v>107</v>
      </c>
      <c r="F51" s="396" t="s">
        <v>106</v>
      </c>
      <c r="G51" s="397"/>
      <c r="H51" s="397"/>
      <c r="I51" s="397"/>
      <c r="J51" s="397"/>
      <c r="K51" s="397"/>
      <c r="L51" s="397"/>
      <c r="M51" s="398"/>
      <c r="N51" s="67" t="s">
        <v>110</v>
      </c>
      <c r="O51" s="121" t="s">
        <v>46</v>
      </c>
      <c r="P51" s="396" t="s">
        <v>47</v>
      </c>
      <c r="Q51" s="399"/>
      <c r="R51" s="396" t="s">
        <v>38</v>
      </c>
      <c r="S51" s="397"/>
      <c r="T51" s="397"/>
      <c r="U51" s="399"/>
      <c r="V51" s="396" t="s">
        <v>48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410" t="s">
        <v>119</v>
      </c>
      <c r="B52" s="411"/>
      <c r="C52" s="122" t="s">
        <v>143</v>
      </c>
      <c r="D52" s="122" t="s">
        <v>173</v>
      </c>
      <c r="E52" s="123" t="s">
        <v>167</v>
      </c>
      <c r="F52" s="412" t="s">
        <v>130</v>
      </c>
      <c r="G52" s="413"/>
      <c r="H52" s="413"/>
      <c r="I52" s="413"/>
      <c r="J52" s="413"/>
      <c r="K52" s="413"/>
      <c r="L52" s="413"/>
      <c r="M52" s="414"/>
      <c r="N52" s="124" t="s">
        <v>119</v>
      </c>
      <c r="O52" s="129" t="s">
        <v>137</v>
      </c>
      <c r="P52" s="415" t="s">
        <v>146</v>
      </c>
      <c r="Q52" s="416"/>
      <c r="R52" s="415" t="s">
        <v>155</v>
      </c>
      <c r="S52" s="417"/>
      <c r="T52" s="417"/>
      <c r="U52" s="416"/>
      <c r="V52" s="418" t="s">
        <v>126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10" t="s">
        <v>119</v>
      </c>
      <c r="B53" s="411"/>
      <c r="C53" s="122" t="s">
        <v>129</v>
      </c>
      <c r="D53" s="122" t="s">
        <v>173</v>
      </c>
      <c r="E53" s="123" t="s">
        <v>165</v>
      </c>
      <c r="F53" s="412" t="s">
        <v>130</v>
      </c>
      <c r="G53" s="413"/>
      <c r="H53" s="413"/>
      <c r="I53" s="413"/>
      <c r="J53" s="413"/>
      <c r="K53" s="413"/>
      <c r="L53" s="413"/>
      <c r="M53" s="414"/>
      <c r="N53" s="124" t="s">
        <v>119</v>
      </c>
      <c r="O53" s="129" t="s">
        <v>187</v>
      </c>
      <c r="P53" s="415" t="s">
        <v>180</v>
      </c>
      <c r="Q53" s="416"/>
      <c r="R53" s="415" t="s">
        <v>188</v>
      </c>
      <c r="S53" s="417"/>
      <c r="T53" s="417"/>
      <c r="U53" s="416"/>
      <c r="V53" s="418" t="s">
        <v>126</v>
      </c>
      <c r="W53" s="418"/>
      <c r="X53" s="418"/>
      <c r="Y53" s="418"/>
      <c r="Z53" s="418"/>
      <c r="AA53" s="418"/>
      <c r="AB53" s="418"/>
      <c r="AC53" s="418"/>
      <c r="AD53" s="419"/>
    </row>
    <row r="54" spans="1:32" ht="27" customHeight="1">
      <c r="A54" s="420" t="s">
        <v>119</v>
      </c>
      <c r="B54" s="421"/>
      <c r="C54" s="123" t="s">
        <v>145</v>
      </c>
      <c r="D54" s="123" t="s">
        <v>146</v>
      </c>
      <c r="E54" s="123" t="s">
        <v>155</v>
      </c>
      <c r="F54" s="412" t="s">
        <v>174</v>
      </c>
      <c r="G54" s="413"/>
      <c r="H54" s="413"/>
      <c r="I54" s="413"/>
      <c r="J54" s="413"/>
      <c r="K54" s="413"/>
      <c r="L54" s="413"/>
      <c r="M54" s="414"/>
      <c r="N54" s="124" t="s">
        <v>118</v>
      </c>
      <c r="O54" s="129" t="s">
        <v>135</v>
      </c>
      <c r="P54" s="415" t="s">
        <v>125</v>
      </c>
      <c r="Q54" s="416"/>
      <c r="R54" s="415" t="s">
        <v>148</v>
      </c>
      <c r="S54" s="417"/>
      <c r="T54" s="417"/>
      <c r="U54" s="416"/>
      <c r="V54" s="418" t="s">
        <v>126</v>
      </c>
      <c r="W54" s="418"/>
      <c r="X54" s="418"/>
      <c r="Y54" s="418"/>
      <c r="Z54" s="418"/>
      <c r="AA54" s="418"/>
      <c r="AB54" s="418"/>
      <c r="AC54" s="418"/>
      <c r="AD54" s="419"/>
    </row>
    <row r="55" spans="1:32" ht="27" customHeight="1">
      <c r="A55" s="420" t="s">
        <v>119</v>
      </c>
      <c r="B55" s="421"/>
      <c r="C55" s="133" t="s">
        <v>137</v>
      </c>
      <c r="D55" s="133" t="s">
        <v>146</v>
      </c>
      <c r="E55" s="133" t="s">
        <v>155</v>
      </c>
      <c r="F55" s="412" t="s">
        <v>175</v>
      </c>
      <c r="G55" s="413"/>
      <c r="H55" s="413"/>
      <c r="I55" s="413"/>
      <c r="J55" s="413"/>
      <c r="K55" s="413"/>
      <c r="L55" s="413"/>
      <c r="M55" s="414"/>
      <c r="N55" s="124" t="s">
        <v>118</v>
      </c>
      <c r="O55" s="129" t="s">
        <v>190</v>
      </c>
      <c r="P55" s="415" t="s">
        <v>195</v>
      </c>
      <c r="Q55" s="416"/>
      <c r="R55" s="415" t="s">
        <v>193</v>
      </c>
      <c r="S55" s="417"/>
      <c r="T55" s="417"/>
      <c r="U55" s="416"/>
      <c r="V55" s="418" t="s">
        <v>194</v>
      </c>
      <c r="W55" s="418"/>
      <c r="X55" s="418"/>
      <c r="Y55" s="418"/>
      <c r="Z55" s="418"/>
      <c r="AA55" s="418"/>
      <c r="AB55" s="418"/>
      <c r="AC55" s="418"/>
      <c r="AD55" s="419"/>
    </row>
    <row r="56" spans="1:32" ht="27" customHeight="1">
      <c r="A56" s="410" t="s">
        <v>162</v>
      </c>
      <c r="B56" s="411"/>
      <c r="C56" s="122" t="s">
        <v>136</v>
      </c>
      <c r="D56" s="122"/>
      <c r="E56" s="123" t="s">
        <v>161</v>
      </c>
      <c r="F56" s="412" t="s">
        <v>176</v>
      </c>
      <c r="G56" s="413"/>
      <c r="H56" s="413"/>
      <c r="I56" s="413"/>
      <c r="J56" s="413"/>
      <c r="K56" s="413"/>
      <c r="L56" s="413"/>
      <c r="M56" s="414"/>
      <c r="N56" s="124" t="s">
        <v>118</v>
      </c>
      <c r="O56" s="129" t="s">
        <v>179</v>
      </c>
      <c r="P56" s="415" t="s">
        <v>125</v>
      </c>
      <c r="Q56" s="416"/>
      <c r="R56" s="415" t="s">
        <v>196</v>
      </c>
      <c r="S56" s="417"/>
      <c r="T56" s="417"/>
      <c r="U56" s="416"/>
      <c r="V56" s="418" t="s">
        <v>194</v>
      </c>
      <c r="W56" s="418"/>
      <c r="X56" s="418"/>
      <c r="Y56" s="418"/>
      <c r="Z56" s="418"/>
      <c r="AA56" s="418"/>
      <c r="AB56" s="418"/>
      <c r="AC56" s="418"/>
      <c r="AD56" s="419"/>
    </row>
    <row r="57" spans="1:32" ht="27" customHeight="1">
      <c r="A57" s="420" t="s">
        <v>178</v>
      </c>
      <c r="B57" s="421"/>
      <c r="C57" s="123" t="s">
        <v>179</v>
      </c>
      <c r="D57" s="123" t="s">
        <v>180</v>
      </c>
      <c r="E57" s="123" t="s">
        <v>177</v>
      </c>
      <c r="F57" s="412" t="s">
        <v>181</v>
      </c>
      <c r="G57" s="413"/>
      <c r="H57" s="413"/>
      <c r="I57" s="413"/>
      <c r="J57" s="413"/>
      <c r="K57" s="413"/>
      <c r="L57" s="413"/>
      <c r="M57" s="414"/>
      <c r="N57" s="124" t="s">
        <v>178</v>
      </c>
      <c r="O57" s="129" t="s">
        <v>199</v>
      </c>
      <c r="P57" s="415" t="s">
        <v>180</v>
      </c>
      <c r="Q57" s="416"/>
      <c r="R57" s="415" t="s">
        <v>197</v>
      </c>
      <c r="S57" s="417"/>
      <c r="T57" s="417"/>
      <c r="U57" s="416"/>
      <c r="V57" s="418" t="s">
        <v>126</v>
      </c>
      <c r="W57" s="418"/>
      <c r="X57" s="418"/>
      <c r="Y57" s="418"/>
      <c r="Z57" s="418"/>
      <c r="AA57" s="418"/>
      <c r="AB57" s="418"/>
      <c r="AC57" s="418"/>
      <c r="AD57" s="419"/>
    </row>
    <row r="58" spans="1:32" ht="27" customHeight="1">
      <c r="A58" s="410" t="s">
        <v>183</v>
      </c>
      <c r="B58" s="411"/>
      <c r="C58" s="122" t="s">
        <v>184</v>
      </c>
      <c r="D58" s="122" t="s">
        <v>180</v>
      </c>
      <c r="E58" s="123" t="s">
        <v>182</v>
      </c>
      <c r="F58" s="412" t="s">
        <v>185</v>
      </c>
      <c r="G58" s="413"/>
      <c r="H58" s="413"/>
      <c r="I58" s="413"/>
      <c r="J58" s="413"/>
      <c r="K58" s="413"/>
      <c r="L58" s="413"/>
      <c r="M58" s="414"/>
      <c r="N58" s="124"/>
      <c r="O58" s="129"/>
      <c r="P58" s="415"/>
      <c r="Q58" s="416"/>
      <c r="R58" s="415"/>
      <c r="S58" s="417"/>
      <c r="T58" s="417"/>
      <c r="U58" s="416"/>
      <c r="V58" s="418"/>
      <c r="W58" s="418"/>
      <c r="X58" s="418"/>
      <c r="Y58" s="418"/>
      <c r="Z58" s="418"/>
      <c r="AA58" s="418"/>
      <c r="AB58" s="418"/>
      <c r="AC58" s="418"/>
      <c r="AD58" s="419"/>
    </row>
    <row r="59" spans="1:32" ht="27" customHeight="1">
      <c r="A59" s="410" t="s">
        <v>119</v>
      </c>
      <c r="B59" s="411"/>
      <c r="C59" s="122" t="s">
        <v>187</v>
      </c>
      <c r="D59" s="122" t="s">
        <v>180</v>
      </c>
      <c r="E59" s="123" t="s">
        <v>188</v>
      </c>
      <c r="F59" s="412" t="s">
        <v>189</v>
      </c>
      <c r="G59" s="413"/>
      <c r="H59" s="413"/>
      <c r="I59" s="413"/>
      <c r="J59" s="413"/>
      <c r="K59" s="413"/>
      <c r="L59" s="413"/>
      <c r="M59" s="414"/>
      <c r="N59" s="124"/>
      <c r="O59" s="129"/>
      <c r="P59" s="415"/>
      <c r="Q59" s="416"/>
      <c r="R59" s="421"/>
      <c r="S59" s="421"/>
      <c r="T59" s="421"/>
      <c r="U59" s="421"/>
      <c r="V59" s="418"/>
      <c r="W59" s="418"/>
      <c r="X59" s="418"/>
      <c r="Y59" s="418"/>
      <c r="Z59" s="418"/>
      <c r="AA59" s="418"/>
      <c r="AB59" s="418"/>
      <c r="AC59" s="418"/>
      <c r="AD59" s="419"/>
    </row>
    <row r="60" spans="1:32" ht="27" customHeight="1">
      <c r="A60" s="420" t="s">
        <v>183</v>
      </c>
      <c r="B60" s="421"/>
      <c r="C60" s="123" t="s">
        <v>190</v>
      </c>
      <c r="D60" s="123" t="s">
        <v>191</v>
      </c>
      <c r="E60" s="123" t="s">
        <v>170</v>
      </c>
      <c r="F60" s="412" t="s">
        <v>192</v>
      </c>
      <c r="G60" s="413"/>
      <c r="H60" s="413"/>
      <c r="I60" s="413"/>
      <c r="J60" s="413"/>
      <c r="K60" s="413"/>
      <c r="L60" s="413"/>
      <c r="M60" s="414"/>
      <c r="N60" s="124"/>
      <c r="O60" s="129"/>
      <c r="P60" s="421"/>
      <c r="Q60" s="421"/>
      <c r="R60" s="421"/>
      <c r="S60" s="421"/>
      <c r="T60" s="421"/>
      <c r="U60" s="421"/>
      <c r="V60" s="418"/>
      <c r="W60" s="418"/>
      <c r="X60" s="418"/>
      <c r="Y60" s="418"/>
      <c r="Z60" s="418"/>
      <c r="AA60" s="418"/>
      <c r="AB60" s="418"/>
      <c r="AC60" s="418"/>
      <c r="AD60" s="419"/>
      <c r="AF60" s="84">
        <f>8*3000</f>
        <v>24000</v>
      </c>
    </row>
    <row r="61" spans="1:32" ht="27" customHeight="1" thickBot="1">
      <c r="A61" s="422" t="s">
        <v>178</v>
      </c>
      <c r="B61" s="423"/>
      <c r="C61" s="125" t="s">
        <v>199</v>
      </c>
      <c r="D61" s="126" t="s">
        <v>180</v>
      </c>
      <c r="E61" s="126" t="s">
        <v>197</v>
      </c>
      <c r="F61" s="424" t="s">
        <v>198</v>
      </c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30" t="s">
        <v>200</v>
      </c>
      <c r="B62" s="430"/>
      <c r="C62" s="430"/>
      <c r="D62" s="430"/>
      <c r="E62" s="43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31" t="s">
        <v>111</v>
      </c>
      <c r="B63" s="432"/>
      <c r="C63" s="127" t="s">
        <v>2</v>
      </c>
      <c r="D63" s="127" t="s">
        <v>37</v>
      </c>
      <c r="E63" s="127" t="s">
        <v>3</v>
      </c>
      <c r="F63" s="432" t="s">
        <v>109</v>
      </c>
      <c r="G63" s="432"/>
      <c r="H63" s="432"/>
      <c r="I63" s="432"/>
      <c r="J63" s="432"/>
      <c r="K63" s="432" t="s">
        <v>39</v>
      </c>
      <c r="L63" s="432"/>
      <c r="M63" s="127" t="s">
        <v>40</v>
      </c>
      <c r="N63" s="432" t="s">
        <v>41</v>
      </c>
      <c r="O63" s="432"/>
      <c r="P63" s="433" t="s">
        <v>42</v>
      </c>
      <c r="Q63" s="434"/>
      <c r="R63" s="433" t="s">
        <v>43</v>
      </c>
      <c r="S63" s="435"/>
      <c r="T63" s="435"/>
      <c r="U63" s="435"/>
      <c r="V63" s="435"/>
      <c r="W63" s="435"/>
      <c r="X63" s="435"/>
      <c r="Y63" s="435"/>
      <c r="Z63" s="435"/>
      <c r="AA63" s="434"/>
      <c r="AB63" s="432" t="s">
        <v>44</v>
      </c>
      <c r="AC63" s="432"/>
      <c r="AD63" s="436"/>
      <c r="AF63" s="84">
        <f>SUM(AF60:AF62)</f>
        <v>96000</v>
      </c>
    </row>
    <row r="64" spans="1:32" ht="25.5" customHeight="1">
      <c r="A64" s="437">
        <v>1</v>
      </c>
      <c r="B64" s="438"/>
      <c r="C64" s="104" t="s">
        <v>118</v>
      </c>
      <c r="D64" s="131"/>
      <c r="E64" s="128" t="s">
        <v>115</v>
      </c>
      <c r="F64" s="439" t="s">
        <v>201</v>
      </c>
      <c r="G64" s="440"/>
      <c r="H64" s="440"/>
      <c r="I64" s="440"/>
      <c r="J64" s="441"/>
      <c r="K64" s="442" t="s">
        <v>142</v>
      </c>
      <c r="L64" s="442"/>
      <c r="M64" s="51" t="s">
        <v>141</v>
      </c>
      <c r="N64" s="443" t="s">
        <v>137</v>
      </c>
      <c r="O64" s="443"/>
      <c r="P64" s="444">
        <v>200</v>
      </c>
      <c r="Q64" s="444"/>
      <c r="R64" s="418"/>
      <c r="S64" s="418"/>
      <c r="T64" s="418"/>
      <c r="U64" s="418"/>
      <c r="V64" s="418"/>
      <c r="W64" s="418"/>
      <c r="X64" s="418"/>
      <c r="Y64" s="418"/>
      <c r="Z64" s="418"/>
      <c r="AA64" s="418"/>
      <c r="AB64" s="442"/>
      <c r="AC64" s="442"/>
      <c r="AD64" s="445"/>
      <c r="AF64" s="50"/>
    </row>
    <row r="65" spans="1:32" ht="25.5" customHeight="1">
      <c r="A65" s="437">
        <v>2</v>
      </c>
      <c r="B65" s="438"/>
      <c r="C65" s="104" t="s">
        <v>118</v>
      </c>
      <c r="D65" s="131"/>
      <c r="E65" s="128" t="s">
        <v>202</v>
      </c>
      <c r="F65" s="439" t="s">
        <v>203</v>
      </c>
      <c r="G65" s="440"/>
      <c r="H65" s="440"/>
      <c r="I65" s="440"/>
      <c r="J65" s="441"/>
      <c r="K65" s="442" t="s">
        <v>204</v>
      </c>
      <c r="L65" s="442"/>
      <c r="M65" s="51" t="s">
        <v>141</v>
      </c>
      <c r="N65" s="443" t="s">
        <v>137</v>
      </c>
      <c r="O65" s="443"/>
      <c r="P65" s="444">
        <v>200</v>
      </c>
      <c r="Q65" s="444"/>
      <c r="R65" s="418"/>
      <c r="S65" s="418"/>
      <c r="T65" s="418"/>
      <c r="U65" s="418"/>
      <c r="V65" s="418"/>
      <c r="W65" s="418"/>
      <c r="X65" s="418"/>
      <c r="Y65" s="418"/>
      <c r="Z65" s="418"/>
      <c r="AA65" s="418"/>
      <c r="AB65" s="442"/>
      <c r="AC65" s="442"/>
      <c r="AD65" s="445"/>
      <c r="AF65" s="50"/>
    </row>
    <row r="66" spans="1:32" ht="25.5" customHeight="1">
      <c r="A66" s="437">
        <v>3</v>
      </c>
      <c r="B66" s="438"/>
      <c r="C66" s="104" t="s">
        <v>118</v>
      </c>
      <c r="D66" s="131"/>
      <c r="E66" s="128" t="s">
        <v>191</v>
      </c>
      <c r="F66" s="439" t="s">
        <v>205</v>
      </c>
      <c r="G66" s="440"/>
      <c r="H66" s="440"/>
      <c r="I66" s="440"/>
      <c r="J66" s="441"/>
      <c r="K66" s="442" t="s">
        <v>206</v>
      </c>
      <c r="L66" s="442"/>
      <c r="M66" s="51" t="s">
        <v>141</v>
      </c>
      <c r="N66" s="443" t="s">
        <v>207</v>
      </c>
      <c r="O66" s="443"/>
      <c r="P66" s="444">
        <v>50</v>
      </c>
      <c r="Q66" s="444"/>
      <c r="R66" s="418"/>
      <c r="S66" s="418"/>
      <c r="T66" s="418"/>
      <c r="U66" s="418"/>
      <c r="V66" s="418"/>
      <c r="W66" s="418"/>
      <c r="X66" s="418"/>
      <c r="Y66" s="418"/>
      <c r="Z66" s="418"/>
      <c r="AA66" s="418"/>
      <c r="AB66" s="442"/>
      <c r="AC66" s="442"/>
      <c r="AD66" s="445"/>
      <c r="AF66" s="50"/>
    </row>
    <row r="67" spans="1:32" ht="25.5" customHeight="1">
      <c r="A67" s="437">
        <v>4</v>
      </c>
      <c r="B67" s="438"/>
      <c r="C67" s="104"/>
      <c r="D67" s="131"/>
      <c r="E67" s="128"/>
      <c r="F67" s="439"/>
      <c r="G67" s="440"/>
      <c r="H67" s="440"/>
      <c r="I67" s="440"/>
      <c r="J67" s="441"/>
      <c r="K67" s="442"/>
      <c r="L67" s="442"/>
      <c r="M67" s="51"/>
      <c r="N67" s="443"/>
      <c r="O67" s="443"/>
      <c r="P67" s="446"/>
      <c r="Q67" s="446"/>
      <c r="R67" s="418"/>
      <c r="S67" s="418"/>
      <c r="T67" s="418"/>
      <c r="U67" s="418"/>
      <c r="V67" s="418"/>
      <c r="W67" s="418"/>
      <c r="X67" s="418"/>
      <c r="Y67" s="418"/>
      <c r="Z67" s="418"/>
      <c r="AA67" s="418"/>
      <c r="AB67" s="442"/>
      <c r="AC67" s="442"/>
      <c r="AD67" s="445"/>
      <c r="AF67" s="50"/>
    </row>
    <row r="68" spans="1:32" ht="25.5" customHeight="1">
      <c r="A68" s="437">
        <v>5</v>
      </c>
      <c r="B68" s="438"/>
      <c r="C68" s="104"/>
      <c r="D68" s="131"/>
      <c r="E68" s="128"/>
      <c r="F68" s="439"/>
      <c r="G68" s="440"/>
      <c r="H68" s="440"/>
      <c r="I68" s="440"/>
      <c r="J68" s="441"/>
      <c r="K68" s="442"/>
      <c r="L68" s="442"/>
      <c r="M68" s="51"/>
      <c r="N68" s="443"/>
      <c r="O68" s="443"/>
      <c r="P68" s="444"/>
      <c r="Q68" s="444"/>
      <c r="R68" s="418"/>
      <c r="S68" s="418"/>
      <c r="T68" s="418"/>
      <c r="U68" s="418"/>
      <c r="V68" s="418"/>
      <c r="W68" s="418"/>
      <c r="X68" s="418"/>
      <c r="Y68" s="418"/>
      <c r="Z68" s="418"/>
      <c r="AA68" s="418"/>
      <c r="AB68" s="442"/>
      <c r="AC68" s="442"/>
      <c r="AD68" s="445"/>
      <c r="AF68" s="50"/>
    </row>
    <row r="69" spans="1:32" ht="25.5" customHeight="1">
      <c r="A69" s="437">
        <v>6</v>
      </c>
      <c r="B69" s="438"/>
      <c r="C69" s="104"/>
      <c r="D69" s="131"/>
      <c r="E69" s="128"/>
      <c r="F69" s="439"/>
      <c r="G69" s="440"/>
      <c r="H69" s="440"/>
      <c r="I69" s="440"/>
      <c r="J69" s="441"/>
      <c r="K69" s="442"/>
      <c r="L69" s="442"/>
      <c r="M69" s="51"/>
      <c r="N69" s="443"/>
      <c r="O69" s="443"/>
      <c r="P69" s="444"/>
      <c r="Q69" s="444"/>
      <c r="R69" s="418"/>
      <c r="S69" s="418"/>
      <c r="T69" s="418"/>
      <c r="U69" s="418"/>
      <c r="V69" s="418"/>
      <c r="W69" s="418"/>
      <c r="X69" s="418"/>
      <c r="Y69" s="418"/>
      <c r="Z69" s="418"/>
      <c r="AA69" s="418"/>
      <c r="AB69" s="442"/>
      <c r="AC69" s="442"/>
      <c r="AD69" s="445"/>
      <c r="AF69" s="50"/>
    </row>
    <row r="70" spans="1:32" ht="25.5" customHeight="1">
      <c r="A70" s="437">
        <v>7</v>
      </c>
      <c r="B70" s="438"/>
      <c r="C70" s="104"/>
      <c r="D70" s="131"/>
      <c r="E70" s="128"/>
      <c r="F70" s="447"/>
      <c r="G70" s="442"/>
      <c r="H70" s="442"/>
      <c r="I70" s="442"/>
      <c r="J70" s="442"/>
      <c r="K70" s="442"/>
      <c r="L70" s="442"/>
      <c r="M70" s="51"/>
      <c r="N70" s="443"/>
      <c r="O70" s="443"/>
      <c r="P70" s="444"/>
      <c r="Q70" s="444"/>
      <c r="R70" s="418"/>
      <c r="S70" s="418"/>
      <c r="T70" s="418"/>
      <c r="U70" s="418"/>
      <c r="V70" s="418"/>
      <c r="W70" s="418"/>
      <c r="X70" s="418"/>
      <c r="Y70" s="418"/>
      <c r="Z70" s="418"/>
      <c r="AA70" s="418"/>
      <c r="AB70" s="442"/>
      <c r="AC70" s="442"/>
      <c r="AD70" s="445"/>
      <c r="AF70" s="50"/>
    </row>
    <row r="71" spans="1:32" ht="25.5" customHeight="1">
      <c r="A71" s="437">
        <v>8</v>
      </c>
      <c r="B71" s="438"/>
      <c r="C71" s="104"/>
      <c r="D71" s="131"/>
      <c r="E71" s="128"/>
      <c r="F71" s="447"/>
      <c r="G71" s="442"/>
      <c r="H71" s="442"/>
      <c r="I71" s="442"/>
      <c r="J71" s="442"/>
      <c r="K71" s="442"/>
      <c r="L71" s="442"/>
      <c r="M71" s="51"/>
      <c r="N71" s="443"/>
      <c r="O71" s="443"/>
      <c r="P71" s="444"/>
      <c r="Q71" s="444"/>
      <c r="R71" s="418"/>
      <c r="S71" s="418"/>
      <c r="T71" s="418"/>
      <c r="U71" s="418"/>
      <c r="V71" s="418"/>
      <c r="W71" s="418"/>
      <c r="X71" s="418"/>
      <c r="Y71" s="418"/>
      <c r="Z71" s="418"/>
      <c r="AA71" s="418"/>
      <c r="AB71" s="442"/>
      <c r="AC71" s="442"/>
      <c r="AD71" s="445"/>
      <c r="AF71" s="50"/>
    </row>
    <row r="72" spans="1:32" ht="25.5" customHeight="1">
      <c r="A72" s="437">
        <v>9</v>
      </c>
      <c r="B72" s="438"/>
      <c r="C72" s="104"/>
      <c r="D72" s="131"/>
      <c r="E72" s="128"/>
      <c r="F72" s="447"/>
      <c r="G72" s="442"/>
      <c r="H72" s="442"/>
      <c r="I72" s="442"/>
      <c r="J72" s="442"/>
      <c r="K72" s="442"/>
      <c r="L72" s="442"/>
      <c r="M72" s="51"/>
      <c r="N72" s="443"/>
      <c r="O72" s="443"/>
      <c r="P72" s="444"/>
      <c r="Q72" s="444"/>
      <c r="R72" s="418"/>
      <c r="S72" s="418"/>
      <c r="T72" s="418"/>
      <c r="U72" s="418"/>
      <c r="V72" s="418"/>
      <c r="W72" s="418"/>
      <c r="X72" s="418"/>
      <c r="Y72" s="418"/>
      <c r="Z72" s="418"/>
      <c r="AA72" s="418"/>
      <c r="AB72" s="442"/>
      <c r="AC72" s="442"/>
      <c r="AD72" s="445"/>
      <c r="AF72" s="50"/>
    </row>
    <row r="73" spans="1:32" ht="25.5" customHeight="1">
      <c r="A73" s="437">
        <v>10</v>
      </c>
      <c r="B73" s="438"/>
      <c r="C73" s="104"/>
      <c r="D73" s="131"/>
      <c r="E73" s="128"/>
      <c r="F73" s="447"/>
      <c r="G73" s="442"/>
      <c r="H73" s="442"/>
      <c r="I73" s="442"/>
      <c r="J73" s="442"/>
      <c r="K73" s="442"/>
      <c r="L73" s="442"/>
      <c r="M73" s="51"/>
      <c r="N73" s="443"/>
      <c r="O73" s="443"/>
      <c r="P73" s="444"/>
      <c r="Q73" s="444"/>
      <c r="R73" s="418"/>
      <c r="S73" s="418"/>
      <c r="T73" s="418"/>
      <c r="U73" s="418"/>
      <c r="V73" s="418"/>
      <c r="W73" s="418"/>
      <c r="X73" s="418"/>
      <c r="Y73" s="418"/>
      <c r="Z73" s="418"/>
      <c r="AA73" s="418"/>
      <c r="AB73" s="442"/>
      <c r="AC73" s="442"/>
      <c r="AD73" s="445"/>
      <c r="AF73" s="50"/>
    </row>
    <row r="74" spans="1:32" ht="26.25" customHeight="1" thickBot="1">
      <c r="A74" s="448" t="s">
        <v>208</v>
      </c>
      <c r="B74" s="448"/>
      <c r="C74" s="448"/>
      <c r="D74" s="448"/>
      <c r="E74" s="44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49" t="s">
        <v>134</v>
      </c>
      <c r="B75" s="450"/>
      <c r="C75" s="130" t="s">
        <v>2</v>
      </c>
      <c r="D75" s="130" t="s">
        <v>37</v>
      </c>
      <c r="E75" s="130" t="s">
        <v>128</v>
      </c>
      <c r="F75" s="450" t="s">
        <v>38</v>
      </c>
      <c r="G75" s="450"/>
      <c r="H75" s="450"/>
      <c r="I75" s="450"/>
      <c r="J75" s="450"/>
      <c r="K75" s="451" t="s">
        <v>58</v>
      </c>
      <c r="L75" s="452"/>
      <c r="M75" s="452"/>
      <c r="N75" s="452"/>
      <c r="O75" s="452"/>
      <c r="P75" s="452"/>
      <c r="Q75" s="452"/>
      <c r="R75" s="452"/>
      <c r="S75" s="453"/>
      <c r="T75" s="450" t="s">
        <v>49</v>
      </c>
      <c r="U75" s="450"/>
      <c r="V75" s="451" t="s">
        <v>50</v>
      </c>
      <c r="W75" s="453"/>
      <c r="X75" s="452" t="s">
        <v>51</v>
      </c>
      <c r="Y75" s="452"/>
      <c r="Z75" s="452"/>
      <c r="AA75" s="452"/>
      <c r="AB75" s="452"/>
      <c r="AC75" s="452"/>
      <c r="AD75" s="454"/>
      <c r="AF75" s="50"/>
    </row>
    <row r="76" spans="1:32" ht="33.75" customHeight="1">
      <c r="A76" s="463">
        <v>1</v>
      </c>
      <c r="B76" s="464"/>
      <c r="C76" s="132" t="s">
        <v>112</v>
      </c>
      <c r="D76" s="132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44118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55">
        <f>A76+1</f>
        <v>2</v>
      </c>
      <c r="B77" s="456"/>
      <c r="C77" s="131"/>
      <c r="D77" s="131"/>
      <c r="E77" s="32"/>
      <c r="F77" s="456"/>
      <c r="G77" s="456"/>
      <c r="H77" s="456"/>
      <c r="I77" s="456"/>
      <c r="J77" s="456"/>
      <c r="K77" s="457"/>
      <c r="L77" s="458"/>
      <c r="M77" s="458"/>
      <c r="N77" s="458"/>
      <c r="O77" s="458"/>
      <c r="P77" s="458"/>
      <c r="Q77" s="458"/>
      <c r="R77" s="458"/>
      <c r="S77" s="459"/>
      <c r="T77" s="460"/>
      <c r="U77" s="460"/>
      <c r="V77" s="460"/>
      <c r="W77" s="460"/>
      <c r="X77" s="461"/>
      <c r="Y77" s="461"/>
      <c r="Z77" s="461"/>
      <c r="AA77" s="461"/>
      <c r="AB77" s="461"/>
      <c r="AC77" s="461"/>
      <c r="AD77" s="462"/>
      <c r="AF77" s="50"/>
    </row>
    <row r="78" spans="1:32" ht="30" customHeight="1">
      <c r="A78" s="455">
        <f t="shared" ref="A78:A82" si="11">A77+1</f>
        <v>3</v>
      </c>
      <c r="B78" s="456"/>
      <c r="C78" s="131"/>
      <c r="D78" s="131"/>
      <c r="E78" s="32"/>
      <c r="F78" s="456"/>
      <c r="G78" s="456"/>
      <c r="H78" s="456"/>
      <c r="I78" s="456"/>
      <c r="J78" s="456"/>
      <c r="K78" s="457"/>
      <c r="L78" s="458"/>
      <c r="M78" s="458"/>
      <c r="N78" s="458"/>
      <c r="O78" s="458"/>
      <c r="P78" s="458"/>
      <c r="Q78" s="458"/>
      <c r="R78" s="458"/>
      <c r="S78" s="459"/>
      <c r="T78" s="460"/>
      <c r="U78" s="460"/>
      <c r="V78" s="460"/>
      <c r="W78" s="460"/>
      <c r="X78" s="461"/>
      <c r="Y78" s="461"/>
      <c r="Z78" s="461"/>
      <c r="AA78" s="461"/>
      <c r="AB78" s="461"/>
      <c r="AC78" s="461"/>
      <c r="AD78" s="462"/>
      <c r="AF78" s="50"/>
    </row>
    <row r="79" spans="1:32" ht="30" customHeight="1">
      <c r="A79" s="455">
        <f t="shared" si="11"/>
        <v>4</v>
      </c>
      <c r="B79" s="456"/>
      <c r="C79" s="131"/>
      <c r="D79" s="131"/>
      <c r="E79" s="32"/>
      <c r="F79" s="456"/>
      <c r="G79" s="456"/>
      <c r="H79" s="456"/>
      <c r="I79" s="456"/>
      <c r="J79" s="456"/>
      <c r="K79" s="457"/>
      <c r="L79" s="458"/>
      <c r="M79" s="458"/>
      <c r="N79" s="458"/>
      <c r="O79" s="458"/>
      <c r="P79" s="458"/>
      <c r="Q79" s="458"/>
      <c r="R79" s="458"/>
      <c r="S79" s="459"/>
      <c r="T79" s="460"/>
      <c r="U79" s="460"/>
      <c r="V79" s="460"/>
      <c r="W79" s="460"/>
      <c r="X79" s="461"/>
      <c r="Y79" s="461"/>
      <c r="Z79" s="461"/>
      <c r="AA79" s="461"/>
      <c r="AB79" s="461"/>
      <c r="AC79" s="461"/>
      <c r="AD79" s="462"/>
      <c r="AF79" s="50"/>
    </row>
    <row r="80" spans="1:32" ht="30" customHeight="1">
      <c r="A80" s="455">
        <f t="shared" si="11"/>
        <v>5</v>
      </c>
      <c r="B80" s="456"/>
      <c r="C80" s="131"/>
      <c r="D80" s="131"/>
      <c r="E80" s="32"/>
      <c r="F80" s="456"/>
      <c r="G80" s="456"/>
      <c r="H80" s="456"/>
      <c r="I80" s="456"/>
      <c r="J80" s="456"/>
      <c r="K80" s="457"/>
      <c r="L80" s="458"/>
      <c r="M80" s="458"/>
      <c r="N80" s="458"/>
      <c r="O80" s="458"/>
      <c r="P80" s="458"/>
      <c r="Q80" s="458"/>
      <c r="R80" s="458"/>
      <c r="S80" s="459"/>
      <c r="T80" s="460"/>
      <c r="U80" s="460"/>
      <c r="V80" s="460"/>
      <c r="W80" s="460"/>
      <c r="X80" s="461"/>
      <c r="Y80" s="461"/>
      <c r="Z80" s="461"/>
      <c r="AA80" s="461"/>
      <c r="AB80" s="461"/>
      <c r="AC80" s="461"/>
      <c r="AD80" s="462"/>
      <c r="AF80" s="50"/>
    </row>
    <row r="81" spans="1:32" ht="30" customHeight="1">
      <c r="A81" s="455">
        <f t="shared" si="11"/>
        <v>6</v>
      </c>
      <c r="B81" s="456"/>
      <c r="C81" s="131"/>
      <c r="D81" s="131"/>
      <c r="E81" s="32"/>
      <c r="F81" s="456"/>
      <c r="G81" s="456"/>
      <c r="H81" s="456"/>
      <c r="I81" s="456"/>
      <c r="J81" s="456"/>
      <c r="K81" s="457"/>
      <c r="L81" s="458"/>
      <c r="M81" s="458"/>
      <c r="N81" s="458"/>
      <c r="O81" s="458"/>
      <c r="P81" s="458"/>
      <c r="Q81" s="458"/>
      <c r="R81" s="458"/>
      <c r="S81" s="459"/>
      <c r="T81" s="460"/>
      <c r="U81" s="460"/>
      <c r="V81" s="460"/>
      <c r="W81" s="460"/>
      <c r="X81" s="461"/>
      <c r="Y81" s="461"/>
      <c r="Z81" s="461"/>
      <c r="AA81" s="461"/>
      <c r="AB81" s="461"/>
      <c r="AC81" s="461"/>
      <c r="AD81" s="462"/>
      <c r="AF81" s="50"/>
    </row>
    <row r="82" spans="1:32" ht="30" customHeight="1">
      <c r="A82" s="455">
        <f t="shared" si="11"/>
        <v>7</v>
      </c>
      <c r="B82" s="456"/>
      <c r="C82" s="131"/>
      <c r="D82" s="131"/>
      <c r="E82" s="32"/>
      <c r="F82" s="456"/>
      <c r="G82" s="456"/>
      <c r="H82" s="456"/>
      <c r="I82" s="456"/>
      <c r="J82" s="456"/>
      <c r="K82" s="457"/>
      <c r="L82" s="458"/>
      <c r="M82" s="458"/>
      <c r="N82" s="458"/>
      <c r="O82" s="458"/>
      <c r="P82" s="458"/>
      <c r="Q82" s="458"/>
      <c r="R82" s="458"/>
      <c r="S82" s="459"/>
      <c r="T82" s="460"/>
      <c r="U82" s="460"/>
      <c r="V82" s="460"/>
      <c r="W82" s="460"/>
      <c r="X82" s="461"/>
      <c r="Y82" s="461"/>
      <c r="Z82" s="461"/>
      <c r="AA82" s="461"/>
      <c r="AB82" s="461"/>
      <c r="AC82" s="461"/>
      <c r="AD82" s="462"/>
      <c r="AF82" s="50"/>
    </row>
    <row r="83" spans="1:32" ht="36" thickBot="1">
      <c r="A83" s="448" t="s">
        <v>209</v>
      </c>
      <c r="B83" s="448"/>
      <c r="C83" s="448"/>
      <c r="D83" s="448"/>
      <c r="E83" s="44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49" t="s">
        <v>111</v>
      </c>
      <c r="B84" s="450"/>
      <c r="C84" s="476" t="s">
        <v>52</v>
      </c>
      <c r="D84" s="476"/>
      <c r="E84" s="476" t="s">
        <v>53</v>
      </c>
      <c r="F84" s="476"/>
      <c r="G84" s="476"/>
      <c r="H84" s="476"/>
      <c r="I84" s="476"/>
      <c r="J84" s="476"/>
      <c r="K84" s="476" t="s">
        <v>54</v>
      </c>
      <c r="L84" s="476"/>
      <c r="M84" s="476"/>
      <c r="N84" s="476"/>
      <c r="O84" s="476"/>
      <c r="P84" s="476"/>
      <c r="Q84" s="476"/>
      <c r="R84" s="476"/>
      <c r="S84" s="476"/>
      <c r="T84" s="476" t="s">
        <v>55</v>
      </c>
      <c r="U84" s="476"/>
      <c r="V84" s="476" t="s">
        <v>56</v>
      </c>
      <c r="W84" s="476"/>
      <c r="X84" s="476"/>
      <c r="Y84" s="476" t="s">
        <v>51</v>
      </c>
      <c r="Z84" s="476"/>
      <c r="AA84" s="476"/>
      <c r="AB84" s="476"/>
      <c r="AC84" s="476"/>
      <c r="AD84" s="477"/>
      <c r="AF84" s="50"/>
    </row>
    <row r="85" spans="1:32" ht="30.75" customHeight="1">
      <c r="A85" s="463">
        <v>1</v>
      </c>
      <c r="B85" s="464"/>
      <c r="C85" s="478"/>
      <c r="D85" s="478"/>
      <c r="E85" s="478"/>
      <c r="F85" s="478"/>
      <c r="G85" s="478"/>
      <c r="H85" s="478"/>
      <c r="I85" s="478"/>
      <c r="J85" s="478"/>
      <c r="K85" s="478"/>
      <c r="L85" s="478"/>
      <c r="M85" s="478"/>
      <c r="N85" s="478"/>
      <c r="O85" s="478"/>
      <c r="P85" s="478"/>
      <c r="Q85" s="478"/>
      <c r="R85" s="478"/>
      <c r="S85" s="478"/>
      <c r="T85" s="478"/>
      <c r="U85" s="478"/>
      <c r="V85" s="479"/>
      <c r="W85" s="479"/>
      <c r="X85" s="479"/>
      <c r="Y85" s="480"/>
      <c r="Z85" s="480"/>
      <c r="AA85" s="480"/>
      <c r="AB85" s="480"/>
      <c r="AC85" s="480"/>
      <c r="AD85" s="481"/>
      <c r="AF85" s="50"/>
    </row>
    <row r="86" spans="1:32" ht="30.75" customHeight="1">
      <c r="A86" s="455">
        <v>2</v>
      </c>
      <c r="B86" s="456"/>
      <c r="C86" s="489"/>
      <c r="D86" s="489"/>
      <c r="E86" s="489"/>
      <c r="F86" s="489"/>
      <c r="G86" s="489"/>
      <c r="H86" s="489"/>
      <c r="I86" s="489"/>
      <c r="J86" s="489"/>
      <c r="K86" s="489"/>
      <c r="L86" s="489"/>
      <c r="M86" s="489"/>
      <c r="N86" s="489"/>
      <c r="O86" s="489"/>
      <c r="P86" s="489"/>
      <c r="Q86" s="489"/>
      <c r="R86" s="489"/>
      <c r="S86" s="489"/>
      <c r="T86" s="490"/>
      <c r="U86" s="490"/>
      <c r="V86" s="491"/>
      <c r="W86" s="491"/>
      <c r="X86" s="491"/>
      <c r="Y86" s="482"/>
      <c r="Z86" s="482"/>
      <c r="AA86" s="482"/>
      <c r="AB86" s="482"/>
      <c r="AC86" s="482"/>
      <c r="AD86" s="483"/>
      <c r="AF86" s="50"/>
    </row>
    <row r="87" spans="1:32" ht="30.75" customHeight="1" thickBot="1">
      <c r="A87" s="484">
        <v>3</v>
      </c>
      <c r="B87" s="485"/>
      <c r="C87" s="486"/>
      <c r="D87" s="486"/>
      <c r="E87" s="486"/>
      <c r="F87" s="486"/>
      <c r="G87" s="486"/>
      <c r="H87" s="486"/>
      <c r="I87" s="486"/>
      <c r="J87" s="486"/>
      <c r="K87" s="486"/>
      <c r="L87" s="486"/>
      <c r="M87" s="486"/>
      <c r="N87" s="486"/>
      <c r="O87" s="486"/>
      <c r="P87" s="486"/>
      <c r="Q87" s="486"/>
      <c r="R87" s="486"/>
      <c r="S87" s="486"/>
      <c r="T87" s="486"/>
      <c r="U87" s="486"/>
      <c r="V87" s="486"/>
      <c r="W87" s="486"/>
      <c r="X87" s="486"/>
      <c r="Y87" s="487"/>
      <c r="Z87" s="487"/>
      <c r="AA87" s="487"/>
      <c r="AB87" s="487"/>
      <c r="AC87" s="487"/>
      <c r="AD87" s="488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14BE-31DF-42AC-84F5-44B329FC5A22}">
  <dimension ref="A1:AF89"/>
  <sheetViews>
    <sheetView view="pageBreakPreview" zoomScale="70" zoomScaleNormal="72" zoomScaleSheetLayoutView="70" workbookViewId="0">
      <selection activeCell="A86" sqref="A86:B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70" t="s">
        <v>210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5"/>
      <c r="T4" s="405"/>
      <c r="U4" s="405"/>
      <c r="V4" s="405"/>
      <c r="W4" s="406" t="s">
        <v>11</v>
      </c>
      <c r="X4" s="405"/>
      <c r="Y4" s="405"/>
      <c r="Z4" s="405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134" t="s">
        <v>17</v>
      </c>
      <c r="L5" s="134" t="s">
        <v>18</v>
      </c>
      <c r="M5" s="134" t="s">
        <v>19</v>
      </c>
      <c r="N5" s="13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30" customHeight="1">
      <c r="A6" s="96">
        <v>1</v>
      </c>
      <c r="B6" s="11" t="s">
        <v>57</v>
      </c>
      <c r="C6" s="34" t="s">
        <v>119</v>
      </c>
      <c r="D6" s="52" t="s">
        <v>131</v>
      </c>
      <c r="E6" s="53" t="s">
        <v>139</v>
      </c>
      <c r="F6" s="30" t="s">
        <v>133</v>
      </c>
      <c r="G6" s="12">
        <v>1</v>
      </c>
      <c r="H6" s="13">
        <v>24</v>
      </c>
      <c r="I6" s="7">
        <v>20000</v>
      </c>
      <c r="J6" s="14">
        <v>2814</v>
      </c>
      <c r="K6" s="15">
        <f>L6+4797+2971+5466+4155+4741+2184</f>
        <v>24314</v>
      </c>
      <c r="L6" s="15"/>
      <c r="M6" s="15">
        <f t="shared" ref="M6:M23" si="0">L6-N6</f>
        <v>0</v>
      </c>
      <c r="N6" s="15">
        <v>0</v>
      </c>
      <c r="O6" s="58" t="str">
        <f t="shared" ref="O6:O24" si="1">IF(L6=0,"0",N6/L6)</f>
        <v>0</v>
      </c>
      <c r="P6" s="39" t="str">
        <f t="shared" ref="P6:P23" si="2">IF(L6=0,"0",(24-Q6))</f>
        <v>0</v>
      </c>
      <c r="Q6" s="40">
        <f t="shared" ref="Q6:Q23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3" si="4">IF(J6=0,"0",(L6/J6))</f>
        <v>0</v>
      </c>
      <c r="AC6" s="9">
        <f t="shared" ref="AC6:AC23" si="5">IF(P6=0,"0",(P6/24))</f>
        <v>0</v>
      </c>
      <c r="AD6" s="10">
        <f t="shared" ref="AD6:AD23" si="6">AC6*AB6*(1-O6)</f>
        <v>0</v>
      </c>
      <c r="AE6" s="36">
        <f t="shared" ref="AE6:AE23" si="7">$AD$24</f>
        <v>0.40277777777777779</v>
      </c>
      <c r="AF6" s="84">
        <f t="shared" ref="AF6:AF23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 t="s">
        <v>147</v>
      </c>
      <c r="E7" s="53" t="s">
        <v>165</v>
      </c>
      <c r="F7" s="12" t="s">
        <v>166</v>
      </c>
      <c r="G7" s="12">
        <v>4</v>
      </c>
      <c r="H7" s="13">
        <v>24</v>
      </c>
      <c r="I7" s="31">
        <v>10000</v>
      </c>
      <c r="J7" s="14">
        <v>23552</v>
      </c>
      <c r="K7" s="15">
        <f>L7+23552</f>
        <v>23552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0.40277777777777779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119</v>
      </c>
      <c r="D8" s="52" t="s">
        <v>147</v>
      </c>
      <c r="E8" s="53" t="s">
        <v>167</v>
      </c>
      <c r="F8" s="30" t="s">
        <v>168</v>
      </c>
      <c r="G8" s="33">
        <v>2</v>
      </c>
      <c r="H8" s="35">
        <v>24</v>
      </c>
      <c r="I8" s="7">
        <v>40000</v>
      </c>
      <c r="J8" s="5">
        <v>13056</v>
      </c>
      <c r="K8" s="15">
        <f>L8+12262</f>
        <v>25318</v>
      </c>
      <c r="L8" s="15">
        <f>3330*2+3198*2</f>
        <v>13056</v>
      </c>
      <c r="M8" s="15">
        <f t="shared" si="0"/>
        <v>13056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0.40277777777777779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119</v>
      </c>
      <c r="D9" s="52" t="s">
        <v>146</v>
      </c>
      <c r="E9" s="53" t="s">
        <v>155</v>
      </c>
      <c r="F9" s="30" t="s">
        <v>142</v>
      </c>
      <c r="G9" s="12">
        <v>1</v>
      </c>
      <c r="H9" s="13">
        <v>24</v>
      </c>
      <c r="I9" s="7">
        <v>12000</v>
      </c>
      <c r="J9" s="14">
        <v>5165</v>
      </c>
      <c r="K9" s="15">
        <f>L9+5165</f>
        <v>5165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>
        <v>24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0.40277777777777779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119</v>
      </c>
      <c r="D10" s="52" t="s">
        <v>115</v>
      </c>
      <c r="E10" s="53" t="s">
        <v>159</v>
      </c>
      <c r="F10" s="30" t="s">
        <v>158</v>
      </c>
      <c r="G10" s="33">
        <v>4</v>
      </c>
      <c r="H10" s="35">
        <v>24</v>
      </c>
      <c r="I10" s="7">
        <v>40000</v>
      </c>
      <c r="J10" s="14">
        <v>10705</v>
      </c>
      <c r="K10" s="15">
        <f>L10+7400+6230</f>
        <v>24335</v>
      </c>
      <c r="L10" s="15">
        <f>2729*3+1259*2</f>
        <v>10705</v>
      </c>
      <c r="M10" s="15">
        <f t="shared" si="0"/>
        <v>10705</v>
      </c>
      <c r="N10" s="15">
        <v>0</v>
      </c>
      <c r="O10" s="58">
        <f t="shared" si="1"/>
        <v>0</v>
      </c>
      <c r="P10" s="39">
        <f t="shared" si="2"/>
        <v>21</v>
      </c>
      <c r="Q10" s="40">
        <f t="shared" si="3"/>
        <v>3</v>
      </c>
      <c r="R10" s="7"/>
      <c r="S10" s="6">
        <v>3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0.875</v>
      </c>
      <c r="AD10" s="10">
        <f t="shared" si="6"/>
        <v>0.875</v>
      </c>
      <c r="AE10" s="36">
        <f t="shared" si="7"/>
        <v>0.40277777777777779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125</v>
      </c>
      <c r="E11" s="53" t="s">
        <v>205</v>
      </c>
      <c r="F11" s="30" t="s">
        <v>206</v>
      </c>
      <c r="G11" s="33">
        <v>1</v>
      </c>
      <c r="H11" s="35">
        <v>24</v>
      </c>
      <c r="I11" s="7">
        <v>1000</v>
      </c>
      <c r="J11" s="14">
        <v>1247</v>
      </c>
      <c r="K11" s="15">
        <f>L11</f>
        <v>1247</v>
      </c>
      <c r="L11" s="15">
        <v>1247</v>
      </c>
      <c r="M11" s="15">
        <f t="shared" si="0"/>
        <v>1247</v>
      </c>
      <c r="N11" s="15">
        <v>0</v>
      </c>
      <c r="O11" s="58">
        <f t="shared" si="1"/>
        <v>0</v>
      </c>
      <c r="P11" s="39">
        <f t="shared" si="2"/>
        <v>6</v>
      </c>
      <c r="Q11" s="40">
        <f t="shared" si="3"/>
        <v>18</v>
      </c>
      <c r="R11" s="7"/>
      <c r="S11" s="6"/>
      <c r="T11" s="16"/>
      <c r="U11" s="16"/>
      <c r="V11" s="17"/>
      <c r="W11" s="5">
        <v>18</v>
      </c>
      <c r="X11" s="16"/>
      <c r="Y11" s="16"/>
      <c r="Z11" s="16"/>
      <c r="AA11" s="18"/>
      <c r="AB11" s="8">
        <f t="shared" si="4"/>
        <v>1</v>
      </c>
      <c r="AC11" s="9">
        <f t="shared" si="5"/>
        <v>0.25</v>
      </c>
      <c r="AD11" s="10">
        <f t="shared" si="6"/>
        <v>0.25</v>
      </c>
      <c r="AE11" s="36">
        <f t="shared" si="7"/>
        <v>0.40277777777777779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149</v>
      </c>
      <c r="F12" s="30" t="s">
        <v>142</v>
      </c>
      <c r="G12" s="12">
        <v>1</v>
      </c>
      <c r="H12" s="13">
        <v>22</v>
      </c>
      <c r="I12" s="31">
        <v>100000</v>
      </c>
      <c r="J12" s="5">
        <v>3593</v>
      </c>
      <c r="K12" s="15">
        <f>L12+3980+4963+4857+4991+5052+5074+5369+4402+4760+5003+4109+5018+5406+4902+5041+5019+5033+5053+4646</f>
        <v>96271</v>
      </c>
      <c r="L12" s="15">
        <f>1326+2267</f>
        <v>3593</v>
      </c>
      <c r="M12" s="15">
        <f t="shared" si="0"/>
        <v>3593</v>
      </c>
      <c r="N12" s="15">
        <v>0</v>
      </c>
      <c r="O12" s="58">
        <f t="shared" si="1"/>
        <v>0</v>
      </c>
      <c r="P12" s="39">
        <f t="shared" si="2"/>
        <v>18</v>
      </c>
      <c r="Q12" s="40">
        <f t="shared" si="3"/>
        <v>6</v>
      </c>
      <c r="R12" s="7"/>
      <c r="S12" s="6">
        <v>6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0.75</v>
      </c>
      <c r="AD12" s="10">
        <f t="shared" si="6"/>
        <v>0.75</v>
      </c>
      <c r="AE12" s="36">
        <f t="shared" si="7"/>
        <v>0.40277777777777779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162</v>
      </c>
      <c r="D13" s="52"/>
      <c r="E13" s="53" t="s">
        <v>161</v>
      </c>
      <c r="F13" s="30" t="s">
        <v>169</v>
      </c>
      <c r="G13" s="12">
        <v>1</v>
      </c>
      <c r="H13" s="13">
        <v>24</v>
      </c>
      <c r="I13" s="31">
        <v>6000</v>
      </c>
      <c r="J13" s="14">
        <v>3316</v>
      </c>
      <c r="K13" s="15">
        <f>L13+3566</f>
        <v>6882</v>
      </c>
      <c r="L13" s="15">
        <f>998+2318</f>
        <v>3316</v>
      </c>
      <c r="M13" s="15">
        <f t="shared" si="0"/>
        <v>3316</v>
      </c>
      <c r="N13" s="15">
        <v>0</v>
      </c>
      <c r="O13" s="58">
        <f t="shared" si="1"/>
        <v>0</v>
      </c>
      <c r="P13" s="39">
        <f t="shared" si="2"/>
        <v>19</v>
      </c>
      <c r="Q13" s="40">
        <f t="shared" si="3"/>
        <v>5</v>
      </c>
      <c r="R13" s="7"/>
      <c r="S13" s="6">
        <v>5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0.79166666666666663</v>
      </c>
      <c r="AD13" s="10">
        <f>AC13*AB13*(1-O13)</f>
        <v>0.79166666666666663</v>
      </c>
      <c r="AE13" s="36">
        <f t="shared" si="7"/>
        <v>0.40277777777777779</v>
      </c>
      <c r="AF13" s="84">
        <f t="shared" si="8"/>
        <v>8</v>
      </c>
    </row>
    <row r="14" spans="1:32" ht="27" customHeight="1">
      <c r="A14" s="105">
        <v>9</v>
      </c>
      <c r="B14" s="11" t="s">
        <v>156</v>
      </c>
      <c r="C14" s="34" t="s">
        <v>112</v>
      </c>
      <c r="D14" s="52" t="s">
        <v>115</v>
      </c>
      <c r="E14" s="53" t="s">
        <v>153</v>
      </c>
      <c r="F14" s="30" t="s">
        <v>144</v>
      </c>
      <c r="G14" s="33">
        <v>1</v>
      </c>
      <c r="H14" s="35">
        <v>50</v>
      </c>
      <c r="I14" s="7">
        <v>50</v>
      </c>
      <c r="J14" s="5"/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0.40277777777777779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125</v>
      </c>
      <c r="E15" s="53" t="s">
        <v>150</v>
      </c>
      <c r="F15" s="12" t="s">
        <v>138</v>
      </c>
      <c r="G15" s="12">
        <v>1</v>
      </c>
      <c r="H15" s="13">
        <v>24</v>
      </c>
      <c r="I15" s="31">
        <v>6500</v>
      </c>
      <c r="J15" s="14">
        <v>5214</v>
      </c>
      <c r="K15" s="15">
        <f>L15+2059+5272+5214</f>
        <v>12545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0.40277777777777779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195</v>
      </c>
      <c r="E16" s="53" t="s">
        <v>193</v>
      </c>
      <c r="F16" s="30" t="s">
        <v>169</v>
      </c>
      <c r="G16" s="12">
        <v>1</v>
      </c>
      <c r="H16" s="13">
        <v>24</v>
      </c>
      <c r="I16" s="7">
        <v>1000</v>
      </c>
      <c r="J16" s="14">
        <v>4826</v>
      </c>
      <c r="K16" s="15">
        <f>L16</f>
        <v>4826</v>
      </c>
      <c r="L16" s="15">
        <f>2413+2413</f>
        <v>4826</v>
      </c>
      <c r="M16" s="15">
        <f t="shared" si="0"/>
        <v>4826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0.40277777777777779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119</v>
      </c>
      <c r="D17" s="52" t="s">
        <v>131</v>
      </c>
      <c r="E17" s="53" t="s">
        <v>157</v>
      </c>
      <c r="F17" s="30" t="s">
        <v>132</v>
      </c>
      <c r="G17" s="12">
        <v>4</v>
      </c>
      <c r="H17" s="13">
        <v>24</v>
      </c>
      <c r="I17" s="7">
        <v>40000</v>
      </c>
      <c r="J17" s="14">
        <v>13308</v>
      </c>
      <c r="K17" s="15">
        <f>L17+17212+22068</f>
        <v>52588</v>
      </c>
      <c r="L17" s="15">
        <f>2828*4+499*4</f>
        <v>13308</v>
      </c>
      <c r="M17" s="15">
        <f t="shared" si="0"/>
        <v>13308</v>
      </c>
      <c r="N17" s="15">
        <v>0</v>
      </c>
      <c r="O17" s="58">
        <f t="shared" si="1"/>
        <v>0</v>
      </c>
      <c r="P17" s="39">
        <f t="shared" si="2"/>
        <v>17</v>
      </c>
      <c r="Q17" s="40">
        <f t="shared" si="3"/>
        <v>7</v>
      </c>
      <c r="R17" s="7"/>
      <c r="S17" s="6"/>
      <c r="T17" s="16"/>
      <c r="U17" s="16"/>
      <c r="V17" s="17"/>
      <c r="W17" s="5">
        <v>7</v>
      </c>
      <c r="X17" s="16"/>
      <c r="Y17" s="16"/>
      <c r="Z17" s="16"/>
      <c r="AA17" s="18"/>
      <c r="AB17" s="8">
        <f t="shared" si="4"/>
        <v>1</v>
      </c>
      <c r="AC17" s="9">
        <f t="shared" si="5"/>
        <v>0.70833333333333337</v>
      </c>
      <c r="AD17" s="10">
        <f t="shared" si="6"/>
        <v>0.70833333333333337</v>
      </c>
      <c r="AE17" s="36">
        <f t="shared" si="7"/>
        <v>0.40277777777777779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182</v>
      </c>
      <c r="F18" s="30" t="s">
        <v>169</v>
      </c>
      <c r="G18" s="33">
        <v>1</v>
      </c>
      <c r="H18" s="35">
        <v>24</v>
      </c>
      <c r="I18" s="7">
        <v>10000</v>
      </c>
      <c r="J18" s="14">
        <v>677</v>
      </c>
      <c r="K18" s="15">
        <f>L18</f>
        <v>677</v>
      </c>
      <c r="L18" s="15">
        <f>677</f>
        <v>677</v>
      </c>
      <c r="M18" s="15">
        <f t="shared" si="0"/>
        <v>677</v>
      </c>
      <c r="N18" s="15">
        <v>0</v>
      </c>
      <c r="O18" s="58">
        <f t="shared" si="1"/>
        <v>0</v>
      </c>
      <c r="P18" s="39">
        <f t="shared" si="2"/>
        <v>4</v>
      </c>
      <c r="Q18" s="40">
        <f t="shared" si="3"/>
        <v>20</v>
      </c>
      <c r="R18" s="7"/>
      <c r="S18" s="6">
        <v>20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0.16666666666666666</v>
      </c>
      <c r="AD18" s="10">
        <f t="shared" si="6"/>
        <v>0.16666666666666666</v>
      </c>
      <c r="AE18" s="36">
        <f t="shared" si="7"/>
        <v>0.40277777777777779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125</v>
      </c>
      <c r="E19" s="53" t="s">
        <v>196</v>
      </c>
      <c r="F19" s="30" t="s">
        <v>211</v>
      </c>
      <c r="G19" s="33">
        <v>1</v>
      </c>
      <c r="H19" s="35">
        <v>24</v>
      </c>
      <c r="I19" s="7">
        <v>1000</v>
      </c>
      <c r="J19" s="14">
        <v>1101</v>
      </c>
      <c r="K19" s="15">
        <f>L19</f>
        <v>1101</v>
      </c>
      <c r="L19" s="15">
        <f>1101</f>
        <v>1101</v>
      </c>
      <c r="M19" s="15">
        <f t="shared" ref="M19:M20" si="9">L19-N19</f>
        <v>1101</v>
      </c>
      <c r="N19" s="15">
        <v>0</v>
      </c>
      <c r="O19" s="58">
        <f t="shared" ref="O19:O20" si="10">IF(L19=0,"0",N19/L19)</f>
        <v>0</v>
      </c>
      <c r="P19" s="39">
        <f t="shared" ref="P19:P20" si="11">IF(L19=0,"0",(24-Q19))</f>
        <v>5</v>
      </c>
      <c r="Q19" s="40">
        <f t="shared" ref="Q19:Q20" si="12">SUM(R19:AA19)</f>
        <v>19</v>
      </c>
      <c r="R19" s="7"/>
      <c r="S19" s="6"/>
      <c r="T19" s="16"/>
      <c r="U19" s="16"/>
      <c r="V19" s="17"/>
      <c r="W19" s="5">
        <v>19</v>
      </c>
      <c r="X19" s="16"/>
      <c r="Y19" s="16"/>
      <c r="Z19" s="16"/>
      <c r="AA19" s="18"/>
      <c r="AB19" s="8">
        <f t="shared" ref="AB19:AB20" si="13">IF(J19=0,"0",(L19/J19))</f>
        <v>1</v>
      </c>
      <c r="AC19" s="9">
        <f t="shared" ref="AC19:AC20" si="14">IF(P19=0,"0",(P19/24))</f>
        <v>0.20833333333333334</v>
      </c>
      <c r="AD19" s="10">
        <f t="shared" ref="AD19:AD20" si="15">AC19*AB19*(1-O19)</f>
        <v>0.20833333333333334</v>
      </c>
      <c r="AE19" s="36">
        <f t="shared" si="7"/>
        <v>0.40277777777777779</v>
      </c>
      <c r="AF19" s="84">
        <f t="shared" ref="AF19:AF20" si="16">A19</f>
        <v>14</v>
      </c>
    </row>
    <row r="20" spans="1:32" ht="27" customHeight="1">
      <c r="A20" s="96">
        <v>14</v>
      </c>
      <c r="B20" s="11" t="s">
        <v>57</v>
      </c>
      <c r="C20" s="11" t="s">
        <v>118</v>
      </c>
      <c r="D20" s="52" t="s">
        <v>202</v>
      </c>
      <c r="E20" s="53" t="s">
        <v>148</v>
      </c>
      <c r="F20" s="30" t="s">
        <v>211</v>
      </c>
      <c r="G20" s="33">
        <v>1</v>
      </c>
      <c r="H20" s="35">
        <v>24</v>
      </c>
      <c r="I20" s="7">
        <v>300</v>
      </c>
      <c r="J20" s="14">
        <v>623</v>
      </c>
      <c r="K20" s="15">
        <f>L20</f>
        <v>623</v>
      </c>
      <c r="L20" s="15">
        <f>401+222</f>
        <v>623</v>
      </c>
      <c r="M20" s="15">
        <f t="shared" si="9"/>
        <v>623</v>
      </c>
      <c r="N20" s="15">
        <v>0</v>
      </c>
      <c r="O20" s="58">
        <f t="shared" si="10"/>
        <v>0</v>
      </c>
      <c r="P20" s="39">
        <f t="shared" si="11"/>
        <v>4</v>
      </c>
      <c r="Q20" s="40">
        <f t="shared" si="12"/>
        <v>20</v>
      </c>
      <c r="R20" s="7"/>
      <c r="S20" s="6"/>
      <c r="T20" s="16"/>
      <c r="U20" s="16"/>
      <c r="V20" s="17"/>
      <c r="W20" s="5">
        <v>20</v>
      </c>
      <c r="X20" s="16"/>
      <c r="Y20" s="16"/>
      <c r="Z20" s="16"/>
      <c r="AA20" s="18"/>
      <c r="AB20" s="8">
        <f t="shared" si="13"/>
        <v>1</v>
      </c>
      <c r="AC20" s="9">
        <f t="shared" si="14"/>
        <v>0.16666666666666666</v>
      </c>
      <c r="AD20" s="10">
        <f t="shared" si="15"/>
        <v>0.16666666666666666</v>
      </c>
      <c r="AE20" s="36">
        <f t="shared" si="7"/>
        <v>0.40277777777777779</v>
      </c>
      <c r="AF20" s="84">
        <f t="shared" si="16"/>
        <v>14</v>
      </c>
    </row>
    <row r="21" spans="1:32" ht="27" customHeight="1">
      <c r="A21" s="96">
        <v>14</v>
      </c>
      <c r="B21" s="11" t="s">
        <v>57</v>
      </c>
      <c r="C21" s="11" t="s">
        <v>118</v>
      </c>
      <c r="D21" s="52" t="s">
        <v>115</v>
      </c>
      <c r="E21" s="53" t="s">
        <v>212</v>
      </c>
      <c r="F21" s="30" t="s">
        <v>213</v>
      </c>
      <c r="G21" s="33">
        <v>1</v>
      </c>
      <c r="H21" s="35">
        <v>24</v>
      </c>
      <c r="I21" s="7">
        <v>1000</v>
      </c>
      <c r="J21" s="14">
        <v>1252</v>
      </c>
      <c r="K21" s="15">
        <f>L21</f>
        <v>1252</v>
      </c>
      <c r="L21" s="15">
        <v>1252</v>
      </c>
      <c r="M21" s="15">
        <f t="shared" si="0"/>
        <v>1252</v>
      </c>
      <c r="N21" s="15">
        <v>0</v>
      </c>
      <c r="O21" s="58">
        <f t="shared" si="1"/>
        <v>0</v>
      </c>
      <c r="P21" s="39">
        <f t="shared" si="2"/>
        <v>7</v>
      </c>
      <c r="Q21" s="40">
        <f t="shared" si="3"/>
        <v>17</v>
      </c>
      <c r="R21" s="7"/>
      <c r="S21" s="6"/>
      <c r="T21" s="16"/>
      <c r="U21" s="16"/>
      <c r="V21" s="17"/>
      <c r="W21" s="5">
        <v>17</v>
      </c>
      <c r="X21" s="16"/>
      <c r="Y21" s="16"/>
      <c r="Z21" s="16"/>
      <c r="AA21" s="18"/>
      <c r="AB21" s="8">
        <f t="shared" si="4"/>
        <v>1</v>
      </c>
      <c r="AC21" s="9">
        <f t="shared" si="5"/>
        <v>0.29166666666666669</v>
      </c>
      <c r="AD21" s="10">
        <f t="shared" si="6"/>
        <v>0.29166666666666669</v>
      </c>
      <c r="AE21" s="36">
        <f t="shared" si="7"/>
        <v>0.40277777777777779</v>
      </c>
      <c r="AF21" s="84">
        <f t="shared" si="8"/>
        <v>14</v>
      </c>
    </row>
    <row r="22" spans="1:32" ht="30" customHeight="1">
      <c r="A22" s="112">
        <v>15</v>
      </c>
      <c r="B22" s="11" t="s">
        <v>57</v>
      </c>
      <c r="C22" s="34" t="s">
        <v>112</v>
      </c>
      <c r="D22" s="52" t="s">
        <v>115</v>
      </c>
      <c r="E22" s="53" t="s">
        <v>151</v>
      </c>
      <c r="F22" s="30" t="s">
        <v>142</v>
      </c>
      <c r="G22" s="12">
        <v>1</v>
      </c>
      <c r="H22" s="13">
        <v>24</v>
      </c>
      <c r="I22" s="7">
        <v>52000</v>
      </c>
      <c r="J22" s="14">
        <v>3247</v>
      </c>
      <c r="K22" s="15">
        <f>L22+2928+5476+5823+3267+3626+5491+5401+5798+4186</f>
        <v>45243</v>
      </c>
      <c r="L22" s="15">
        <f>303+2944</f>
        <v>3247</v>
      </c>
      <c r="M22" s="15">
        <f t="shared" si="0"/>
        <v>3247</v>
      </c>
      <c r="N22" s="15">
        <v>0</v>
      </c>
      <c r="O22" s="58">
        <f t="shared" si="1"/>
        <v>0</v>
      </c>
      <c r="P22" s="39">
        <f t="shared" si="2"/>
        <v>15</v>
      </c>
      <c r="Q22" s="40">
        <f t="shared" si="3"/>
        <v>9</v>
      </c>
      <c r="R22" s="7"/>
      <c r="S22" s="6">
        <v>9</v>
      </c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0.625</v>
      </c>
      <c r="AD22" s="10">
        <f t="shared" si="6"/>
        <v>0.625</v>
      </c>
      <c r="AE22" s="36">
        <f t="shared" si="7"/>
        <v>0.40277777777777779</v>
      </c>
      <c r="AF22" s="84">
        <f t="shared" si="8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140</v>
      </c>
      <c r="F23" s="12" t="s">
        <v>114</v>
      </c>
      <c r="G23" s="12">
        <v>4</v>
      </c>
      <c r="H23" s="35">
        <v>20</v>
      </c>
      <c r="I23" s="7">
        <v>500000</v>
      </c>
      <c r="J23" s="14">
        <v>29516</v>
      </c>
      <c r="K23" s="15">
        <f>L23</f>
        <v>29516</v>
      </c>
      <c r="L23" s="15">
        <f>6866*4+513*4</f>
        <v>29516</v>
      </c>
      <c r="M23" s="15">
        <f t="shared" si="0"/>
        <v>29516</v>
      </c>
      <c r="N23" s="15">
        <v>0</v>
      </c>
      <c r="O23" s="58">
        <f t="shared" si="1"/>
        <v>0</v>
      </c>
      <c r="P23" s="39">
        <f t="shared" si="2"/>
        <v>10</v>
      </c>
      <c r="Q23" s="40">
        <f t="shared" si="3"/>
        <v>14</v>
      </c>
      <c r="R23" s="7"/>
      <c r="S23" s="6"/>
      <c r="T23" s="16"/>
      <c r="U23" s="16"/>
      <c r="V23" s="17">
        <v>14</v>
      </c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0.41666666666666669</v>
      </c>
      <c r="AD23" s="10">
        <f t="shared" si="6"/>
        <v>0.41666666666666669</v>
      </c>
      <c r="AE23" s="36">
        <f t="shared" si="7"/>
        <v>0.40277777777777779</v>
      </c>
      <c r="AF23" s="84">
        <f t="shared" si="8"/>
        <v>16</v>
      </c>
    </row>
    <row r="24" spans="1:32" ht="31.5" customHeight="1" thickBot="1">
      <c r="A24" s="384" t="s">
        <v>34</v>
      </c>
      <c r="B24" s="385"/>
      <c r="C24" s="385"/>
      <c r="D24" s="385"/>
      <c r="E24" s="385"/>
      <c r="F24" s="385"/>
      <c r="G24" s="385"/>
      <c r="H24" s="386"/>
      <c r="I24" s="22">
        <f t="shared" ref="I24:N24" si="17">SUM(I6:I23)</f>
        <v>840850</v>
      </c>
      <c r="J24" s="19">
        <f t="shared" si="17"/>
        <v>123212</v>
      </c>
      <c r="K24" s="20">
        <f t="shared" si="17"/>
        <v>355455</v>
      </c>
      <c r="L24" s="21">
        <f t="shared" si="17"/>
        <v>86467</v>
      </c>
      <c r="M24" s="20">
        <f t="shared" si="17"/>
        <v>86467</v>
      </c>
      <c r="N24" s="21">
        <f t="shared" si="17"/>
        <v>0</v>
      </c>
      <c r="O24" s="41">
        <f t="shared" si="1"/>
        <v>0</v>
      </c>
      <c r="P24" s="42">
        <f t="shared" ref="P24:AA24" si="18">SUM(P6:P23)</f>
        <v>174</v>
      </c>
      <c r="Q24" s="43">
        <f t="shared" si="18"/>
        <v>258</v>
      </c>
      <c r="R24" s="23">
        <f t="shared" si="18"/>
        <v>0</v>
      </c>
      <c r="S24" s="24">
        <f t="shared" si="18"/>
        <v>67</v>
      </c>
      <c r="T24" s="24">
        <f t="shared" si="18"/>
        <v>0</v>
      </c>
      <c r="U24" s="24">
        <f t="shared" si="18"/>
        <v>0</v>
      </c>
      <c r="V24" s="25">
        <f t="shared" si="18"/>
        <v>14</v>
      </c>
      <c r="W24" s="26">
        <f t="shared" si="18"/>
        <v>177</v>
      </c>
      <c r="X24" s="27">
        <f t="shared" si="18"/>
        <v>0</v>
      </c>
      <c r="Y24" s="27">
        <f t="shared" si="18"/>
        <v>0</v>
      </c>
      <c r="Z24" s="27">
        <f t="shared" si="18"/>
        <v>0</v>
      </c>
      <c r="AA24" s="27">
        <f t="shared" si="18"/>
        <v>0</v>
      </c>
      <c r="AB24" s="28">
        <f>AVERAGE(AB6:AB23)</f>
        <v>0.76470588235294112</v>
      </c>
      <c r="AC24" s="4">
        <f>AVERAGE(AC6:AC23)</f>
        <v>0.40277777777777779</v>
      </c>
      <c r="AD24" s="4">
        <f>AVERAGE(AD6:AD23)</f>
        <v>0.40277777777777779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387" t="s">
        <v>45</v>
      </c>
      <c r="B51" s="387"/>
      <c r="C51" s="387"/>
      <c r="D51" s="387"/>
      <c r="E51" s="387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388" t="s">
        <v>214</v>
      </c>
      <c r="B52" s="389"/>
      <c r="C52" s="389"/>
      <c r="D52" s="389"/>
      <c r="E52" s="389"/>
      <c r="F52" s="389"/>
      <c r="G52" s="389"/>
      <c r="H52" s="389"/>
      <c r="I52" s="389"/>
      <c r="J52" s="389"/>
      <c r="K52" s="389"/>
      <c r="L52" s="389"/>
      <c r="M52" s="390"/>
      <c r="N52" s="391" t="s">
        <v>218</v>
      </c>
      <c r="O52" s="392"/>
      <c r="P52" s="392"/>
      <c r="Q52" s="392"/>
      <c r="R52" s="392"/>
      <c r="S52" s="392"/>
      <c r="T52" s="392"/>
      <c r="U52" s="392"/>
      <c r="V52" s="392"/>
      <c r="W52" s="392"/>
      <c r="X52" s="392"/>
      <c r="Y52" s="392"/>
      <c r="Z52" s="392"/>
      <c r="AA52" s="392"/>
      <c r="AB52" s="392"/>
      <c r="AC52" s="392"/>
      <c r="AD52" s="393"/>
    </row>
    <row r="53" spans="1:32" ht="27" customHeight="1">
      <c r="A53" s="394" t="s">
        <v>2</v>
      </c>
      <c r="B53" s="395"/>
      <c r="C53" s="135" t="s">
        <v>46</v>
      </c>
      <c r="D53" s="135" t="s">
        <v>47</v>
      </c>
      <c r="E53" s="135" t="s">
        <v>107</v>
      </c>
      <c r="F53" s="396" t="s">
        <v>106</v>
      </c>
      <c r="G53" s="397"/>
      <c r="H53" s="397"/>
      <c r="I53" s="397"/>
      <c r="J53" s="397"/>
      <c r="K53" s="397"/>
      <c r="L53" s="397"/>
      <c r="M53" s="398"/>
      <c r="N53" s="67" t="s">
        <v>110</v>
      </c>
      <c r="O53" s="135" t="s">
        <v>46</v>
      </c>
      <c r="P53" s="396" t="s">
        <v>47</v>
      </c>
      <c r="Q53" s="399"/>
      <c r="R53" s="396" t="s">
        <v>38</v>
      </c>
      <c r="S53" s="397"/>
      <c r="T53" s="397"/>
      <c r="U53" s="399"/>
      <c r="V53" s="396" t="s">
        <v>48</v>
      </c>
      <c r="W53" s="397"/>
      <c r="X53" s="397"/>
      <c r="Y53" s="397"/>
      <c r="Z53" s="397"/>
      <c r="AA53" s="397"/>
      <c r="AB53" s="397"/>
      <c r="AC53" s="397"/>
      <c r="AD53" s="398"/>
    </row>
    <row r="54" spans="1:32" ht="27" customHeight="1">
      <c r="A54" s="420" t="s">
        <v>119</v>
      </c>
      <c r="B54" s="421"/>
      <c r="C54" s="138" t="s">
        <v>137</v>
      </c>
      <c r="D54" s="138" t="s">
        <v>146</v>
      </c>
      <c r="E54" s="138" t="s">
        <v>155</v>
      </c>
      <c r="F54" s="412" t="s">
        <v>215</v>
      </c>
      <c r="G54" s="413"/>
      <c r="H54" s="413"/>
      <c r="I54" s="413"/>
      <c r="J54" s="413"/>
      <c r="K54" s="413"/>
      <c r="L54" s="413"/>
      <c r="M54" s="414"/>
      <c r="N54" s="137" t="s">
        <v>119</v>
      </c>
      <c r="O54" s="143" t="s">
        <v>184</v>
      </c>
      <c r="P54" s="415" t="s">
        <v>146</v>
      </c>
      <c r="Q54" s="416"/>
      <c r="R54" s="415" t="s">
        <v>155</v>
      </c>
      <c r="S54" s="417"/>
      <c r="T54" s="417"/>
      <c r="U54" s="416"/>
      <c r="V54" s="418" t="s">
        <v>126</v>
      </c>
      <c r="W54" s="418"/>
      <c r="X54" s="418"/>
      <c r="Y54" s="418"/>
      <c r="Z54" s="418"/>
      <c r="AA54" s="418"/>
      <c r="AB54" s="418"/>
      <c r="AC54" s="418"/>
      <c r="AD54" s="419"/>
    </row>
    <row r="55" spans="1:32" ht="27" customHeight="1">
      <c r="A55" s="410" t="s">
        <v>119</v>
      </c>
      <c r="B55" s="411"/>
      <c r="C55" s="136" t="s">
        <v>187</v>
      </c>
      <c r="D55" s="136" t="s">
        <v>115</v>
      </c>
      <c r="E55" s="138" t="s">
        <v>159</v>
      </c>
      <c r="F55" s="412" t="s">
        <v>216</v>
      </c>
      <c r="G55" s="413"/>
      <c r="H55" s="413"/>
      <c r="I55" s="413"/>
      <c r="J55" s="413"/>
      <c r="K55" s="413"/>
      <c r="L55" s="413"/>
      <c r="M55" s="414"/>
      <c r="N55" s="137" t="s">
        <v>118</v>
      </c>
      <c r="O55" s="143" t="s">
        <v>219</v>
      </c>
      <c r="P55" s="415" t="s">
        <v>115</v>
      </c>
      <c r="Q55" s="416"/>
      <c r="R55" s="415" t="s">
        <v>220</v>
      </c>
      <c r="S55" s="417"/>
      <c r="T55" s="417"/>
      <c r="U55" s="416"/>
      <c r="V55" s="418" t="s">
        <v>126</v>
      </c>
      <c r="W55" s="418"/>
      <c r="X55" s="418"/>
      <c r="Y55" s="418"/>
      <c r="Z55" s="418"/>
      <c r="AA55" s="418"/>
      <c r="AB55" s="418"/>
      <c r="AC55" s="418"/>
      <c r="AD55" s="419"/>
    </row>
    <row r="56" spans="1:32" ht="27" customHeight="1">
      <c r="A56" s="420" t="s">
        <v>118</v>
      </c>
      <c r="B56" s="421"/>
      <c r="C56" s="138" t="s">
        <v>135</v>
      </c>
      <c r="D56" s="138" t="s">
        <v>115</v>
      </c>
      <c r="E56" s="138" t="s">
        <v>212</v>
      </c>
      <c r="F56" s="412" t="s">
        <v>130</v>
      </c>
      <c r="G56" s="413"/>
      <c r="H56" s="413"/>
      <c r="I56" s="413"/>
      <c r="J56" s="413"/>
      <c r="K56" s="413"/>
      <c r="L56" s="413"/>
      <c r="M56" s="414"/>
      <c r="N56" s="137" t="s">
        <v>119</v>
      </c>
      <c r="O56" s="143" t="s">
        <v>137</v>
      </c>
      <c r="P56" s="415" t="s">
        <v>115</v>
      </c>
      <c r="Q56" s="416"/>
      <c r="R56" s="415" t="s">
        <v>222</v>
      </c>
      <c r="S56" s="417"/>
      <c r="T56" s="417"/>
      <c r="U56" s="416"/>
      <c r="V56" s="418" t="s">
        <v>130</v>
      </c>
      <c r="W56" s="418"/>
      <c r="X56" s="418"/>
      <c r="Y56" s="418"/>
      <c r="Z56" s="418"/>
      <c r="AA56" s="418"/>
      <c r="AB56" s="418"/>
      <c r="AC56" s="418"/>
      <c r="AD56" s="419"/>
    </row>
    <row r="57" spans="1:32" ht="27" customHeight="1">
      <c r="A57" s="420" t="s">
        <v>118</v>
      </c>
      <c r="B57" s="421"/>
      <c r="C57" s="138" t="s">
        <v>135</v>
      </c>
      <c r="D57" s="138" t="s">
        <v>202</v>
      </c>
      <c r="E57" s="138" t="s">
        <v>148</v>
      </c>
      <c r="F57" s="412" t="s">
        <v>130</v>
      </c>
      <c r="G57" s="413"/>
      <c r="H57" s="413"/>
      <c r="I57" s="413"/>
      <c r="J57" s="413"/>
      <c r="K57" s="413"/>
      <c r="L57" s="413"/>
      <c r="M57" s="414"/>
      <c r="N57" s="137" t="s">
        <v>112</v>
      </c>
      <c r="O57" s="143" t="s">
        <v>136</v>
      </c>
      <c r="P57" s="415" t="s">
        <v>224</v>
      </c>
      <c r="Q57" s="416"/>
      <c r="R57" s="415" t="s">
        <v>223</v>
      </c>
      <c r="S57" s="417"/>
      <c r="T57" s="417"/>
      <c r="U57" s="416"/>
      <c r="V57" s="418" t="s">
        <v>130</v>
      </c>
      <c r="W57" s="418"/>
      <c r="X57" s="418"/>
      <c r="Y57" s="418"/>
      <c r="Z57" s="418"/>
      <c r="AA57" s="418"/>
      <c r="AB57" s="418"/>
      <c r="AC57" s="418"/>
      <c r="AD57" s="419"/>
    </row>
    <row r="58" spans="1:32" ht="27" customHeight="1">
      <c r="A58" s="410" t="s">
        <v>118</v>
      </c>
      <c r="B58" s="411"/>
      <c r="C58" s="136" t="s">
        <v>135</v>
      </c>
      <c r="D58" s="136" t="s">
        <v>125</v>
      </c>
      <c r="E58" s="138" t="s">
        <v>196</v>
      </c>
      <c r="F58" s="412" t="s">
        <v>130</v>
      </c>
      <c r="G58" s="413"/>
      <c r="H58" s="413"/>
      <c r="I58" s="413"/>
      <c r="J58" s="413"/>
      <c r="K58" s="413"/>
      <c r="L58" s="413"/>
      <c r="M58" s="414"/>
      <c r="N58" s="137" t="s">
        <v>112</v>
      </c>
      <c r="O58" s="143" t="s">
        <v>135</v>
      </c>
      <c r="P58" s="415" t="s">
        <v>125</v>
      </c>
      <c r="Q58" s="416"/>
      <c r="R58" s="415" t="s">
        <v>225</v>
      </c>
      <c r="S58" s="417"/>
      <c r="T58" s="417"/>
      <c r="U58" s="416"/>
      <c r="V58" s="418" t="s">
        <v>130</v>
      </c>
      <c r="W58" s="418"/>
      <c r="X58" s="418"/>
      <c r="Y58" s="418"/>
      <c r="Z58" s="418"/>
      <c r="AA58" s="418"/>
      <c r="AB58" s="418"/>
      <c r="AC58" s="418"/>
      <c r="AD58" s="419"/>
    </row>
    <row r="59" spans="1:32" ht="27" customHeight="1">
      <c r="A59" s="410" t="s">
        <v>118</v>
      </c>
      <c r="B59" s="411"/>
      <c r="C59" s="136" t="s">
        <v>184</v>
      </c>
      <c r="D59" s="136" t="s">
        <v>115</v>
      </c>
      <c r="E59" s="138" t="s">
        <v>182</v>
      </c>
      <c r="F59" s="412" t="s">
        <v>217</v>
      </c>
      <c r="G59" s="413"/>
      <c r="H59" s="413"/>
      <c r="I59" s="413"/>
      <c r="J59" s="413"/>
      <c r="K59" s="413"/>
      <c r="L59" s="413"/>
      <c r="M59" s="414"/>
      <c r="N59" s="137" t="s">
        <v>227</v>
      </c>
      <c r="O59" s="143" t="s">
        <v>145</v>
      </c>
      <c r="P59" s="415" t="s">
        <v>228</v>
      </c>
      <c r="Q59" s="416"/>
      <c r="R59" s="415" t="s">
        <v>226</v>
      </c>
      <c r="S59" s="417"/>
      <c r="T59" s="417"/>
      <c r="U59" s="416"/>
      <c r="V59" s="418" t="s">
        <v>130</v>
      </c>
      <c r="W59" s="418"/>
      <c r="X59" s="418"/>
      <c r="Y59" s="418"/>
      <c r="Z59" s="418"/>
      <c r="AA59" s="418"/>
      <c r="AB59" s="418"/>
      <c r="AC59" s="418"/>
      <c r="AD59" s="419"/>
    </row>
    <row r="60" spans="1:32" ht="27" customHeight="1">
      <c r="A60" s="410" t="s">
        <v>118</v>
      </c>
      <c r="B60" s="411"/>
      <c r="C60" s="136" t="s">
        <v>145</v>
      </c>
      <c r="D60" s="136" t="s">
        <v>195</v>
      </c>
      <c r="E60" s="138" t="s">
        <v>193</v>
      </c>
      <c r="F60" s="412" t="s">
        <v>130</v>
      </c>
      <c r="G60" s="413"/>
      <c r="H60" s="413"/>
      <c r="I60" s="413"/>
      <c r="J60" s="413"/>
      <c r="K60" s="413"/>
      <c r="L60" s="413"/>
      <c r="M60" s="414"/>
      <c r="N60" s="137" t="s">
        <v>119</v>
      </c>
      <c r="O60" s="143" t="s">
        <v>230</v>
      </c>
      <c r="P60" s="415" t="s">
        <v>231</v>
      </c>
      <c r="Q60" s="416"/>
      <c r="R60" s="415" t="s">
        <v>229</v>
      </c>
      <c r="S60" s="417"/>
      <c r="T60" s="417"/>
      <c r="U60" s="416"/>
      <c r="V60" s="418" t="s">
        <v>130</v>
      </c>
      <c r="W60" s="418"/>
      <c r="X60" s="418"/>
      <c r="Y60" s="418"/>
      <c r="Z60" s="418"/>
      <c r="AA60" s="418"/>
      <c r="AB60" s="418"/>
      <c r="AC60" s="418"/>
      <c r="AD60" s="419"/>
    </row>
    <row r="61" spans="1:32" ht="27" customHeight="1">
      <c r="A61" s="420" t="s">
        <v>112</v>
      </c>
      <c r="B61" s="421"/>
      <c r="C61" s="138" t="s">
        <v>199</v>
      </c>
      <c r="D61" s="138" t="s">
        <v>115</v>
      </c>
      <c r="E61" s="138" t="s">
        <v>197</v>
      </c>
      <c r="F61" s="412" t="s">
        <v>126</v>
      </c>
      <c r="G61" s="413"/>
      <c r="H61" s="413"/>
      <c r="I61" s="413"/>
      <c r="J61" s="413"/>
      <c r="K61" s="413"/>
      <c r="L61" s="413"/>
      <c r="M61" s="414"/>
      <c r="N61" s="137"/>
      <c r="O61" s="143"/>
      <c r="P61" s="415"/>
      <c r="Q61" s="416"/>
      <c r="R61" s="421"/>
      <c r="S61" s="421"/>
      <c r="T61" s="421"/>
      <c r="U61" s="421"/>
      <c r="V61" s="418"/>
      <c r="W61" s="418"/>
      <c r="X61" s="418"/>
      <c r="Y61" s="418"/>
      <c r="Z61" s="418"/>
      <c r="AA61" s="418"/>
      <c r="AB61" s="418"/>
      <c r="AC61" s="418"/>
      <c r="AD61" s="419"/>
    </row>
    <row r="62" spans="1:32" ht="27" customHeight="1">
      <c r="A62" s="410" t="s">
        <v>118</v>
      </c>
      <c r="B62" s="411"/>
      <c r="C62" s="136" t="s">
        <v>219</v>
      </c>
      <c r="D62" s="136" t="s">
        <v>115</v>
      </c>
      <c r="E62" s="136" t="s">
        <v>220</v>
      </c>
      <c r="F62" s="492" t="s">
        <v>221</v>
      </c>
      <c r="G62" s="493"/>
      <c r="H62" s="493"/>
      <c r="I62" s="493"/>
      <c r="J62" s="493"/>
      <c r="K62" s="493"/>
      <c r="L62" s="493"/>
      <c r="M62" s="494"/>
      <c r="N62" s="137"/>
      <c r="O62" s="143"/>
      <c r="P62" s="421"/>
      <c r="Q62" s="421"/>
      <c r="R62" s="421"/>
      <c r="S62" s="421"/>
      <c r="T62" s="421"/>
      <c r="U62" s="421"/>
      <c r="V62" s="418"/>
      <c r="W62" s="418"/>
      <c r="X62" s="418"/>
      <c r="Y62" s="418"/>
      <c r="Z62" s="418"/>
      <c r="AA62" s="418"/>
      <c r="AB62" s="418"/>
      <c r="AC62" s="418"/>
      <c r="AD62" s="419"/>
      <c r="AF62" s="84">
        <f>8*3000</f>
        <v>24000</v>
      </c>
    </row>
    <row r="63" spans="1:32" ht="27" customHeight="1" thickBot="1">
      <c r="A63" s="422"/>
      <c r="B63" s="423"/>
      <c r="C63" s="139"/>
      <c r="D63" s="140"/>
      <c r="E63" s="140"/>
      <c r="F63" s="424"/>
      <c r="G63" s="425"/>
      <c r="H63" s="425"/>
      <c r="I63" s="425"/>
      <c r="J63" s="425"/>
      <c r="K63" s="425"/>
      <c r="L63" s="425"/>
      <c r="M63" s="426"/>
      <c r="N63" s="111"/>
      <c r="O63" s="103"/>
      <c r="P63" s="427"/>
      <c r="Q63" s="427"/>
      <c r="R63" s="427"/>
      <c r="S63" s="427"/>
      <c r="T63" s="427"/>
      <c r="U63" s="427"/>
      <c r="V63" s="428"/>
      <c r="W63" s="428"/>
      <c r="X63" s="428"/>
      <c r="Y63" s="428"/>
      <c r="Z63" s="428"/>
      <c r="AA63" s="428"/>
      <c r="AB63" s="428"/>
      <c r="AC63" s="428"/>
      <c r="AD63" s="429"/>
      <c r="AF63" s="84">
        <f>16*3000</f>
        <v>48000</v>
      </c>
    </row>
    <row r="64" spans="1:32" ht="27.75" thickBot="1">
      <c r="A64" s="430" t="s">
        <v>232</v>
      </c>
      <c r="B64" s="430"/>
      <c r="C64" s="430"/>
      <c r="D64" s="430"/>
      <c r="E64" s="430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431" t="s">
        <v>111</v>
      </c>
      <c r="B65" s="432"/>
      <c r="C65" s="141" t="s">
        <v>2</v>
      </c>
      <c r="D65" s="141" t="s">
        <v>37</v>
      </c>
      <c r="E65" s="141" t="s">
        <v>3</v>
      </c>
      <c r="F65" s="432" t="s">
        <v>109</v>
      </c>
      <c r="G65" s="432"/>
      <c r="H65" s="432"/>
      <c r="I65" s="432"/>
      <c r="J65" s="432"/>
      <c r="K65" s="432" t="s">
        <v>39</v>
      </c>
      <c r="L65" s="432"/>
      <c r="M65" s="141" t="s">
        <v>40</v>
      </c>
      <c r="N65" s="432" t="s">
        <v>41</v>
      </c>
      <c r="O65" s="432"/>
      <c r="P65" s="433" t="s">
        <v>42</v>
      </c>
      <c r="Q65" s="434"/>
      <c r="R65" s="433" t="s">
        <v>43</v>
      </c>
      <c r="S65" s="435"/>
      <c r="T65" s="435"/>
      <c r="U65" s="435"/>
      <c r="V65" s="435"/>
      <c r="W65" s="435"/>
      <c r="X65" s="435"/>
      <c r="Y65" s="435"/>
      <c r="Z65" s="435"/>
      <c r="AA65" s="434"/>
      <c r="AB65" s="432" t="s">
        <v>44</v>
      </c>
      <c r="AC65" s="432"/>
      <c r="AD65" s="436"/>
      <c r="AF65" s="84">
        <f>SUM(AF62:AF64)</f>
        <v>96000</v>
      </c>
    </row>
    <row r="66" spans="1:32" ht="25.5" customHeight="1">
      <c r="A66" s="437">
        <v>1</v>
      </c>
      <c r="B66" s="438"/>
      <c r="C66" s="104"/>
      <c r="D66" s="145"/>
      <c r="E66" s="142"/>
      <c r="F66" s="439"/>
      <c r="G66" s="440"/>
      <c r="H66" s="440"/>
      <c r="I66" s="440"/>
      <c r="J66" s="441"/>
      <c r="K66" s="442"/>
      <c r="L66" s="442"/>
      <c r="M66" s="51"/>
      <c r="N66" s="443"/>
      <c r="O66" s="443"/>
      <c r="P66" s="444"/>
      <c r="Q66" s="444"/>
      <c r="R66" s="418"/>
      <c r="S66" s="418"/>
      <c r="T66" s="418"/>
      <c r="U66" s="418"/>
      <c r="V66" s="418"/>
      <c r="W66" s="418"/>
      <c r="X66" s="418"/>
      <c r="Y66" s="418"/>
      <c r="Z66" s="418"/>
      <c r="AA66" s="418"/>
      <c r="AB66" s="442"/>
      <c r="AC66" s="442"/>
      <c r="AD66" s="445"/>
      <c r="AF66" s="50"/>
    </row>
    <row r="67" spans="1:32" ht="25.5" customHeight="1">
      <c r="A67" s="437">
        <v>2</v>
      </c>
      <c r="B67" s="438"/>
      <c r="C67" s="104"/>
      <c r="D67" s="145"/>
      <c r="E67" s="142"/>
      <c r="F67" s="439"/>
      <c r="G67" s="440"/>
      <c r="H67" s="440"/>
      <c r="I67" s="440"/>
      <c r="J67" s="441"/>
      <c r="K67" s="442"/>
      <c r="L67" s="442"/>
      <c r="M67" s="51"/>
      <c r="N67" s="443"/>
      <c r="O67" s="443"/>
      <c r="P67" s="444"/>
      <c r="Q67" s="444"/>
      <c r="R67" s="418"/>
      <c r="S67" s="418"/>
      <c r="T67" s="418"/>
      <c r="U67" s="418"/>
      <c r="V67" s="418"/>
      <c r="W67" s="418"/>
      <c r="X67" s="418"/>
      <c r="Y67" s="418"/>
      <c r="Z67" s="418"/>
      <c r="AA67" s="418"/>
      <c r="AB67" s="442"/>
      <c r="AC67" s="442"/>
      <c r="AD67" s="445"/>
      <c r="AF67" s="50"/>
    </row>
    <row r="68" spans="1:32" ht="25.5" customHeight="1">
      <c r="A68" s="437">
        <v>3</v>
      </c>
      <c r="B68" s="438"/>
      <c r="C68" s="104"/>
      <c r="D68" s="145"/>
      <c r="E68" s="142"/>
      <c r="F68" s="439"/>
      <c r="G68" s="440"/>
      <c r="H68" s="440"/>
      <c r="I68" s="440"/>
      <c r="J68" s="441"/>
      <c r="K68" s="442"/>
      <c r="L68" s="442"/>
      <c r="M68" s="51"/>
      <c r="N68" s="443"/>
      <c r="O68" s="443"/>
      <c r="P68" s="444"/>
      <c r="Q68" s="444"/>
      <c r="R68" s="418"/>
      <c r="S68" s="418"/>
      <c r="T68" s="418"/>
      <c r="U68" s="418"/>
      <c r="V68" s="418"/>
      <c r="W68" s="418"/>
      <c r="X68" s="418"/>
      <c r="Y68" s="418"/>
      <c r="Z68" s="418"/>
      <c r="AA68" s="418"/>
      <c r="AB68" s="442"/>
      <c r="AC68" s="442"/>
      <c r="AD68" s="445"/>
      <c r="AF68" s="50"/>
    </row>
    <row r="69" spans="1:32" ht="25.5" customHeight="1">
      <c r="A69" s="437">
        <v>4</v>
      </c>
      <c r="B69" s="438"/>
      <c r="C69" s="104"/>
      <c r="D69" s="145"/>
      <c r="E69" s="142"/>
      <c r="F69" s="439"/>
      <c r="G69" s="440"/>
      <c r="H69" s="440"/>
      <c r="I69" s="440"/>
      <c r="J69" s="441"/>
      <c r="K69" s="442"/>
      <c r="L69" s="442"/>
      <c r="M69" s="51"/>
      <c r="N69" s="443"/>
      <c r="O69" s="443"/>
      <c r="P69" s="446"/>
      <c r="Q69" s="446"/>
      <c r="R69" s="418"/>
      <c r="S69" s="418"/>
      <c r="T69" s="418"/>
      <c r="U69" s="418"/>
      <c r="V69" s="418"/>
      <c r="W69" s="418"/>
      <c r="X69" s="418"/>
      <c r="Y69" s="418"/>
      <c r="Z69" s="418"/>
      <c r="AA69" s="418"/>
      <c r="AB69" s="442"/>
      <c r="AC69" s="442"/>
      <c r="AD69" s="445"/>
      <c r="AF69" s="50"/>
    </row>
    <row r="70" spans="1:32" ht="25.5" customHeight="1">
      <c r="A70" s="437">
        <v>5</v>
      </c>
      <c r="B70" s="438"/>
      <c r="C70" s="104"/>
      <c r="D70" s="145"/>
      <c r="E70" s="142"/>
      <c r="F70" s="439"/>
      <c r="G70" s="440"/>
      <c r="H70" s="440"/>
      <c r="I70" s="440"/>
      <c r="J70" s="441"/>
      <c r="K70" s="442"/>
      <c r="L70" s="442"/>
      <c r="M70" s="51"/>
      <c r="N70" s="443"/>
      <c r="O70" s="443"/>
      <c r="P70" s="444"/>
      <c r="Q70" s="444"/>
      <c r="R70" s="418"/>
      <c r="S70" s="418"/>
      <c r="T70" s="418"/>
      <c r="U70" s="418"/>
      <c r="V70" s="418"/>
      <c r="W70" s="418"/>
      <c r="X70" s="418"/>
      <c r="Y70" s="418"/>
      <c r="Z70" s="418"/>
      <c r="AA70" s="418"/>
      <c r="AB70" s="442"/>
      <c r="AC70" s="442"/>
      <c r="AD70" s="445"/>
      <c r="AF70" s="50"/>
    </row>
    <row r="71" spans="1:32" ht="25.5" customHeight="1">
      <c r="A71" s="437">
        <v>6</v>
      </c>
      <c r="B71" s="438"/>
      <c r="C71" s="104"/>
      <c r="D71" s="145"/>
      <c r="E71" s="142"/>
      <c r="F71" s="439"/>
      <c r="G71" s="440"/>
      <c r="H71" s="440"/>
      <c r="I71" s="440"/>
      <c r="J71" s="441"/>
      <c r="K71" s="442"/>
      <c r="L71" s="442"/>
      <c r="M71" s="51"/>
      <c r="N71" s="443"/>
      <c r="O71" s="443"/>
      <c r="P71" s="444"/>
      <c r="Q71" s="444"/>
      <c r="R71" s="418"/>
      <c r="S71" s="418"/>
      <c r="T71" s="418"/>
      <c r="U71" s="418"/>
      <c r="V71" s="418"/>
      <c r="W71" s="418"/>
      <c r="X71" s="418"/>
      <c r="Y71" s="418"/>
      <c r="Z71" s="418"/>
      <c r="AA71" s="418"/>
      <c r="AB71" s="442"/>
      <c r="AC71" s="442"/>
      <c r="AD71" s="445"/>
      <c r="AF71" s="50"/>
    </row>
    <row r="72" spans="1:32" ht="25.5" customHeight="1">
      <c r="A72" s="437">
        <v>7</v>
      </c>
      <c r="B72" s="438"/>
      <c r="C72" s="104"/>
      <c r="D72" s="145"/>
      <c r="E72" s="142"/>
      <c r="F72" s="447"/>
      <c r="G72" s="442"/>
      <c r="H72" s="442"/>
      <c r="I72" s="442"/>
      <c r="J72" s="442"/>
      <c r="K72" s="442"/>
      <c r="L72" s="442"/>
      <c r="M72" s="51"/>
      <c r="N72" s="443"/>
      <c r="O72" s="443"/>
      <c r="P72" s="444"/>
      <c r="Q72" s="444"/>
      <c r="R72" s="418"/>
      <c r="S72" s="418"/>
      <c r="T72" s="418"/>
      <c r="U72" s="418"/>
      <c r="V72" s="418"/>
      <c r="W72" s="418"/>
      <c r="X72" s="418"/>
      <c r="Y72" s="418"/>
      <c r="Z72" s="418"/>
      <c r="AA72" s="418"/>
      <c r="AB72" s="442"/>
      <c r="AC72" s="442"/>
      <c r="AD72" s="445"/>
      <c r="AF72" s="50"/>
    </row>
    <row r="73" spans="1:32" ht="25.5" customHeight="1">
      <c r="A73" s="437">
        <v>8</v>
      </c>
      <c r="B73" s="438"/>
      <c r="C73" s="104"/>
      <c r="D73" s="145"/>
      <c r="E73" s="142"/>
      <c r="F73" s="447"/>
      <c r="G73" s="442"/>
      <c r="H73" s="442"/>
      <c r="I73" s="442"/>
      <c r="J73" s="442"/>
      <c r="K73" s="442"/>
      <c r="L73" s="442"/>
      <c r="M73" s="51"/>
      <c r="N73" s="443"/>
      <c r="O73" s="443"/>
      <c r="P73" s="444"/>
      <c r="Q73" s="444"/>
      <c r="R73" s="418"/>
      <c r="S73" s="418"/>
      <c r="T73" s="418"/>
      <c r="U73" s="418"/>
      <c r="V73" s="418"/>
      <c r="W73" s="418"/>
      <c r="X73" s="418"/>
      <c r="Y73" s="418"/>
      <c r="Z73" s="418"/>
      <c r="AA73" s="418"/>
      <c r="AB73" s="442"/>
      <c r="AC73" s="442"/>
      <c r="AD73" s="445"/>
      <c r="AF73" s="50"/>
    </row>
    <row r="74" spans="1:32" ht="25.5" customHeight="1">
      <c r="A74" s="437">
        <v>9</v>
      </c>
      <c r="B74" s="438"/>
      <c r="C74" s="104"/>
      <c r="D74" s="145"/>
      <c r="E74" s="142"/>
      <c r="F74" s="447"/>
      <c r="G74" s="442"/>
      <c r="H74" s="442"/>
      <c r="I74" s="442"/>
      <c r="J74" s="442"/>
      <c r="K74" s="442"/>
      <c r="L74" s="442"/>
      <c r="M74" s="51"/>
      <c r="N74" s="443"/>
      <c r="O74" s="443"/>
      <c r="P74" s="444"/>
      <c r="Q74" s="444"/>
      <c r="R74" s="418"/>
      <c r="S74" s="418"/>
      <c r="T74" s="418"/>
      <c r="U74" s="418"/>
      <c r="V74" s="418"/>
      <c r="W74" s="418"/>
      <c r="X74" s="418"/>
      <c r="Y74" s="418"/>
      <c r="Z74" s="418"/>
      <c r="AA74" s="418"/>
      <c r="AB74" s="442"/>
      <c r="AC74" s="442"/>
      <c r="AD74" s="445"/>
      <c r="AF74" s="50"/>
    </row>
    <row r="75" spans="1:32" ht="25.5" customHeight="1">
      <c r="A75" s="437">
        <v>10</v>
      </c>
      <c r="B75" s="438"/>
      <c r="C75" s="104"/>
      <c r="D75" s="145"/>
      <c r="E75" s="142"/>
      <c r="F75" s="447"/>
      <c r="G75" s="442"/>
      <c r="H75" s="442"/>
      <c r="I75" s="442"/>
      <c r="J75" s="442"/>
      <c r="K75" s="442"/>
      <c r="L75" s="442"/>
      <c r="M75" s="51"/>
      <c r="N75" s="443"/>
      <c r="O75" s="443"/>
      <c r="P75" s="444"/>
      <c r="Q75" s="444"/>
      <c r="R75" s="418"/>
      <c r="S75" s="418"/>
      <c r="T75" s="418"/>
      <c r="U75" s="418"/>
      <c r="V75" s="418"/>
      <c r="W75" s="418"/>
      <c r="X75" s="418"/>
      <c r="Y75" s="418"/>
      <c r="Z75" s="418"/>
      <c r="AA75" s="418"/>
      <c r="AB75" s="442"/>
      <c r="AC75" s="442"/>
      <c r="AD75" s="445"/>
      <c r="AF75" s="50"/>
    </row>
    <row r="76" spans="1:32" ht="26.25" customHeight="1" thickBot="1">
      <c r="A76" s="448" t="s">
        <v>233</v>
      </c>
      <c r="B76" s="448"/>
      <c r="C76" s="448"/>
      <c r="D76" s="448"/>
      <c r="E76" s="448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449" t="s">
        <v>134</v>
      </c>
      <c r="B77" s="450"/>
      <c r="C77" s="144" t="s">
        <v>2</v>
      </c>
      <c r="D77" s="144" t="s">
        <v>37</v>
      </c>
      <c r="E77" s="144" t="s">
        <v>128</v>
      </c>
      <c r="F77" s="450" t="s">
        <v>38</v>
      </c>
      <c r="G77" s="450"/>
      <c r="H77" s="450"/>
      <c r="I77" s="450"/>
      <c r="J77" s="450"/>
      <c r="K77" s="451" t="s">
        <v>58</v>
      </c>
      <c r="L77" s="452"/>
      <c r="M77" s="452"/>
      <c r="N77" s="452"/>
      <c r="O77" s="452"/>
      <c r="P77" s="452"/>
      <c r="Q77" s="452"/>
      <c r="R77" s="452"/>
      <c r="S77" s="453"/>
      <c r="T77" s="450" t="s">
        <v>49</v>
      </c>
      <c r="U77" s="450"/>
      <c r="V77" s="451" t="s">
        <v>50</v>
      </c>
      <c r="W77" s="453"/>
      <c r="X77" s="452" t="s">
        <v>51</v>
      </c>
      <c r="Y77" s="452"/>
      <c r="Z77" s="452"/>
      <c r="AA77" s="452"/>
      <c r="AB77" s="452"/>
      <c r="AC77" s="452"/>
      <c r="AD77" s="454"/>
      <c r="AF77" s="50"/>
    </row>
    <row r="78" spans="1:32" ht="33.75" customHeight="1">
      <c r="A78" s="463">
        <v>1</v>
      </c>
      <c r="B78" s="464"/>
      <c r="C78" s="146" t="s">
        <v>112</v>
      </c>
      <c r="D78" s="146"/>
      <c r="E78" s="65" t="s">
        <v>117</v>
      </c>
      <c r="F78" s="465" t="s">
        <v>116</v>
      </c>
      <c r="G78" s="466"/>
      <c r="H78" s="466"/>
      <c r="I78" s="466"/>
      <c r="J78" s="467"/>
      <c r="K78" s="468" t="s">
        <v>120</v>
      </c>
      <c r="L78" s="469"/>
      <c r="M78" s="469"/>
      <c r="N78" s="469"/>
      <c r="O78" s="469"/>
      <c r="P78" s="469"/>
      <c r="Q78" s="469"/>
      <c r="R78" s="469"/>
      <c r="S78" s="470"/>
      <c r="T78" s="471">
        <v>44118</v>
      </c>
      <c r="U78" s="472"/>
      <c r="V78" s="473"/>
      <c r="W78" s="473"/>
      <c r="X78" s="474"/>
      <c r="Y78" s="474"/>
      <c r="Z78" s="474"/>
      <c r="AA78" s="474"/>
      <c r="AB78" s="474"/>
      <c r="AC78" s="474"/>
      <c r="AD78" s="475"/>
      <c r="AF78" s="50"/>
    </row>
    <row r="79" spans="1:32" ht="30" customHeight="1">
      <c r="A79" s="455">
        <f>A78+1</f>
        <v>2</v>
      </c>
      <c r="B79" s="456"/>
      <c r="C79" s="145"/>
      <c r="D79" s="145"/>
      <c r="E79" s="32"/>
      <c r="F79" s="456"/>
      <c r="G79" s="456"/>
      <c r="H79" s="456"/>
      <c r="I79" s="456"/>
      <c r="J79" s="456"/>
      <c r="K79" s="457"/>
      <c r="L79" s="458"/>
      <c r="M79" s="458"/>
      <c r="N79" s="458"/>
      <c r="O79" s="458"/>
      <c r="P79" s="458"/>
      <c r="Q79" s="458"/>
      <c r="R79" s="458"/>
      <c r="S79" s="459"/>
      <c r="T79" s="460"/>
      <c r="U79" s="460"/>
      <c r="V79" s="460"/>
      <c r="W79" s="460"/>
      <c r="X79" s="461"/>
      <c r="Y79" s="461"/>
      <c r="Z79" s="461"/>
      <c r="AA79" s="461"/>
      <c r="AB79" s="461"/>
      <c r="AC79" s="461"/>
      <c r="AD79" s="462"/>
      <c r="AF79" s="50"/>
    </row>
    <row r="80" spans="1:32" ht="30" customHeight="1">
      <c r="A80" s="455">
        <f t="shared" ref="A80:A84" si="19">A79+1</f>
        <v>3</v>
      </c>
      <c r="B80" s="456"/>
      <c r="C80" s="145"/>
      <c r="D80" s="145"/>
      <c r="E80" s="32"/>
      <c r="F80" s="456"/>
      <c r="G80" s="456"/>
      <c r="H80" s="456"/>
      <c r="I80" s="456"/>
      <c r="J80" s="456"/>
      <c r="K80" s="457"/>
      <c r="L80" s="458"/>
      <c r="M80" s="458"/>
      <c r="N80" s="458"/>
      <c r="O80" s="458"/>
      <c r="P80" s="458"/>
      <c r="Q80" s="458"/>
      <c r="R80" s="458"/>
      <c r="S80" s="459"/>
      <c r="T80" s="460"/>
      <c r="U80" s="460"/>
      <c r="V80" s="460"/>
      <c r="W80" s="460"/>
      <c r="X80" s="461"/>
      <c r="Y80" s="461"/>
      <c r="Z80" s="461"/>
      <c r="AA80" s="461"/>
      <c r="AB80" s="461"/>
      <c r="AC80" s="461"/>
      <c r="AD80" s="462"/>
      <c r="AF80" s="50"/>
    </row>
    <row r="81" spans="1:32" ht="30" customHeight="1">
      <c r="A81" s="455">
        <f t="shared" si="19"/>
        <v>4</v>
      </c>
      <c r="B81" s="456"/>
      <c r="C81" s="145"/>
      <c r="D81" s="145"/>
      <c r="E81" s="32"/>
      <c r="F81" s="456"/>
      <c r="G81" s="456"/>
      <c r="H81" s="456"/>
      <c r="I81" s="456"/>
      <c r="J81" s="456"/>
      <c r="K81" s="457"/>
      <c r="L81" s="458"/>
      <c r="M81" s="458"/>
      <c r="N81" s="458"/>
      <c r="O81" s="458"/>
      <c r="P81" s="458"/>
      <c r="Q81" s="458"/>
      <c r="R81" s="458"/>
      <c r="S81" s="459"/>
      <c r="T81" s="460"/>
      <c r="U81" s="460"/>
      <c r="V81" s="460"/>
      <c r="W81" s="460"/>
      <c r="X81" s="461"/>
      <c r="Y81" s="461"/>
      <c r="Z81" s="461"/>
      <c r="AA81" s="461"/>
      <c r="AB81" s="461"/>
      <c r="AC81" s="461"/>
      <c r="AD81" s="462"/>
      <c r="AF81" s="50"/>
    </row>
    <row r="82" spans="1:32" ht="30" customHeight="1">
      <c r="A82" s="455">
        <f t="shared" si="19"/>
        <v>5</v>
      </c>
      <c r="B82" s="456"/>
      <c r="C82" s="145"/>
      <c r="D82" s="145"/>
      <c r="E82" s="32"/>
      <c r="F82" s="456"/>
      <c r="G82" s="456"/>
      <c r="H82" s="456"/>
      <c r="I82" s="456"/>
      <c r="J82" s="456"/>
      <c r="K82" s="457"/>
      <c r="L82" s="458"/>
      <c r="M82" s="458"/>
      <c r="N82" s="458"/>
      <c r="O82" s="458"/>
      <c r="P82" s="458"/>
      <c r="Q82" s="458"/>
      <c r="R82" s="458"/>
      <c r="S82" s="459"/>
      <c r="T82" s="460"/>
      <c r="U82" s="460"/>
      <c r="V82" s="460"/>
      <c r="W82" s="460"/>
      <c r="X82" s="461"/>
      <c r="Y82" s="461"/>
      <c r="Z82" s="461"/>
      <c r="AA82" s="461"/>
      <c r="AB82" s="461"/>
      <c r="AC82" s="461"/>
      <c r="AD82" s="462"/>
      <c r="AF82" s="50"/>
    </row>
    <row r="83" spans="1:32" ht="30" customHeight="1">
      <c r="A83" s="455">
        <f t="shared" si="19"/>
        <v>6</v>
      </c>
      <c r="B83" s="456"/>
      <c r="C83" s="145"/>
      <c r="D83" s="145"/>
      <c r="E83" s="32"/>
      <c r="F83" s="456"/>
      <c r="G83" s="456"/>
      <c r="H83" s="456"/>
      <c r="I83" s="456"/>
      <c r="J83" s="456"/>
      <c r="K83" s="457"/>
      <c r="L83" s="458"/>
      <c r="M83" s="458"/>
      <c r="N83" s="458"/>
      <c r="O83" s="458"/>
      <c r="P83" s="458"/>
      <c r="Q83" s="458"/>
      <c r="R83" s="458"/>
      <c r="S83" s="459"/>
      <c r="T83" s="460"/>
      <c r="U83" s="460"/>
      <c r="V83" s="460"/>
      <c r="W83" s="460"/>
      <c r="X83" s="461"/>
      <c r="Y83" s="461"/>
      <c r="Z83" s="461"/>
      <c r="AA83" s="461"/>
      <c r="AB83" s="461"/>
      <c r="AC83" s="461"/>
      <c r="AD83" s="462"/>
      <c r="AF83" s="50"/>
    </row>
    <row r="84" spans="1:32" ht="30" customHeight="1">
      <c r="A84" s="455">
        <f t="shared" si="19"/>
        <v>7</v>
      </c>
      <c r="B84" s="456"/>
      <c r="C84" s="145"/>
      <c r="D84" s="145"/>
      <c r="E84" s="32"/>
      <c r="F84" s="456"/>
      <c r="G84" s="456"/>
      <c r="H84" s="456"/>
      <c r="I84" s="456"/>
      <c r="J84" s="456"/>
      <c r="K84" s="457"/>
      <c r="L84" s="458"/>
      <c r="M84" s="458"/>
      <c r="N84" s="458"/>
      <c r="O84" s="458"/>
      <c r="P84" s="458"/>
      <c r="Q84" s="458"/>
      <c r="R84" s="458"/>
      <c r="S84" s="459"/>
      <c r="T84" s="460"/>
      <c r="U84" s="460"/>
      <c r="V84" s="460"/>
      <c r="W84" s="460"/>
      <c r="X84" s="461"/>
      <c r="Y84" s="461"/>
      <c r="Z84" s="461"/>
      <c r="AA84" s="461"/>
      <c r="AB84" s="461"/>
      <c r="AC84" s="461"/>
      <c r="AD84" s="462"/>
      <c r="AF84" s="50"/>
    </row>
    <row r="85" spans="1:32" ht="36" thickBot="1">
      <c r="A85" s="448" t="s">
        <v>234</v>
      </c>
      <c r="B85" s="448"/>
      <c r="C85" s="448"/>
      <c r="D85" s="448"/>
      <c r="E85" s="448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49" t="s">
        <v>111</v>
      </c>
      <c r="B86" s="450"/>
      <c r="C86" s="476" t="s">
        <v>52</v>
      </c>
      <c r="D86" s="476"/>
      <c r="E86" s="476" t="s">
        <v>53</v>
      </c>
      <c r="F86" s="476"/>
      <c r="G86" s="476"/>
      <c r="H86" s="476"/>
      <c r="I86" s="476"/>
      <c r="J86" s="476"/>
      <c r="K86" s="476" t="s">
        <v>54</v>
      </c>
      <c r="L86" s="476"/>
      <c r="M86" s="476"/>
      <c r="N86" s="476"/>
      <c r="O86" s="476"/>
      <c r="P86" s="476"/>
      <c r="Q86" s="476"/>
      <c r="R86" s="476"/>
      <c r="S86" s="476"/>
      <c r="T86" s="476" t="s">
        <v>55</v>
      </c>
      <c r="U86" s="476"/>
      <c r="V86" s="476" t="s">
        <v>56</v>
      </c>
      <c r="W86" s="476"/>
      <c r="X86" s="476"/>
      <c r="Y86" s="476" t="s">
        <v>51</v>
      </c>
      <c r="Z86" s="476"/>
      <c r="AA86" s="476"/>
      <c r="AB86" s="476"/>
      <c r="AC86" s="476"/>
      <c r="AD86" s="477"/>
      <c r="AF86" s="50"/>
    </row>
    <row r="87" spans="1:32" ht="30.75" customHeight="1">
      <c r="A87" s="463">
        <v>1</v>
      </c>
      <c r="B87" s="464"/>
      <c r="C87" s="478"/>
      <c r="D87" s="478"/>
      <c r="E87" s="478"/>
      <c r="F87" s="478"/>
      <c r="G87" s="478"/>
      <c r="H87" s="478"/>
      <c r="I87" s="478"/>
      <c r="J87" s="478"/>
      <c r="K87" s="478"/>
      <c r="L87" s="478"/>
      <c r="M87" s="478"/>
      <c r="N87" s="478"/>
      <c r="O87" s="478"/>
      <c r="P87" s="478"/>
      <c r="Q87" s="478"/>
      <c r="R87" s="478"/>
      <c r="S87" s="478"/>
      <c r="T87" s="478"/>
      <c r="U87" s="478"/>
      <c r="V87" s="479"/>
      <c r="W87" s="479"/>
      <c r="X87" s="479"/>
      <c r="Y87" s="480"/>
      <c r="Z87" s="480"/>
      <c r="AA87" s="480"/>
      <c r="AB87" s="480"/>
      <c r="AC87" s="480"/>
      <c r="AD87" s="481"/>
      <c r="AF87" s="50"/>
    </row>
    <row r="88" spans="1:32" ht="30.75" customHeight="1">
      <c r="A88" s="455">
        <v>2</v>
      </c>
      <c r="B88" s="456"/>
      <c r="C88" s="489"/>
      <c r="D88" s="489"/>
      <c r="E88" s="489"/>
      <c r="F88" s="489"/>
      <c r="G88" s="489"/>
      <c r="H88" s="489"/>
      <c r="I88" s="489"/>
      <c r="J88" s="489"/>
      <c r="K88" s="489"/>
      <c r="L88" s="489"/>
      <c r="M88" s="489"/>
      <c r="N88" s="489"/>
      <c r="O88" s="489"/>
      <c r="P88" s="489"/>
      <c r="Q88" s="489"/>
      <c r="R88" s="489"/>
      <c r="S88" s="489"/>
      <c r="T88" s="490"/>
      <c r="U88" s="490"/>
      <c r="V88" s="491"/>
      <c r="W88" s="491"/>
      <c r="X88" s="491"/>
      <c r="Y88" s="482"/>
      <c r="Z88" s="482"/>
      <c r="AA88" s="482"/>
      <c r="AB88" s="482"/>
      <c r="AC88" s="482"/>
      <c r="AD88" s="483"/>
      <c r="AF88" s="50"/>
    </row>
    <row r="89" spans="1:32" ht="30.75" customHeight="1" thickBot="1">
      <c r="A89" s="484">
        <v>3</v>
      </c>
      <c r="B89" s="485"/>
      <c r="C89" s="486"/>
      <c r="D89" s="486"/>
      <c r="E89" s="486"/>
      <c r="F89" s="486"/>
      <c r="G89" s="486"/>
      <c r="H89" s="486"/>
      <c r="I89" s="486"/>
      <c r="J89" s="486"/>
      <c r="K89" s="486"/>
      <c r="L89" s="486"/>
      <c r="M89" s="486"/>
      <c r="N89" s="486"/>
      <c r="O89" s="486"/>
      <c r="P89" s="486"/>
      <c r="Q89" s="486"/>
      <c r="R89" s="486"/>
      <c r="S89" s="486"/>
      <c r="T89" s="486"/>
      <c r="U89" s="486"/>
      <c r="V89" s="486"/>
      <c r="W89" s="486"/>
      <c r="X89" s="486"/>
      <c r="Y89" s="487"/>
      <c r="Z89" s="487"/>
      <c r="AA89" s="487"/>
      <c r="AB89" s="487"/>
      <c r="AC89" s="487"/>
      <c r="AD89" s="488"/>
      <c r="AF89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9" max="2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C4B1-345F-4497-8645-636C28CA3F82}">
  <dimension ref="A1:AF88"/>
  <sheetViews>
    <sheetView view="pageBreakPreview" zoomScale="70" zoomScaleNormal="72" zoomScaleSheetLayoutView="70" workbookViewId="0">
      <selection activeCell="L8" sqref="L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70" t="s">
        <v>235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5"/>
      <c r="T4" s="405"/>
      <c r="U4" s="405"/>
      <c r="V4" s="405"/>
      <c r="W4" s="406" t="s">
        <v>11</v>
      </c>
      <c r="X4" s="405"/>
      <c r="Y4" s="405"/>
      <c r="Z4" s="405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159" t="s">
        <v>17</v>
      </c>
      <c r="L5" s="159" t="s">
        <v>18</v>
      </c>
      <c r="M5" s="159" t="s">
        <v>19</v>
      </c>
      <c r="N5" s="15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30" customHeight="1">
      <c r="A6" s="96">
        <v>1</v>
      </c>
      <c r="B6" s="11" t="s">
        <v>57</v>
      </c>
      <c r="C6" s="34" t="s">
        <v>119</v>
      </c>
      <c r="D6" s="52" t="s">
        <v>131</v>
      </c>
      <c r="E6" s="53" t="s">
        <v>139</v>
      </c>
      <c r="F6" s="30" t="s">
        <v>133</v>
      </c>
      <c r="G6" s="12">
        <v>1</v>
      </c>
      <c r="H6" s="13">
        <v>24</v>
      </c>
      <c r="I6" s="7">
        <v>20000</v>
      </c>
      <c r="J6" s="14">
        <v>2814</v>
      </c>
      <c r="K6" s="15">
        <f>L6+4797+2971+5466+4155+4741+2184</f>
        <v>24314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22" si="7">$AD$23</f>
        <v>0.46813725490196079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 t="s">
        <v>147</v>
      </c>
      <c r="E7" s="53" t="s">
        <v>165</v>
      </c>
      <c r="F7" s="12" t="s">
        <v>166</v>
      </c>
      <c r="G7" s="12">
        <v>4</v>
      </c>
      <c r="H7" s="13">
        <v>24</v>
      </c>
      <c r="I7" s="31">
        <v>10000</v>
      </c>
      <c r="J7" s="14">
        <v>23552</v>
      </c>
      <c r="K7" s="15">
        <f>L7+23552</f>
        <v>23552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0.46813725490196079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119</v>
      </c>
      <c r="D8" s="52" t="s">
        <v>147</v>
      </c>
      <c r="E8" s="53" t="s">
        <v>167</v>
      </c>
      <c r="F8" s="30" t="s">
        <v>168</v>
      </c>
      <c r="G8" s="33">
        <v>2</v>
      </c>
      <c r="H8" s="35">
        <v>24</v>
      </c>
      <c r="I8" s="7">
        <v>40000</v>
      </c>
      <c r="J8" s="5">
        <v>12924</v>
      </c>
      <c r="K8" s="15">
        <f>L8+12262+13056</f>
        <v>38242</v>
      </c>
      <c r="L8" s="15">
        <f>3299*2+3163*2</f>
        <v>12924</v>
      </c>
      <c r="M8" s="15">
        <f t="shared" si="0"/>
        <v>12924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0.46813725490196079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119</v>
      </c>
      <c r="D9" s="52" t="s">
        <v>115</v>
      </c>
      <c r="E9" s="53" t="s">
        <v>222</v>
      </c>
      <c r="F9" s="30" t="s">
        <v>236</v>
      </c>
      <c r="G9" s="12">
        <v>2</v>
      </c>
      <c r="H9" s="13">
        <v>24</v>
      </c>
      <c r="I9" s="7">
        <v>50000</v>
      </c>
      <c r="J9" s="14">
        <v>7346</v>
      </c>
      <c r="K9" s="15">
        <f>L9</f>
        <v>7346</v>
      </c>
      <c r="L9" s="15">
        <f>2614*2+1059*2</f>
        <v>7346</v>
      </c>
      <c r="M9" s="15">
        <f t="shared" si="0"/>
        <v>7346</v>
      </c>
      <c r="N9" s="15">
        <v>0</v>
      </c>
      <c r="O9" s="58">
        <f t="shared" si="1"/>
        <v>0</v>
      </c>
      <c r="P9" s="39">
        <f t="shared" si="2"/>
        <v>19</v>
      </c>
      <c r="Q9" s="40">
        <f t="shared" si="3"/>
        <v>5</v>
      </c>
      <c r="R9" s="7"/>
      <c r="S9" s="6">
        <v>5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0.79166666666666663</v>
      </c>
      <c r="AD9" s="10">
        <f t="shared" si="6"/>
        <v>0.79166666666666663</v>
      </c>
      <c r="AE9" s="36">
        <f t="shared" si="7"/>
        <v>0.46813725490196079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119</v>
      </c>
      <c r="D10" s="52" t="s">
        <v>115</v>
      </c>
      <c r="E10" s="53" t="s">
        <v>159</v>
      </c>
      <c r="F10" s="30" t="s">
        <v>158</v>
      </c>
      <c r="G10" s="33">
        <v>4</v>
      </c>
      <c r="H10" s="35">
        <v>24</v>
      </c>
      <c r="I10" s="7">
        <v>40000</v>
      </c>
      <c r="J10" s="14">
        <v>16663</v>
      </c>
      <c r="K10" s="15">
        <f>L10+7400+6230+10705</f>
        <v>40998</v>
      </c>
      <c r="L10" s="15">
        <f>2578*4+2117*3</f>
        <v>16663</v>
      </c>
      <c r="M10" s="15">
        <f t="shared" si="0"/>
        <v>16663</v>
      </c>
      <c r="N10" s="15">
        <v>0</v>
      </c>
      <c r="O10" s="58">
        <f t="shared" si="1"/>
        <v>0</v>
      </c>
      <c r="P10" s="39">
        <f t="shared" si="2"/>
        <v>22</v>
      </c>
      <c r="Q10" s="40">
        <f t="shared" si="3"/>
        <v>2</v>
      </c>
      <c r="R10" s="7"/>
      <c r="S10" s="6">
        <v>2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0.91666666666666663</v>
      </c>
      <c r="AD10" s="10">
        <f t="shared" si="6"/>
        <v>0.91666666666666663</v>
      </c>
      <c r="AE10" s="36">
        <f t="shared" si="7"/>
        <v>0.46813725490196079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125</v>
      </c>
      <c r="E11" s="53" t="s">
        <v>205</v>
      </c>
      <c r="F11" s="30" t="s">
        <v>206</v>
      </c>
      <c r="G11" s="33">
        <v>1</v>
      </c>
      <c r="H11" s="35">
        <v>24</v>
      </c>
      <c r="I11" s="7">
        <v>1000</v>
      </c>
      <c r="J11" s="14">
        <v>1247</v>
      </c>
      <c r="K11" s="15">
        <f>L11+1247</f>
        <v>1247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0.46813725490196079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149</v>
      </c>
      <c r="F12" s="30" t="s">
        <v>142</v>
      </c>
      <c r="G12" s="12">
        <v>1</v>
      </c>
      <c r="H12" s="13">
        <v>22</v>
      </c>
      <c r="I12" s="31">
        <v>100000</v>
      </c>
      <c r="J12" s="5">
        <v>3896</v>
      </c>
      <c r="K12" s="15">
        <f>L12+3980+4963+4857+4991+5052+5074+5369+4402+4760+5003+4109+5018+5406+4902+5041+5019+5033+5053+4646+3593</f>
        <v>100167</v>
      </c>
      <c r="L12" s="15">
        <f>2525+1371</f>
        <v>3896</v>
      </c>
      <c r="M12" s="15">
        <f t="shared" si="0"/>
        <v>3896</v>
      </c>
      <c r="N12" s="15">
        <v>0</v>
      </c>
      <c r="O12" s="58">
        <f t="shared" si="1"/>
        <v>0</v>
      </c>
      <c r="P12" s="39">
        <f t="shared" si="2"/>
        <v>19</v>
      </c>
      <c r="Q12" s="40">
        <f t="shared" si="3"/>
        <v>5</v>
      </c>
      <c r="R12" s="7"/>
      <c r="S12" s="6">
        <v>5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0.79166666666666663</v>
      </c>
      <c r="AD12" s="10">
        <f t="shared" si="6"/>
        <v>0.79166666666666663</v>
      </c>
      <c r="AE12" s="36">
        <f t="shared" si="7"/>
        <v>0.46813725490196079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224</v>
      </c>
      <c r="E13" s="53" t="s">
        <v>223</v>
      </c>
      <c r="F13" s="30" t="s">
        <v>142</v>
      </c>
      <c r="G13" s="12">
        <v>1</v>
      </c>
      <c r="H13" s="13">
        <v>24</v>
      </c>
      <c r="I13" s="31">
        <v>3500</v>
      </c>
      <c r="J13" s="14">
        <v>3316</v>
      </c>
      <c r="K13" s="15">
        <f>L13</f>
        <v>0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>
        <v>24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0.46813725490196079</v>
      </c>
      <c r="AF13" s="84">
        <f t="shared" si="8"/>
        <v>8</v>
      </c>
    </row>
    <row r="14" spans="1:32" ht="27" customHeight="1">
      <c r="A14" s="105">
        <v>9</v>
      </c>
      <c r="B14" s="11" t="s">
        <v>156</v>
      </c>
      <c r="C14" s="34" t="s">
        <v>112</v>
      </c>
      <c r="D14" s="52" t="s">
        <v>115</v>
      </c>
      <c r="E14" s="53" t="s">
        <v>153</v>
      </c>
      <c r="F14" s="30" t="s">
        <v>144</v>
      </c>
      <c r="G14" s="33">
        <v>1</v>
      </c>
      <c r="H14" s="35">
        <v>50</v>
      </c>
      <c r="I14" s="7">
        <v>50</v>
      </c>
      <c r="J14" s="5"/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0.46813725490196079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125</v>
      </c>
      <c r="E15" s="53" t="s">
        <v>150</v>
      </c>
      <c r="F15" s="12" t="s">
        <v>138</v>
      </c>
      <c r="G15" s="12">
        <v>1</v>
      </c>
      <c r="H15" s="13">
        <v>24</v>
      </c>
      <c r="I15" s="31">
        <v>6500</v>
      </c>
      <c r="J15" s="14">
        <v>5214</v>
      </c>
      <c r="K15" s="15">
        <f>L15+2059+5272+5214</f>
        <v>12545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0.46813725490196079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227</v>
      </c>
      <c r="D16" s="52" t="s">
        <v>228</v>
      </c>
      <c r="E16" s="53" t="s">
        <v>226</v>
      </c>
      <c r="F16" s="30" t="s">
        <v>237</v>
      </c>
      <c r="G16" s="12">
        <v>2</v>
      </c>
      <c r="H16" s="13">
        <v>24</v>
      </c>
      <c r="I16" s="7">
        <v>1000</v>
      </c>
      <c r="J16" s="14">
        <v>2642</v>
      </c>
      <c r="K16" s="15">
        <f>L16</f>
        <v>2642</v>
      </c>
      <c r="L16" s="15">
        <f>1321*2</f>
        <v>2642</v>
      </c>
      <c r="M16" s="15">
        <f t="shared" si="0"/>
        <v>2642</v>
      </c>
      <c r="N16" s="15">
        <v>0</v>
      </c>
      <c r="O16" s="58">
        <f t="shared" si="1"/>
        <v>0</v>
      </c>
      <c r="P16" s="39">
        <f t="shared" si="2"/>
        <v>7</v>
      </c>
      <c r="Q16" s="40">
        <f t="shared" si="3"/>
        <v>17</v>
      </c>
      <c r="R16" s="7"/>
      <c r="S16" s="6">
        <v>2</v>
      </c>
      <c r="T16" s="16"/>
      <c r="U16" s="16"/>
      <c r="V16" s="17"/>
      <c r="W16" s="5">
        <v>15</v>
      </c>
      <c r="X16" s="16"/>
      <c r="Y16" s="16"/>
      <c r="Z16" s="16"/>
      <c r="AA16" s="18"/>
      <c r="AB16" s="8">
        <f t="shared" si="4"/>
        <v>1</v>
      </c>
      <c r="AC16" s="9">
        <f t="shared" si="5"/>
        <v>0.29166666666666669</v>
      </c>
      <c r="AD16" s="10">
        <f t="shared" si="6"/>
        <v>0.29166666666666669</v>
      </c>
      <c r="AE16" s="36">
        <f t="shared" si="7"/>
        <v>0.46813725490196079</v>
      </c>
      <c r="AF16" s="84">
        <f t="shared" si="8"/>
        <v>11</v>
      </c>
    </row>
    <row r="17" spans="1:32" ht="30" customHeight="1">
      <c r="A17" s="112">
        <v>11</v>
      </c>
      <c r="B17" s="11" t="s">
        <v>57</v>
      </c>
      <c r="C17" s="34" t="s">
        <v>118</v>
      </c>
      <c r="D17" s="52" t="s">
        <v>195</v>
      </c>
      <c r="E17" s="53" t="s">
        <v>238</v>
      </c>
      <c r="F17" s="30" t="s">
        <v>213</v>
      </c>
      <c r="G17" s="12">
        <v>1</v>
      </c>
      <c r="H17" s="13">
        <v>24</v>
      </c>
      <c r="I17" s="7">
        <v>20000</v>
      </c>
      <c r="J17" s="14">
        <v>2991</v>
      </c>
      <c r="K17" s="15">
        <f>L17</f>
        <v>2991</v>
      </c>
      <c r="L17" s="15">
        <v>2991</v>
      </c>
      <c r="M17" s="15">
        <f t="shared" ref="M17" si="9">L17-N17</f>
        <v>2991</v>
      </c>
      <c r="N17" s="15">
        <v>0</v>
      </c>
      <c r="O17" s="58">
        <f t="shared" ref="O17" si="10">IF(L17=0,"0",N17/L17)</f>
        <v>0</v>
      </c>
      <c r="P17" s="39">
        <f t="shared" ref="P17" si="11">IF(L17=0,"0",(24-Q17))</f>
        <v>13</v>
      </c>
      <c r="Q17" s="40">
        <f t="shared" ref="Q17" si="12">SUM(R17:AA17)</f>
        <v>11</v>
      </c>
      <c r="R17" s="7"/>
      <c r="S17" s="6">
        <v>11</v>
      </c>
      <c r="T17" s="16"/>
      <c r="U17" s="16"/>
      <c r="V17" s="17"/>
      <c r="W17" s="5"/>
      <c r="X17" s="16"/>
      <c r="Y17" s="16"/>
      <c r="Z17" s="16"/>
      <c r="AA17" s="18"/>
      <c r="AB17" s="8">
        <f t="shared" ref="AB17" si="13">IF(J17=0,"0",(L17/J17))</f>
        <v>1</v>
      </c>
      <c r="AC17" s="9">
        <f t="shared" ref="AC17" si="14">IF(P17=0,"0",(P17/24))</f>
        <v>0.54166666666666663</v>
      </c>
      <c r="AD17" s="10">
        <f t="shared" ref="AD17" si="15">AC17*AB17*(1-O17)</f>
        <v>0.54166666666666663</v>
      </c>
      <c r="AE17" s="36">
        <f t="shared" si="7"/>
        <v>0.46813725490196079</v>
      </c>
      <c r="AF17" s="84">
        <f t="shared" ref="AF17" si="16">A17</f>
        <v>11</v>
      </c>
    </row>
    <row r="18" spans="1:32" ht="30" customHeight="1">
      <c r="A18" s="95">
        <v>12</v>
      </c>
      <c r="B18" s="11" t="s">
        <v>57</v>
      </c>
      <c r="C18" s="34" t="s">
        <v>119</v>
      </c>
      <c r="D18" s="52" t="s">
        <v>231</v>
      </c>
      <c r="E18" s="53" t="s">
        <v>229</v>
      </c>
      <c r="F18" s="30" t="s">
        <v>132</v>
      </c>
      <c r="G18" s="12">
        <v>4</v>
      </c>
      <c r="H18" s="13">
        <v>24</v>
      </c>
      <c r="I18" s="7">
        <v>1000</v>
      </c>
      <c r="J18" s="14">
        <v>1178</v>
      </c>
      <c r="K18" s="15">
        <f>L18</f>
        <v>1178</v>
      </c>
      <c r="L18" s="15">
        <f>1178</f>
        <v>1178</v>
      </c>
      <c r="M18" s="15">
        <f t="shared" si="0"/>
        <v>1178</v>
      </c>
      <c r="N18" s="15">
        <v>0</v>
      </c>
      <c r="O18" s="58">
        <f t="shared" si="1"/>
        <v>0</v>
      </c>
      <c r="P18" s="39">
        <f t="shared" si="2"/>
        <v>6</v>
      </c>
      <c r="Q18" s="40">
        <f t="shared" si="3"/>
        <v>18</v>
      </c>
      <c r="R18" s="7"/>
      <c r="S18" s="6"/>
      <c r="T18" s="16"/>
      <c r="U18" s="16"/>
      <c r="V18" s="17"/>
      <c r="W18" s="5">
        <v>18</v>
      </c>
      <c r="X18" s="16"/>
      <c r="Y18" s="16"/>
      <c r="Z18" s="16"/>
      <c r="AA18" s="18"/>
      <c r="AB18" s="8">
        <f t="shared" si="4"/>
        <v>1</v>
      </c>
      <c r="AC18" s="9">
        <f t="shared" si="5"/>
        <v>0.25</v>
      </c>
      <c r="AD18" s="10">
        <f t="shared" si="6"/>
        <v>0.25</v>
      </c>
      <c r="AE18" s="36">
        <f t="shared" si="7"/>
        <v>0.46813725490196079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119</v>
      </c>
      <c r="D19" s="52" t="s">
        <v>146</v>
      </c>
      <c r="E19" s="53" t="s">
        <v>155</v>
      </c>
      <c r="F19" s="30" t="s">
        <v>142</v>
      </c>
      <c r="G19" s="33">
        <v>1</v>
      </c>
      <c r="H19" s="35">
        <v>24</v>
      </c>
      <c r="I19" s="7">
        <v>12000</v>
      </c>
      <c r="J19" s="14">
        <v>5050</v>
      </c>
      <c r="K19" s="15">
        <f>L19</f>
        <v>5050</v>
      </c>
      <c r="L19" s="15">
        <f>2106+2944</f>
        <v>5050</v>
      </c>
      <c r="M19" s="15">
        <f t="shared" si="0"/>
        <v>5050</v>
      </c>
      <c r="N19" s="15">
        <v>0</v>
      </c>
      <c r="O19" s="58">
        <f t="shared" si="1"/>
        <v>0</v>
      </c>
      <c r="P19" s="39">
        <f t="shared" si="2"/>
        <v>22</v>
      </c>
      <c r="Q19" s="40">
        <f t="shared" si="3"/>
        <v>2</v>
      </c>
      <c r="R19" s="7"/>
      <c r="S19" s="6">
        <v>2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0.91666666666666663</v>
      </c>
      <c r="AD19" s="10">
        <f t="shared" si="6"/>
        <v>0.91666666666666663</v>
      </c>
      <c r="AE19" s="36">
        <f t="shared" si="7"/>
        <v>0.46813725490196079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125</v>
      </c>
      <c r="E20" s="53" t="s">
        <v>225</v>
      </c>
      <c r="F20" s="30" t="s">
        <v>171</v>
      </c>
      <c r="G20" s="33">
        <v>1</v>
      </c>
      <c r="H20" s="35">
        <v>24</v>
      </c>
      <c r="I20" s="7">
        <v>2000</v>
      </c>
      <c r="J20" s="14">
        <v>5363</v>
      </c>
      <c r="K20" s="15">
        <f>L20</f>
        <v>5363</v>
      </c>
      <c r="L20" s="15">
        <f>2499+2864</f>
        <v>5363</v>
      </c>
      <c r="M20" s="15">
        <f t="shared" si="0"/>
        <v>5363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0.46813725490196079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112</v>
      </c>
      <c r="D21" s="52" t="s">
        <v>115</v>
      </c>
      <c r="E21" s="53" t="s">
        <v>151</v>
      </c>
      <c r="F21" s="30" t="s">
        <v>142</v>
      </c>
      <c r="G21" s="12">
        <v>1</v>
      </c>
      <c r="H21" s="13">
        <v>24</v>
      </c>
      <c r="I21" s="7">
        <v>52000</v>
      </c>
      <c r="J21" s="14">
        <v>5615</v>
      </c>
      <c r="K21" s="15">
        <f>L21+2928+5476+5823+3267+3626+5491+5401+5798+4186+3247</f>
        <v>50858</v>
      </c>
      <c r="L21" s="15">
        <f>2725+2890</f>
        <v>5615</v>
      </c>
      <c r="M21" s="15">
        <f t="shared" si="0"/>
        <v>5615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0.46813725490196079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140</v>
      </c>
      <c r="F22" s="12" t="s">
        <v>114</v>
      </c>
      <c r="G22" s="12">
        <v>4</v>
      </c>
      <c r="H22" s="35">
        <v>20</v>
      </c>
      <c r="I22" s="7">
        <v>500000</v>
      </c>
      <c r="J22" s="14">
        <v>33412</v>
      </c>
      <c r="K22" s="15">
        <f>L22+29516</f>
        <v>62928</v>
      </c>
      <c r="L22" s="15">
        <f>8353*4</f>
        <v>33412</v>
      </c>
      <c r="M22" s="15">
        <f t="shared" si="0"/>
        <v>33412</v>
      </c>
      <c r="N22" s="15">
        <v>0</v>
      </c>
      <c r="O22" s="58">
        <f t="shared" si="1"/>
        <v>0</v>
      </c>
      <c r="P22" s="39">
        <f t="shared" si="2"/>
        <v>11</v>
      </c>
      <c r="Q22" s="40">
        <f t="shared" si="3"/>
        <v>13</v>
      </c>
      <c r="R22" s="7"/>
      <c r="S22" s="6"/>
      <c r="T22" s="16"/>
      <c r="U22" s="16"/>
      <c r="V22" s="17">
        <v>13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0.45833333333333331</v>
      </c>
      <c r="AD22" s="10">
        <f t="shared" si="6"/>
        <v>0.45833333333333331</v>
      </c>
      <c r="AE22" s="36">
        <f t="shared" si="7"/>
        <v>0.46813725490196079</v>
      </c>
      <c r="AF22" s="84">
        <f t="shared" si="8"/>
        <v>16</v>
      </c>
    </row>
    <row r="23" spans="1:32" ht="31.5" customHeight="1" thickBot="1">
      <c r="A23" s="384" t="s">
        <v>34</v>
      </c>
      <c r="B23" s="385"/>
      <c r="C23" s="385"/>
      <c r="D23" s="385"/>
      <c r="E23" s="385"/>
      <c r="F23" s="385"/>
      <c r="G23" s="385"/>
      <c r="H23" s="386"/>
      <c r="I23" s="22">
        <f t="shared" ref="I23:N23" si="17">SUM(I6:I22)</f>
        <v>859050</v>
      </c>
      <c r="J23" s="19">
        <f t="shared" si="17"/>
        <v>133223</v>
      </c>
      <c r="K23" s="20">
        <f t="shared" si="17"/>
        <v>379421</v>
      </c>
      <c r="L23" s="21">
        <f t="shared" si="17"/>
        <v>97080</v>
      </c>
      <c r="M23" s="20">
        <f t="shared" si="17"/>
        <v>97080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191</v>
      </c>
      <c r="Q23" s="43">
        <f t="shared" si="18"/>
        <v>217</v>
      </c>
      <c r="R23" s="23">
        <f t="shared" si="18"/>
        <v>0</v>
      </c>
      <c r="S23" s="24">
        <f t="shared" si="18"/>
        <v>51</v>
      </c>
      <c r="T23" s="24">
        <f t="shared" si="18"/>
        <v>0</v>
      </c>
      <c r="U23" s="24">
        <f t="shared" si="18"/>
        <v>0</v>
      </c>
      <c r="V23" s="25">
        <f t="shared" si="18"/>
        <v>13</v>
      </c>
      <c r="W23" s="26">
        <f t="shared" si="18"/>
        <v>153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0</v>
      </c>
      <c r="AB23" s="28">
        <f>AVERAGE(AB6:AB22)</f>
        <v>0.6875</v>
      </c>
      <c r="AC23" s="4">
        <f>AVERAGE(AC6:AC22)</f>
        <v>0.46813725490196079</v>
      </c>
      <c r="AD23" s="4">
        <f>AVERAGE(AD6:AD22)</f>
        <v>0.46813725490196079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387" t="s">
        <v>45</v>
      </c>
      <c r="B50" s="387"/>
      <c r="C50" s="387"/>
      <c r="D50" s="387"/>
      <c r="E50" s="38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388" t="s">
        <v>239</v>
      </c>
      <c r="B51" s="389"/>
      <c r="C51" s="389"/>
      <c r="D51" s="389"/>
      <c r="E51" s="389"/>
      <c r="F51" s="389"/>
      <c r="G51" s="389"/>
      <c r="H51" s="389"/>
      <c r="I51" s="389"/>
      <c r="J51" s="389"/>
      <c r="K51" s="389"/>
      <c r="L51" s="389"/>
      <c r="M51" s="390"/>
      <c r="N51" s="391" t="s">
        <v>246</v>
      </c>
      <c r="O51" s="392"/>
      <c r="P51" s="392"/>
      <c r="Q51" s="392"/>
      <c r="R51" s="392"/>
      <c r="S51" s="392"/>
      <c r="T51" s="392"/>
      <c r="U51" s="392"/>
      <c r="V51" s="392"/>
      <c r="W51" s="392"/>
      <c r="X51" s="392"/>
      <c r="Y51" s="392"/>
      <c r="Z51" s="392"/>
      <c r="AA51" s="392"/>
      <c r="AB51" s="392"/>
      <c r="AC51" s="392"/>
      <c r="AD51" s="393"/>
    </row>
    <row r="52" spans="1:32" ht="27" customHeight="1">
      <c r="A52" s="394" t="s">
        <v>2</v>
      </c>
      <c r="B52" s="395"/>
      <c r="C52" s="158" t="s">
        <v>46</v>
      </c>
      <c r="D52" s="158" t="s">
        <v>47</v>
      </c>
      <c r="E52" s="158" t="s">
        <v>107</v>
      </c>
      <c r="F52" s="396" t="s">
        <v>106</v>
      </c>
      <c r="G52" s="397"/>
      <c r="H52" s="397"/>
      <c r="I52" s="397"/>
      <c r="J52" s="397"/>
      <c r="K52" s="397"/>
      <c r="L52" s="397"/>
      <c r="M52" s="398"/>
      <c r="N52" s="67" t="s">
        <v>110</v>
      </c>
      <c r="O52" s="158" t="s">
        <v>46</v>
      </c>
      <c r="P52" s="396" t="s">
        <v>47</v>
      </c>
      <c r="Q52" s="399"/>
      <c r="R52" s="396" t="s">
        <v>38</v>
      </c>
      <c r="S52" s="397"/>
      <c r="T52" s="397"/>
      <c r="U52" s="399"/>
      <c r="V52" s="396" t="s">
        <v>48</v>
      </c>
      <c r="W52" s="397"/>
      <c r="X52" s="397"/>
      <c r="Y52" s="397"/>
      <c r="Z52" s="397"/>
      <c r="AA52" s="397"/>
      <c r="AB52" s="397"/>
      <c r="AC52" s="397"/>
      <c r="AD52" s="398"/>
    </row>
    <row r="53" spans="1:32" ht="27" customHeight="1">
      <c r="A53" s="420" t="s">
        <v>119</v>
      </c>
      <c r="B53" s="421"/>
      <c r="C53" s="154" t="s">
        <v>184</v>
      </c>
      <c r="D53" s="154" t="s">
        <v>146</v>
      </c>
      <c r="E53" s="154" t="s">
        <v>155</v>
      </c>
      <c r="F53" s="412" t="s">
        <v>240</v>
      </c>
      <c r="G53" s="413"/>
      <c r="H53" s="413"/>
      <c r="I53" s="413"/>
      <c r="J53" s="413"/>
      <c r="K53" s="413"/>
      <c r="L53" s="413"/>
      <c r="M53" s="414"/>
      <c r="N53" s="153" t="s">
        <v>118</v>
      </c>
      <c r="O53" s="151" t="s">
        <v>219</v>
      </c>
      <c r="P53" s="415" t="s">
        <v>115</v>
      </c>
      <c r="Q53" s="416"/>
      <c r="R53" s="415" t="s">
        <v>220</v>
      </c>
      <c r="S53" s="417"/>
      <c r="T53" s="417"/>
      <c r="U53" s="416"/>
      <c r="V53" s="418" t="s">
        <v>247</v>
      </c>
      <c r="W53" s="418"/>
      <c r="X53" s="418"/>
      <c r="Y53" s="418"/>
      <c r="Z53" s="418"/>
      <c r="AA53" s="418"/>
      <c r="AB53" s="418"/>
      <c r="AC53" s="418"/>
      <c r="AD53" s="419"/>
    </row>
    <row r="54" spans="1:32" ht="27" customHeight="1">
      <c r="A54" s="410" t="s">
        <v>119</v>
      </c>
      <c r="B54" s="411"/>
      <c r="C54" s="157" t="s">
        <v>187</v>
      </c>
      <c r="D54" s="157" t="s">
        <v>115</v>
      </c>
      <c r="E54" s="154" t="s">
        <v>159</v>
      </c>
      <c r="F54" s="412" t="s">
        <v>241</v>
      </c>
      <c r="G54" s="413"/>
      <c r="H54" s="413"/>
      <c r="I54" s="413"/>
      <c r="J54" s="413"/>
      <c r="K54" s="413"/>
      <c r="L54" s="413"/>
      <c r="M54" s="414"/>
      <c r="N54" s="153" t="s">
        <v>119</v>
      </c>
      <c r="O54" s="151" t="s">
        <v>129</v>
      </c>
      <c r="P54" s="415" t="s">
        <v>119</v>
      </c>
      <c r="Q54" s="416"/>
      <c r="R54" s="415" t="s">
        <v>139</v>
      </c>
      <c r="S54" s="417"/>
      <c r="T54" s="417"/>
      <c r="U54" s="416"/>
      <c r="V54" s="418" t="s">
        <v>130</v>
      </c>
      <c r="W54" s="418"/>
      <c r="X54" s="418"/>
      <c r="Y54" s="418"/>
      <c r="Z54" s="418"/>
      <c r="AA54" s="418"/>
      <c r="AB54" s="418"/>
      <c r="AC54" s="418"/>
      <c r="AD54" s="419"/>
    </row>
    <row r="55" spans="1:32" ht="27" customHeight="1">
      <c r="A55" s="420" t="s">
        <v>119</v>
      </c>
      <c r="B55" s="421"/>
      <c r="C55" s="154" t="s">
        <v>137</v>
      </c>
      <c r="D55" s="154" t="s">
        <v>115</v>
      </c>
      <c r="E55" s="154" t="s">
        <v>242</v>
      </c>
      <c r="F55" s="412" t="s">
        <v>243</v>
      </c>
      <c r="G55" s="413"/>
      <c r="H55" s="413"/>
      <c r="I55" s="413"/>
      <c r="J55" s="413"/>
      <c r="K55" s="413"/>
      <c r="L55" s="413"/>
      <c r="M55" s="414"/>
      <c r="N55" s="153" t="s">
        <v>112</v>
      </c>
      <c r="O55" s="151" t="s">
        <v>136</v>
      </c>
      <c r="P55" s="415" t="s">
        <v>224</v>
      </c>
      <c r="Q55" s="416"/>
      <c r="R55" s="415" t="s">
        <v>223</v>
      </c>
      <c r="S55" s="417"/>
      <c r="T55" s="417"/>
      <c r="U55" s="416"/>
      <c r="V55" s="418" t="s">
        <v>126</v>
      </c>
      <c r="W55" s="418"/>
      <c r="X55" s="418"/>
      <c r="Y55" s="418"/>
      <c r="Z55" s="418"/>
      <c r="AA55" s="418"/>
      <c r="AB55" s="418"/>
      <c r="AC55" s="418"/>
      <c r="AD55" s="419"/>
    </row>
    <row r="56" spans="1:32" ht="27" customHeight="1">
      <c r="A56" s="410" t="s">
        <v>118</v>
      </c>
      <c r="B56" s="411"/>
      <c r="C56" s="157" t="s">
        <v>219</v>
      </c>
      <c r="D56" s="157" t="s">
        <v>115</v>
      </c>
      <c r="E56" s="157" t="s">
        <v>220</v>
      </c>
      <c r="F56" s="492" t="s">
        <v>126</v>
      </c>
      <c r="G56" s="493"/>
      <c r="H56" s="493"/>
      <c r="I56" s="493"/>
      <c r="J56" s="493"/>
      <c r="K56" s="493"/>
      <c r="L56" s="493"/>
      <c r="M56" s="494"/>
      <c r="N56" s="153"/>
      <c r="O56" s="151"/>
      <c r="P56" s="415"/>
      <c r="Q56" s="416"/>
      <c r="R56" s="415"/>
      <c r="S56" s="417"/>
      <c r="T56" s="417"/>
      <c r="U56" s="416"/>
      <c r="V56" s="418"/>
      <c r="W56" s="418"/>
      <c r="X56" s="418"/>
      <c r="Y56" s="418"/>
      <c r="Z56" s="418"/>
      <c r="AA56" s="418"/>
      <c r="AB56" s="418"/>
      <c r="AC56" s="418"/>
      <c r="AD56" s="419"/>
    </row>
    <row r="57" spans="1:32" ht="27" customHeight="1">
      <c r="A57" s="410" t="s">
        <v>112</v>
      </c>
      <c r="B57" s="411"/>
      <c r="C57" s="157" t="s">
        <v>135</v>
      </c>
      <c r="D57" s="157" t="s">
        <v>125</v>
      </c>
      <c r="E57" s="154" t="s">
        <v>225</v>
      </c>
      <c r="F57" s="412" t="s">
        <v>130</v>
      </c>
      <c r="G57" s="413"/>
      <c r="H57" s="413"/>
      <c r="I57" s="413"/>
      <c r="J57" s="413"/>
      <c r="K57" s="413"/>
      <c r="L57" s="413"/>
      <c r="M57" s="414"/>
      <c r="N57" s="153"/>
      <c r="O57" s="151"/>
      <c r="P57" s="415"/>
      <c r="Q57" s="416"/>
      <c r="R57" s="415"/>
      <c r="S57" s="417"/>
      <c r="T57" s="417"/>
      <c r="U57" s="416"/>
      <c r="V57" s="418"/>
      <c r="W57" s="418"/>
      <c r="X57" s="418"/>
      <c r="Y57" s="418"/>
      <c r="Z57" s="418"/>
      <c r="AA57" s="418"/>
      <c r="AB57" s="418"/>
      <c r="AC57" s="418"/>
      <c r="AD57" s="419"/>
    </row>
    <row r="58" spans="1:32" ht="27" customHeight="1">
      <c r="A58" s="410" t="s">
        <v>112</v>
      </c>
      <c r="B58" s="411"/>
      <c r="C58" s="157" t="s">
        <v>136</v>
      </c>
      <c r="D58" s="157" t="s">
        <v>224</v>
      </c>
      <c r="E58" s="154" t="s">
        <v>223</v>
      </c>
      <c r="F58" s="412" t="s">
        <v>244</v>
      </c>
      <c r="G58" s="413"/>
      <c r="H58" s="413"/>
      <c r="I58" s="413"/>
      <c r="J58" s="413"/>
      <c r="K58" s="413"/>
      <c r="L58" s="413"/>
      <c r="M58" s="414"/>
      <c r="N58" s="153"/>
      <c r="O58" s="151"/>
      <c r="P58" s="415"/>
      <c r="Q58" s="416"/>
      <c r="R58" s="415"/>
      <c r="S58" s="417"/>
      <c r="T58" s="417"/>
      <c r="U58" s="416"/>
      <c r="V58" s="418"/>
      <c r="W58" s="418"/>
      <c r="X58" s="418"/>
      <c r="Y58" s="418"/>
      <c r="Z58" s="418"/>
      <c r="AA58" s="418"/>
      <c r="AB58" s="418"/>
      <c r="AC58" s="418"/>
      <c r="AD58" s="419"/>
    </row>
    <row r="59" spans="1:32" ht="27" customHeight="1">
      <c r="A59" s="410" t="s">
        <v>227</v>
      </c>
      <c r="B59" s="411"/>
      <c r="C59" s="157" t="s">
        <v>145</v>
      </c>
      <c r="D59" s="157" t="s">
        <v>228</v>
      </c>
      <c r="E59" s="154" t="s">
        <v>226</v>
      </c>
      <c r="F59" s="412" t="s">
        <v>245</v>
      </c>
      <c r="G59" s="413"/>
      <c r="H59" s="413"/>
      <c r="I59" s="413"/>
      <c r="J59" s="413"/>
      <c r="K59" s="413"/>
      <c r="L59" s="413"/>
      <c r="M59" s="414"/>
      <c r="N59" s="153"/>
      <c r="O59" s="151"/>
      <c r="P59" s="415"/>
      <c r="Q59" s="416"/>
      <c r="R59" s="415"/>
      <c r="S59" s="417"/>
      <c r="T59" s="417"/>
      <c r="U59" s="416"/>
      <c r="V59" s="418"/>
      <c r="W59" s="418"/>
      <c r="X59" s="418"/>
      <c r="Y59" s="418"/>
      <c r="Z59" s="418"/>
      <c r="AA59" s="418"/>
      <c r="AB59" s="418"/>
      <c r="AC59" s="418"/>
      <c r="AD59" s="419"/>
    </row>
    <row r="60" spans="1:32" ht="27" customHeight="1">
      <c r="A60" s="420" t="s">
        <v>118</v>
      </c>
      <c r="B60" s="421"/>
      <c r="C60" s="154" t="s">
        <v>145</v>
      </c>
      <c r="D60" s="154" t="s">
        <v>195</v>
      </c>
      <c r="E60" s="154" t="s">
        <v>238</v>
      </c>
      <c r="F60" s="412" t="s">
        <v>130</v>
      </c>
      <c r="G60" s="413"/>
      <c r="H60" s="413"/>
      <c r="I60" s="413"/>
      <c r="J60" s="413"/>
      <c r="K60" s="413"/>
      <c r="L60" s="413"/>
      <c r="M60" s="414"/>
      <c r="N60" s="153"/>
      <c r="O60" s="151"/>
      <c r="P60" s="415"/>
      <c r="Q60" s="416"/>
      <c r="R60" s="421"/>
      <c r="S60" s="421"/>
      <c r="T60" s="421"/>
      <c r="U60" s="421"/>
      <c r="V60" s="418"/>
      <c r="W60" s="418"/>
      <c r="X60" s="418"/>
      <c r="Y60" s="418"/>
      <c r="Z60" s="418"/>
      <c r="AA60" s="418"/>
      <c r="AB60" s="418"/>
      <c r="AC60" s="418"/>
      <c r="AD60" s="419"/>
    </row>
    <row r="61" spans="1:32" ht="27" customHeight="1">
      <c r="A61" s="410" t="s">
        <v>119</v>
      </c>
      <c r="B61" s="411"/>
      <c r="C61" s="157" t="s">
        <v>230</v>
      </c>
      <c r="D61" s="157" t="s">
        <v>231</v>
      </c>
      <c r="E61" s="154" t="s">
        <v>229</v>
      </c>
      <c r="F61" s="412" t="s">
        <v>130</v>
      </c>
      <c r="G61" s="413"/>
      <c r="H61" s="413"/>
      <c r="I61" s="413"/>
      <c r="J61" s="413"/>
      <c r="K61" s="413"/>
      <c r="L61" s="413"/>
      <c r="M61" s="414"/>
      <c r="N61" s="153"/>
      <c r="O61" s="151"/>
      <c r="P61" s="421"/>
      <c r="Q61" s="421"/>
      <c r="R61" s="421"/>
      <c r="S61" s="421"/>
      <c r="T61" s="421"/>
      <c r="U61" s="421"/>
      <c r="V61" s="418"/>
      <c r="W61" s="418"/>
      <c r="X61" s="418"/>
      <c r="Y61" s="418"/>
      <c r="Z61" s="418"/>
      <c r="AA61" s="418"/>
      <c r="AB61" s="418"/>
      <c r="AC61" s="418"/>
      <c r="AD61" s="419"/>
      <c r="AF61" s="84">
        <f>8*3000</f>
        <v>24000</v>
      </c>
    </row>
    <row r="62" spans="1:32" ht="27" customHeight="1" thickBot="1">
      <c r="A62" s="422"/>
      <c r="B62" s="423"/>
      <c r="C62" s="155"/>
      <c r="D62" s="156"/>
      <c r="E62" s="156"/>
      <c r="F62" s="424"/>
      <c r="G62" s="425"/>
      <c r="H62" s="425"/>
      <c r="I62" s="425"/>
      <c r="J62" s="425"/>
      <c r="K62" s="425"/>
      <c r="L62" s="425"/>
      <c r="M62" s="426"/>
      <c r="N62" s="111"/>
      <c r="O62" s="103"/>
      <c r="P62" s="427"/>
      <c r="Q62" s="427"/>
      <c r="R62" s="427"/>
      <c r="S62" s="427"/>
      <c r="T62" s="427"/>
      <c r="U62" s="427"/>
      <c r="V62" s="428"/>
      <c r="W62" s="428"/>
      <c r="X62" s="428"/>
      <c r="Y62" s="428"/>
      <c r="Z62" s="428"/>
      <c r="AA62" s="428"/>
      <c r="AB62" s="428"/>
      <c r="AC62" s="428"/>
      <c r="AD62" s="429"/>
      <c r="AF62" s="84">
        <f>16*3000</f>
        <v>48000</v>
      </c>
    </row>
    <row r="63" spans="1:32" ht="27.75" thickBot="1">
      <c r="A63" s="430" t="s">
        <v>248</v>
      </c>
      <c r="B63" s="430"/>
      <c r="C63" s="430"/>
      <c r="D63" s="430"/>
      <c r="E63" s="430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31" t="s">
        <v>111</v>
      </c>
      <c r="B64" s="432"/>
      <c r="C64" s="152" t="s">
        <v>2</v>
      </c>
      <c r="D64" s="152" t="s">
        <v>37</v>
      </c>
      <c r="E64" s="152" t="s">
        <v>3</v>
      </c>
      <c r="F64" s="432" t="s">
        <v>109</v>
      </c>
      <c r="G64" s="432"/>
      <c r="H64" s="432"/>
      <c r="I64" s="432"/>
      <c r="J64" s="432"/>
      <c r="K64" s="432" t="s">
        <v>39</v>
      </c>
      <c r="L64" s="432"/>
      <c r="M64" s="152" t="s">
        <v>40</v>
      </c>
      <c r="N64" s="432" t="s">
        <v>41</v>
      </c>
      <c r="O64" s="432"/>
      <c r="P64" s="433" t="s">
        <v>42</v>
      </c>
      <c r="Q64" s="434"/>
      <c r="R64" s="433" t="s">
        <v>43</v>
      </c>
      <c r="S64" s="435"/>
      <c r="T64" s="435"/>
      <c r="U64" s="435"/>
      <c r="V64" s="435"/>
      <c r="W64" s="435"/>
      <c r="X64" s="435"/>
      <c r="Y64" s="435"/>
      <c r="Z64" s="435"/>
      <c r="AA64" s="434"/>
      <c r="AB64" s="432" t="s">
        <v>44</v>
      </c>
      <c r="AC64" s="432"/>
      <c r="AD64" s="436"/>
      <c r="AF64" s="84">
        <f>SUM(AF61:AF63)</f>
        <v>96000</v>
      </c>
    </row>
    <row r="65" spans="1:32" ht="25.5" customHeight="1">
      <c r="A65" s="437">
        <v>1</v>
      </c>
      <c r="B65" s="438"/>
      <c r="C65" s="104" t="s">
        <v>118</v>
      </c>
      <c r="D65" s="147"/>
      <c r="E65" s="150" t="s">
        <v>202</v>
      </c>
      <c r="F65" s="439" t="s">
        <v>203</v>
      </c>
      <c r="G65" s="440"/>
      <c r="H65" s="440"/>
      <c r="I65" s="440"/>
      <c r="J65" s="441"/>
      <c r="K65" s="442" t="s">
        <v>127</v>
      </c>
      <c r="L65" s="442"/>
      <c r="M65" s="51" t="s">
        <v>141</v>
      </c>
      <c r="N65" s="443" t="s">
        <v>137</v>
      </c>
      <c r="O65" s="443"/>
      <c r="P65" s="444">
        <v>200</v>
      </c>
      <c r="Q65" s="444"/>
      <c r="R65" s="418"/>
      <c r="S65" s="418"/>
      <c r="T65" s="418"/>
      <c r="U65" s="418"/>
      <c r="V65" s="418"/>
      <c r="W65" s="418"/>
      <c r="X65" s="418"/>
      <c r="Y65" s="418"/>
      <c r="Z65" s="418"/>
      <c r="AA65" s="418"/>
      <c r="AB65" s="442"/>
      <c r="AC65" s="442"/>
      <c r="AD65" s="445"/>
      <c r="AF65" s="50"/>
    </row>
    <row r="66" spans="1:32" ht="25.5" customHeight="1">
      <c r="A66" s="437">
        <v>2</v>
      </c>
      <c r="B66" s="438"/>
      <c r="C66" s="104"/>
      <c r="D66" s="147"/>
      <c r="E66" s="150"/>
      <c r="F66" s="439"/>
      <c r="G66" s="440"/>
      <c r="H66" s="440"/>
      <c r="I66" s="440"/>
      <c r="J66" s="441"/>
      <c r="K66" s="442"/>
      <c r="L66" s="442"/>
      <c r="M66" s="51"/>
      <c r="N66" s="443"/>
      <c r="O66" s="443"/>
      <c r="P66" s="444"/>
      <c r="Q66" s="444"/>
      <c r="R66" s="418"/>
      <c r="S66" s="418"/>
      <c r="T66" s="418"/>
      <c r="U66" s="418"/>
      <c r="V66" s="418"/>
      <c r="W66" s="418"/>
      <c r="X66" s="418"/>
      <c r="Y66" s="418"/>
      <c r="Z66" s="418"/>
      <c r="AA66" s="418"/>
      <c r="AB66" s="442"/>
      <c r="AC66" s="442"/>
      <c r="AD66" s="445"/>
      <c r="AF66" s="50"/>
    </row>
    <row r="67" spans="1:32" ht="25.5" customHeight="1">
      <c r="A67" s="437">
        <v>3</v>
      </c>
      <c r="B67" s="438"/>
      <c r="C67" s="104"/>
      <c r="D67" s="147"/>
      <c r="E67" s="150"/>
      <c r="F67" s="439"/>
      <c r="G67" s="440"/>
      <c r="H67" s="440"/>
      <c r="I67" s="440"/>
      <c r="J67" s="441"/>
      <c r="K67" s="442"/>
      <c r="L67" s="442"/>
      <c r="M67" s="51"/>
      <c r="N67" s="443"/>
      <c r="O67" s="443"/>
      <c r="P67" s="444"/>
      <c r="Q67" s="444"/>
      <c r="R67" s="418"/>
      <c r="S67" s="418"/>
      <c r="T67" s="418"/>
      <c r="U67" s="418"/>
      <c r="V67" s="418"/>
      <c r="W67" s="418"/>
      <c r="X67" s="418"/>
      <c r="Y67" s="418"/>
      <c r="Z67" s="418"/>
      <c r="AA67" s="418"/>
      <c r="AB67" s="442"/>
      <c r="AC67" s="442"/>
      <c r="AD67" s="445"/>
      <c r="AF67" s="50"/>
    </row>
    <row r="68" spans="1:32" ht="25.5" customHeight="1">
      <c r="A68" s="437">
        <v>4</v>
      </c>
      <c r="B68" s="438"/>
      <c r="C68" s="104"/>
      <c r="D68" s="147"/>
      <c r="E68" s="150"/>
      <c r="F68" s="439"/>
      <c r="G68" s="440"/>
      <c r="H68" s="440"/>
      <c r="I68" s="440"/>
      <c r="J68" s="441"/>
      <c r="K68" s="442"/>
      <c r="L68" s="442"/>
      <c r="M68" s="51"/>
      <c r="N68" s="443"/>
      <c r="O68" s="443"/>
      <c r="P68" s="446"/>
      <c r="Q68" s="446"/>
      <c r="R68" s="418"/>
      <c r="S68" s="418"/>
      <c r="T68" s="418"/>
      <c r="U68" s="418"/>
      <c r="V68" s="418"/>
      <c r="W68" s="418"/>
      <c r="X68" s="418"/>
      <c r="Y68" s="418"/>
      <c r="Z68" s="418"/>
      <c r="AA68" s="418"/>
      <c r="AB68" s="442"/>
      <c r="AC68" s="442"/>
      <c r="AD68" s="445"/>
      <c r="AF68" s="50"/>
    </row>
    <row r="69" spans="1:32" ht="25.5" customHeight="1">
      <c r="A69" s="437">
        <v>5</v>
      </c>
      <c r="B69" s="438"/>
      <c r="C69" s="104"/>
      <c r="D69" s="147"/>
      <c r="E69" s="150"/>
      <c r="F69" s="439"/>
      <c r="G69" s="440"/>
      <c r="H69" s="440"/>
      <c r="I69" s="440"/>
      <c r="J69" s="441"/>
      <c r="K69" s="442"/>
      <c r="L69" s="442"/>
      <c r="M69" s="51"/>
      <c r="N69" s="443"/>
      <c r="O69" s="443"/>
      <c r="P69" s="444"/>
      <c r="Q69" s="444"/>
      <c r="R69" s="418"/>
      <c r="S69" s="418"/>
      <c r="T69" s="418"/>
      <c r="U69" s="418"/>
      <c r="V69" s="418"/>
      <c r="W69" s="418"/>
      <c r="X69" s="418"/>
      <c r="Y69" s="418"/>
      <c r="Z69" s="418"/>
      <c r="AA69" s="418"/>
      <c r="AB69" s="442"/>
      <c r="AC69" s="442"/>
      <c r="AD69" s="445"/>
      <c r="AF69" s="50"/>
    </row>
    <row r="70" spans="1:32" ht="25.5" customHeight="1">
      <c r="A70" s="437">
        <v>6</v>
      </c>
      <c r="B70" s="438"/>
      <c r="C70" s="104"/>
      <c r="D70" s="147"/>
      <c r="E70" s="150"/>
      <c r="F70" s="439"/>
      <c r="G70" s="440"/>
      <c r="H70" s="440"/>
      <c r="I70" s="440"/>
      <c r="J70" s="441"/>
      <c r="K70" s="442"/>
      <c r="L70" s="442"/>
      <c r="M70" s="51"/>
      <c r="N70" s="443"/>
      <c r="O70" s="443"/>
      <c r="P70" s="444"/>
      <c r="Q70" s="444"/>
      <c r="R70" s="418"/>
      <c r="S70" s="418"/>
      <c r="T70" s="418"/>
      <c r="U70" s="418"/>
      <c r="V70" s="418"/>
      <c r="W70" s="418"/>
      <c r="X70" s="418"/>
      <c r="Y70" s="418"/>
      <c r="Z70" s="418"/>
      <c r="AA70" s="418"/>
      <c r="AB70" s="442"/>
      <c r="AC70" s="442"/>
      <c r="AD70" s="445"/>
      <c r="AF70" s="50"/>
    </row>
    <row r="71" spans="1:32" ht="25.5" customHeight="1">
      <c r="A71" s="437">
        <v>7</v>
      </c>
      <c r="B71" s="438"/>
      <c r="C71" s="104"/>
      <c r="D71" s="147"/>
      <c r="E71" s="150"/>
      <c r="F71" s="447"/>
      <c r="G71" s="442"/>
      <c r="H71" s="442"/>
      <c r="I71" s="442"/>
      <c r="J71" s="442"/>
      <c r="K71" s="442"/>
      <c r="L71" s="442"/>
      <c r="M71" s="51"/>
      <c r="N71" s="443"/>
      <c r="O71" s="443"/>
      <c r="P71" s="444"/>
      <c r="Q71" s="444"/>
      <c r="R71" s="418"/>
      <c r="S71" s="418"/>
      <c r="T71" s="418"/>
      <c r="U71" s="418"/>
      <c r="V71" s="418"/>
      <c r="W71" s="418"/>
      <c r="X71" s="418"/>
      <c r="Y71" s="418"/>
      <c r="Z71" s="418"/>
      <c r="AA71" s="418"/>
      <c r="AB71" s="442"/>
      <c r="AC71" s="442"/>
      <c r="AD71" s="445"/>
      <c r="AF71" s="50"/>
    </row>
    <row r="72" spans="1:32" ht="25.5" customHeight="1">
      <c r="A72" s="437">
        <v>8</v>
      </c>
      <c r="B72" s="438"/>
      <c r="C72" s="104"/>
      <c r="D72" s="147"/>
      <c r="E72" s="150"/>
      <c r="F72" s="447"/>
      <c r="G72" s="442"/>
      <c r="H72" s="442"/>
      <c r="I72" s="442"/>
      <c r="J72" s="442"/>
      <c r="K72" s="442"/>
      <c r="L72" s="442"/>
      <c r="M72" s="51"/>
      <c r="N72" s="443"/>
      <c r="O72" s="443"/>
      <c r="P72" s="444"/>
      <c r="Q72" s="444"/>
      <c r="R72" s="418"/>
      <c r="S72" s="418"/>
      <c r="T72" s="418"/>
      <c r="U72" s="418"/>
      <c r="V72" s="418"/>
      <c r="W72" s="418"/>
      <c r="X72" s="418"/>
      <c r="Y72" s="418"/>
      <c r="Z72" s="418"/>
      <c r="AA72" s="418"/>
      <c r="AB72" s="442"/>
      <c r="AC72" s="442"/>
      <c r="AD72" s="445"/>
      <c r="AF72" s="50"/>
    </row>
    <row r="73" spans="1:32" ht="25.5" customHeight="1">
      <c r="A73" s="437">
        <v>9</v>
      </c>
      <c r="B73" s="438"/>
      <c r="C73" s="104"/>
      <c r="D73" s="147"/>
      <c r="E73" s="150"/>
      <c r="F73" s="447"/>
      <c r="G73" s="442"/>
      <c r="H73" s="442"/>
      <c r="I73" s="442"/>
      <c r="J73" s="442"/>
      <c r="K73" s="442"/>
      <c r="L73" s="442"/>
      <c r="M73" s="51"/>
      <c r="N73" s="443"/>
      <c r="O73" s="443"/>
      <c r="P73" s="444"/>
      <c r="Q73" s="444"/>
      <c r="R73" s="418"/>
      <c r="S73" s="418"/>
      <c r="T73" s="418"/>
      <c r="U73" s="418"/>
      <c r="V73" s="418"/>
      <c r="W73" s="418"/>
      <c r="X73" s="418"/>
      <c r="Y73" s="418"/>
      <c r="Z73" s="418"/>
      <c r="AA73" s="418"/>
      <c r="AB73" s="442"/>
      <c r="AC73" s="442"/>
      <c r="AD73" s="445"/>
      <c r="AF73" s="50"/>
    </row>
    <row r="74" spans="1:32" ht="25.5" customHeight="1">
      <c r="A74" s="437">
        <v>10</v>
      </c>
      <c r="B74" s="438"/>
      <c r="C74" s="104"/>
      <c r="D74" s="147"/>
      <c r="E74" s="150"/>
      <c r="F74" s="447"/>
      <c r="G74" s="442"/>
      <c r="H74" s="442"/>
      <c r="I74" s="442"/>
      <c r="J74" s="442"/>
      <c r="K74" s="442"/>
      <c r="L74" s="442"/>
      <c r="M74" s="51"/>
      <c r="N74" s="443"/>
      <c r="O74" s="443"/>
      <c r="P74" s="444"/>
      <c r="Q74" s="444"/>
      <c r="R74" s="418"/>
      <c r="S74" s="418"/>
      <c r="T74" s="418"/>
      <c r="U74" s="418"/>
      <c r="V74" s="418"/>
      <c r="W74" s="418"/>
      <c r="X74" s="418"/>
      <c r="Y74" s="418"/>
      <c r="Z74" s="418"/>
      <c r="AA74" s="418"/>
      <c r="AB74" s="442"/>
      <c r="AC74" s="442"/>
      <c r="AD74" s="445"/>
      <c r="AF74" s="50"/>
    </row>
    <row r="75" spans="1:32" ht="26.25" customHeight="1" thickBot="1">
      <c r="A75" s="448" t="s">
        <v>249</v>
      </c>
      <c r="B75" s="448"/>
      <c r="C75" s="448"/>
      <c r="D75" s="448"/>
      <c r="E75" s="448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49" t="s">
        <v>134</v>
      </c>
      <c r="B76" s="450"/>
      <c r="C76" s="149" t="s">
        <v>2</v>
      </c>
      <c r="D76" s="149" t="s">
        <v>37</v>
      </c>
      <c r="E76" s="149" t="s">
        <v>128</v>
      </c>
      <c r="F76" s="450" t="s">
        <v>38</v>
      </c>
      <c r="G76" s="450"/>
      <c r="H76" s="450"/>
      <c r="I76" s="450"/>
      <c r="J76" s="450"/>
      <c r="K76" s="451" t="s">
        <v>58</v>
      </c>
      <c r="L76" s="452"/>
      <c r="M76" s="452"/>
      <c r="N76" s="452"/>
      <c r="O76" s="452"/>
      <c r="P76" s="452"/>
      <c r="Q76" s="452"/>
      <c r="R76" s="452"/>
      <c r="S76" s="453"/>
      <c r="T76" s="450" t="s">
        <v>49</v>
      </c>
      <c r="U76" s="450"/>
      <c r="V76" s="451" t="s">
        <v>50</v>
      </c>
      <c r="W76" s="453"/>
      <c r="X76" s="452" t="s">
        <v>51</v>
      </c>
      <c r="Y76" s="452"/>
      <c r="Z76" s="452"/>
      <c r="AA76" s="452"/>
      <c r="AB76" s="452"/>
      <c r="AC76" s="452"/>
      <c r="AD76" s="454"/>
      <c r="AF76" s="50"/>
    </row>
    <row r="77" spans="1:32" ht="33.75" customHeight="1">
      <c r="A77" s="463">
        <v>1</v>
      </c>
      <c r="B77" s="464"/>
      <c r="C77" s="148" t="s">
        <v>112</v>
      </c>
      <c r="D77" s="148"/>
      <c r="E77" s="65" t="s">
        <v>117</v>
      </c>
      <c r="F77" s="465" t="s">
        <v>116</v>
      </c>
      <c r="G77" s="466"/>
      <c r="H77" s="466"/>
      <c r="I77" s="466"/>
      <c r="J77" s="467"/>
      <c r="K77" s="468" t="s">
        <v>120</v>
      </c>
      <c r="L77" s="469"/>
      <c r="M77" s="469"/>
      <c r="N77" s="469"/>
      <c r="O77" s="469"/>
      <c r="P77" s="469"/>
      <c r="Q77" s="469"/>
      <c r="R77" s="469"/>
      <c r="S77" s="470"/>
      <c r="T77" s="471">
        <v>44118</v>
      </c>
      <c r="U77" s="472"/>
      <c r="V77" s="473"/>
      <c r="W77" s="473"/>
      <c r="X77" s="474"/>
      <c r="Y77" s="474"/>
      <c r="Z77" s="474"/>
      <c r="AA77" s="474"/>
      <c r="AB77" s="474"/>
      <c r="AC77" s="474"/>
      <c r="AD77" s="475"/>
      <c r="AF77" s="50"/>
    </row>
    <row r="78" spans="1:32" ht="30" customHeight="1">
      <c r="A78" s="455">
        <f>A77+1</f>
        <v>2</v>
      </c>
      <c r="B78" s="456"/>
      <c r="C78" s="147"/>
      <c r="D78" s="147"/>
      <c r="E78" s="32"/>
      <c r="F78" s="456"/>
      <c r="G78" s="456"/>
      <c r="H78" s="456"/>
      <c r="I78" s="456"/>
      <c r="J78" s="456"/>
      <c r="K78" s="457"/>
      <c r="L78" s="458"/>
      <c r="M78" s="458"/>
      <c r="N78" s="458"/>
      <c r="O78" s="458"/>
      <c r="P78" s="458"/>
      <c r="Q78" s="458"/>
      <c r="R78" s="458"/>
      <c r="S78" s="459"/>
      <c r="T78" s="460"/>
      <c r="U78" s="460"/>
      <c r="V78" s="460"/>
      <c r="W78" s="460"/>
      <c r="X78" s="461"/>
      <c r="Y78" s="461"/>
      <c r="Z78" s="461"/>
      <c r="AA78" s="461"/>
      <c r="AB78" s="461"/>
      <c r="AC78" s="461"/>
      <c r="AD78" s="462"/>
      <c r="AF78" s="50"/>
    </row>
    <row r="79" spans="1:32" ht="30" customHeight="1">
      <c r="A79" s="455">
        <f t="shared" ref="A79:A83" si="19">A78+1</f>
        <v>3</v>
      </c>
      <c r="B79" s="456"/>
      <c r="C79" s="147"/>
      <c r="D79" s="147"/>
      <c r="E79" s="32"/>
      <c r="F79" s="456"/>
      <c r="G79" s="456"/>
      <c r="H79" s="456"/>
      <c r="I79" s="456"/>
      <c r="J79" s="456"/>
      <c r="K79" s="457"/>
      <c r="L79" s="458"/>
      <c r="M79" s="458"/>
      <c r="N79" s="458"/>
      <c r="O79" s="458"/>
      <c r="P79" s="458"/>
      <c r="Q79" s="458"/>
      <c r="R79" s="458"/>
      <c r="S79" s="459"/>
      <c r="T79" s="460"/>
      <c r="U79" s="460"/>
      <c r="V79" s="460"/>
      <c r="W79" s="460"/>
      <c r="X79" s="461"/>
      <c r="Y79" s="461"/>
      <c r="Z79" s="461"/>
      <c r="AA79" s="461"/>
      <c r="AB79" s="461"/>
      <c r="AC79" s="461"/>
      <c r="AD79" s="462"/>
      <c r="AF79" s="50"/>
    </row>
    <row r="80" spans="1:32" ht="30" customHeight="1">
      <c r="A80" s="455">
        <f t="shared" si="19"/>
        <v>4</v>
      </c>
      <c r="B80" s="456"/>
      <c r="C80" s="147"/>
      <c r="D80" s="147"/>
      <c r="E80" s="32"/>
      <c r="F80" s="456"/>
      <c r="G80" s="456"/>
      <c r="H80" s="456"/>
      <c r="I80" s="456"/>
      <c r="J80" s="456"/>
      <c r="K80" s="457"/>
      <c r="L80" s="458"/>
      <c r="M80" s="458"/>
      <c r="N80" s="458"/>
      <c r="O80" s="458"/>
      <c r="P80" s="458"/>
      <c r="Q80" s="458"/>
      <c r="R80" s="458"/>
      <c r="S80" s="459"/>
      <c r="T80" s="460"/>
      <c r="U80" s="460"/>
      <c r="V80" s="460"/>
      <c r="W80" s="460"/>
      <c r="X80" s="461"/>
      <c r="Y80" s="461"/>
      <c r="Z80" s="461"/>
      <c r="AA80" s="461"/>
      <c r="AB80" s="461"/>
      <c r="AC80" s="461"/>
      <c r="AD80" s="462"/>
      <c r="AF80" s="50"/>
    </row>
    <row r="81" spans="1:32" ht="30" customHeight="1">
      <c r="A81" s="455">
        <f t="shared" si="19"/>
        <v>5</v>
      </c>
      <c r="B81" s="456"/>
      <c r="C81" s="147"/>
      <c r="D81" s="147"/>
      <c r="E81" s="32"/>
      <c r="F81" s="456"/>
      <c r="G81" s="456"/>
      <c r="H81" s="456"/>
      <c r="I81" s="456"/>
      <c r="J81" s="456"/>
      <c r="K81" s="457"/>
      <c r="L81" s="458"/>
      <c r="M81" s="458"/>
      <c r="N81" s="458"/>
      <c r="O81" s="458"/>
      <c r="P81" s="458"/>
      <c r="Q81" s="458"/>
      <c r="R81" s="458"/>
      <c r="S81" s="459"/>
      <c r="T81" s="460"/>
      <c r="U81" s="460"/>
      <c r="V81" s="460"/>
      <c r="W81" s="460"/>
      <c r="X81" s="461"/>
      <c r="Y81" s="461"/>
      <c r="Z81" s="461"/>
      <c r="AA81" s="461"/>
      <c r="AB81" s="461"/>
      <c r="AC81" s="461"/>
      <c r="AD81" s="462"/>
      <c r="AF81" s="50"/>
    </row>
    <row r="82" spans="1:32" ht="30" customHeight="1">
      <c r="A82" s="455">
        <f t="shared" si="19"/>
        <v>6</v>
      </c>
      <c r="B82" s="456"/>
      <c r="C82" s="147"/>
      <c r="D82" s="147"/>
      <c r="E82" s="32"/>
      <c r="F82" s="456"/>
      <c r="G82" s="456"/>
      <c r="H82" s="456"/>
      <c r="I82" s="456"/>
      <c r="J82" s="456"/>
      <c r="K82" s="457"/>
      <c r="L82" s="458"/>
      <c r="M82" s="458"/>
      <c r="N82" s="458"/>
      <c r="O82" s="458"/>
      <c r="P82" s="458"/>
      <c r="Q82" s="458"/>
      <c r="R82" s="458"/>
      <c r="S82" s="459"/>
      <c r="T82" s="460"/>
      <c r="U82" s="460"/>
      <c r="V82" s="460"/>
      <c r="W82" s="460"/>
      <c r="X82" s="461"/>
      <c r="Y82" s="461"/>
      <c r="Z82" s="461"/>
      <c r="AA82" s="461"/>
      <c r="AB82" s="461"/>
      <c r="AC82" s="461"/>
      <c r="AD82" s="462"/>
      <c r="AF82" s="50"/>
    </row>
    <row r="83" spans="1:32" ht="30" customHeight="1">
      <c r="A83" s="455">
        <f t="shared" si="19"/>
        <v>7</v>
      </c>
      <c r="B83" s="456"/>
      <c r="C83" s="147"/>
      <c r="D83" s="147"/>
      <c r="E83" s="32"/>
      <c r="F83" s="456"/>
      <c r="G83" s="456"/>
      <c r="H83" s="456"/>
      <c r="I83" s="456"/>
      <c r="J83" s="456"/>
      <c r="K83" s="457"/>
      <c r="L83" s="458"/>
      <c r="M83" s="458"/>
      <c r="N83" s="458"/>
      <c r="O83" s="458"/>
      <c r="P83" s="458"/>
      <c r="Q83" s="458"/>
      <c r="R83" s="458"/>
      <c r="S83" s="459"/>
      <c r="T83" s="460"/>
      <c r="U83" s="460"/>
      <c r="V83" s="460"/>
      <c r="W83" s="460"/>
      <c r="X83" s="461"/>
      <c r="Y83" s="461"/>
      <c r="Z83" s="461"/>
      <c r="AA83" s="461"/>
      <c r="AB83" s="461"/>
      <c r="AC83" s="461"/>
      <c r="AD83" s="462"/>
      <c r="AF83" s="50"/>
    </row>
    <row r="84" spans="1:32" ht="36" thickBot="1">
      <c r="A84" s="448" t="s">
        <v>250</v>
      </c>
      <c r="B84" s="448"/>
      <c r="C84" s="448"/>
      <c r="D84" s="448"/>
      <c r="E84" s="448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49" t="s">
        <v>111</v>
      </c>
      <c r="B85" s="450"/>
      <c r="C85" s="476" t="s">
        <v>52</v>
      </c>
      <c r="D85" s="476"/>
      <c r="E85" s="476" t="s">
        <v>53</v>
      </c>
      <c r="F85" s="476"/>
      <c r="G85" s="476"/>
      <c r="H85" s="476"/>
      <c r="I85" s="476"/>
      <c r="J85" s="476"/>
      <c r="K85" s="476" t="s">
        <v>54</v>
      </c>
      <c r="L85" s="476"/>
      <c r="M85" s="476"/>
      <c r="N85" s="476"/>
      <c r="O85" s="476"/>
      <c r="P85" s="476"/>
      <c r="Q85" s="476"/>
      <c r="R85" s="476"/>
      <c r="S85" s="476"/>
      <c r="T85" s="476" t="s">
        <v>55</v>
      </c>
      <c r="U85" s="476"/>
      <c r="V85" s="476" t="s">
        <v>56</v>
      </c>
      <c r="W85" s="476"/>
      <c r="X85" s="476"/>
      <c r="Y85" s="476" t="s">
        <v>51</v>
      </c>
      <c r="Z85" s="476"/>
      <c r="AA85" s="476"/>
      <c r="AB85" s="476"/>
      <c r="AC85" s="476"/>
      <c r="AD85" s="477"/>
      <c r="AF85" s="50"/>
    </row>
    <row r="86" spans="1:32" ht="30.75" customHeight="1">
      <c r="A86" s="463">
        <v>1</v>
      </c>
      <c r="B86" s="464"/>
      <c r="C86" s="478"/>
      <c r="D86" s="478"/>
      <c r="E86" s="478"/>
      <c r="F86" s="478"/>
      <c r="G86" s="478"/>
      <c r="H86" s="478"/>
      <c r="I86" s="478"/>
      <c r="J86" s="478"/>
      <c r="K86" s="478"/>
      <c r="L86" s="478"/>
      <c r="M86" s="478"/>
      <c r="N86" s="478"/>
      <c r="O86" s="478"/>
      <c r="P86" s="478"/>
      <c r="Q86" s="478"/>
      <c r="R86" s="478"/>
      <c r="S86" s="478"/>
      <c r="T86" s="478"/>
      <c r="U86" s="478"/>
      <c r="V86" s="479"/>
      <c r="W86" s="479"/>
      <c r="X86" s="479"/>
      <c r="Y86" s="480"/>
      <c r="Z86" s="480"/>
      <c r="AA86" s="480"/>
      <c r="AB86" s="480"/>
      <c r="AC86" s="480"/>
      <c r="AD86" s="481"/>
      <c r="AF86" s="50"/>
    </row>
    <row r="87" spans="1:32" ht="30.75" customHeight="1">
      <c r="A87" s="455">
        <v>2</v>
      </c>
      <c r="B87" s="456"/>
      <c r="C87" s="489"/>
      <c r="D87" s="489"/>
      <c r="E87" s="489"/>
      <c r="F87" s="489"/>
      <c r="G87" s="489"/>
      <c r="H87" s="489"/>
      <c r="I87" s="489"/>
      <c r="J87" s="489"/>
      <c r="K87" s="489"/>
      <c r="L87" s="489"/>
      <c r="M87" s="489"/>
      <c r="N87" s="489"/>
      <c r="O87" s="489"/>
      <c r="P87" s="489"/>
      <c r="Q87" s="489"/>
      <c r="R87" s="489"/>
      <c r="S87" s="489"/>
      <c r="T87" s="490"/>
      <c r="U87" s="490"/>
      <c r="V87" s="491"/>
      <c r="W87" s="491"/>
      <c r="X87" s="491"/>
      <c r="Y87" s="482"/>
      <c r="Z87" s="482"/>
      <c r="AA87" s="482"/>
      <c r="AB87" s="482"/>
      <c r="AC87" s="482"/>
      <c r="AD87" s="483"/>
      <c r="AF87" s="50"/>
    </row>
    <row r="88" spans="1:32" ht="30.75" customHeight="1" thickBot="1">
      <c r="A88" s="484">
        <v>3</v>
      </c>
      <c r="B88" s="485"/>
      <c r="C88" s="486"/>
      <c r="D88" s="486"/>
      <c r="E88" s="486"/>
      <c r="F88" s="486"/>
      <c r="G88" s="486"/>
      <c r="H88" s="486"/>
      <c r="I88" s="486"/>
      <c r="J88" s="486"/>
      <c r="K88" s="486"/>
      <c r="L88" s="486"/>
      <c r="M88" s="486"/>
      <c r="N88" s="486"/>
      <c r="O88" s="486"/>
      <c r="P88" s="486"/>
      <c r="Q88" s="486"/>
      <c r="R88" s="486"/>
      <c r="S88" s="486"/>
      <c r="T88" s="486"/>
      <c r="U88" s="486"/>
      <c r="V88" s="486"/>
      <c r="W88" s="486"/>
      <c r="X88" s="486"/>
      <c r="Y88" s="487"/>
      <c r="Z88" s="487"/>
      <c r="AA88" s="487"/>
      <c r="AB88" s="487"/>
      <c r="AC88" s="487"/>
      <c r="AD88" s="488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4F83-68BF-41D9-BD05-DFB9D39AAC1F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70" t="s">
        <v>251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5"/>
      <c r="T4" s="405"/>
      <c r="U4" s="405"/>
      <c r="V4" s="405"/>
      <c r="W4" s="406" t="s">
        <v>11</v>
      </c>
      <c r="X4" s="405"/>
      <c r="Y4" s="405"/>
      <c r="Z4" s="405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160" t="s">
        <v>17</v>
      </c>
      <c r="L5" s="160" t="s">
        <v>18</v>
      </c>
      <c r="M5" s="160" t="s">
        <v>19</v>
      </c>
      <c r="N5" s="16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125</v>
      </c>
      <c r="E6" s="53" t="s">
        <v>252</v>
      </c>
      <c r="F6" s="30" t="s">
        <v>206</v>
      </c>
      <c r="G6" s="12">
        <v>1</v>
      </c>
      <c r="H6" s="13">
        <v>24</v>
      </c>
      <c r="I6" s="7">
        <v>500</v>
      </c>
      <c r="J6" s="14">
        <v>645</v>
      </c>
      <c r="K6" s="15">
        <f>L6</f>
        <v>645</v>
      </c>
      <c r="L6" s="15">
        <v>645</v>
      </c>
      <c r="M6" s="15">
        <f t="shared" ref="M6:M21" si="0">L6-N6</f>
        <v>645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4</v>
      </c>
      <c r="Q6" s="40">
        <f t="shared" ref="Q6:Q21" si="3">SUM(R6:AA6)</f>
        <v>20</v>
      </c>
      <c r="R6" s="7"/>
      <c r="S6" s="6"/>
      <c r="T6" s="16"/>
      <c r="U6" s="16"/>
      <c r="V6" s="17"/>
      <c r="W6" s="5">
        <v>20</v>
      </c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0.16666666666666666</v>
      </c>
      <c r="AD6" s="10">
        <f t="shared" ref="AD6:AD21" si="6">AC6*AB6*(1-O6)</f>
        <v>0.16666666666666666</v>
      </c>
      <c r="AE6" s="36">
        <f t="shared" ref="AE6:AE21" si="7">$AD$22</f>
        <v>0.546875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 t="s">
        <v>131</v>
      </c>
      <c r="E7" s="53" t="s">
        <v>139</v>
      </c>
      <c r="F7" s="12" t="s">
        <v>133</v>
      </c>
      <c r="G7" s="12">
        <v>1</v>
      </c>
      <c r="H7" s="13">
        <v>24</v>
      </c>
      <c r="I7" s="31">
        <v>50000</v>
      </c>
      <c r="J7" s="14">
        <v>4913</v>
      </c>
      <c r="K7" s="15">
        <f>L7</f>
        <v>4913</v>
      </c>
      <c r="L7" s="15">
        <f>2493+2420</f>
        <v>4913</v>
      </c>
      <c r="M7" s="15">
        <f t="shared" si="0"/>
        <v>4913</v>
      </c>
      <c r="N7" s="15">
        <v>0</v>
      </c>
      <c r="O7" s="58">
        <f t="shared" si="1"/>
        <v>0</v>
      </c>
      <c r="P7" s="39">
        <f t="shared" si="2"/>
        <v>23</v>
      </c>
      <c r="Q7" s="40">
        <f t="shared" si="3"/>
        <v>1</v>
      </c>
      <c r="R7" s="7"/>
      <c r="S7" s="6"/>
      <c r="T7" s="16">
        <v>1</v>
      </c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0.95833333333333337</v>
      </c>
      <c r="AD7" s="10">
        <f t="shared" si="6"/>
        <v>0.95833333333333337</v>
      </c>
      <c r="AE7" s="36">
        <f t="shared" si="7"/>
        <v>0.546875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119</v>
      </c>
      <c r="D8" s="52" t="s">
        <v>147</v>
      </c>
      <c r="E8" s="53" t="s">
        <v>167</v>
      </c>
      <c r="F8" s="30" t="s">
        <v>168</v>
      </c>
      <c r="G8" s="33">
        <v>2</v>
      </c>
      <c r="H8" s="35">
        <v>24</v>
      </c>
      <c r="I8" s="7">
        <v>40000</v>
      </c>
      <c r="J8" s="5">
        <v>14994</v>
      </c>
      <c r="K8" s="15">
        <f>L8+12262+13056+12924</f>
        <v>53236</v>
      </c>
      <c r="L8" s="15">
        <f>3364*2+800*2+3333*2</f>
        <v>14994</v>
      </c>
      <c r="M8" s="15">
        <f t="shared" si="0"/>
        <v>14994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0.546875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119</v>
      </c>
      <c r="D9" s="52" t="s">
        <v>115</v>
      </c>
      <c r="E9" s="53" t="s">
        <v>222</v>
      </c>
      <c r="F9" s="30" t="s">
        <v>236</v>
      </c>
      <c r="G9" s="12">
        <v>2</v>
      </c>
      <c r="H9" s="13">
        <v>24</v>
      </c>
      <c r="I9" s="7">
        <v>50000</v>
      </c>
      <c r="J9" s="14">
        <v>9814</v>
      </c>
      <c r="K9" s="15">
        <f>L9+7346</f>
        <v>17160</v>
      </c>
      <c r="L9" s="15">
        <f>2602*2+2305*2</f>
        <v>9814</v>
      </c>
      <c r="M9" s="15">
        <f t="shared" si="0"/>
        <v>9814</v>
      </c>
      <c r="N9" s="15">
        <v>0</v>
      </c>
      <c r="O9" s="58">
        <f t="shared" si="1"/>
        <v>0</v>
      </c>
      <c r="P9" s="39">
        <f t="shared" si="2"/>
        <v>22</v>
      </c>
      <c r="Q9" s="40">
        <f t="shared" si="3"/>
        <v>2</v>
      </c>
      <c r="R9" s="7"/>
      <c r="S9" s="6">
        <v>2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0.91666666666666663</v>
      </c>
      <c r="AD9" s="10">
        <f t="shared" si="6"/>
        <v>0.91666666666666663</v>
      </c>
      <c r="AE9" s="36">
        <f t="shared" si="7"/>
        <v>0.546875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119</v>
      </c>
      <c r="D10" s="52" t="s">
        <v>115</v>
      </c>
      <c r="E10" s="53" t="s">
        <v>159</v>
      </c>
      <c r="F10" s="30" t="s">
        <v>158</v>
      </c>
      <c r="G10" s="33">
        <v>4</v>
      </c>
      <c r="H10" s="35">
        <v>24</v>
      </c>
      <c r="I10" s="7">
        <v>40000</v>
      </c>
      <c r="J10" s="14">
        <v>14968</v>
      </c>
      <c r="K10" s="15">
        <f>L10+7400+6230+10705+16663</f>
        <v>55966</v>
      </c>
      <c r="L10" s="15">
        <f>2496*2+2494*4</f>
        <v>14968</v>
      </c>
      <c r="M10" s="15">
        <f t="shared" si="0"/>
        <v>14968</v>
      </c>
      <c r="N10" s="15">
        <v>0</v>
      </c>
      <c r="O10" s="58">
        <f t="shared" si="1"/>
        <v>0</v>
      </c>
      <c r="P10" s="39">
        <f t="shared" si="2"/>
        <v>22</v>
      </c>
      <c r="Q10" s="40">
        <f t="shared" si="3"/>
        <v>2</v>
      </c>
      <c r="R10" s="7"/>
      <c r="S10" s="6">
        <v>2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0.91666666666666663</v>
      </c>
      <c r="AD10" s="10">
        <f t="shared" si="6"/>
        <v>0.91666666666666663</v>
      </c>
      <c r="AE10" s="36">
        <f t="shared" si="7"/>
        <v>0.546875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125</v>
      </c>
      <c r="E11" s="53" t="s">
        <v>205</v>
      </c>
      <c r="F11" s="30" t="s">
        <v>206</v>
      </c>
      <c r="G11" s="33">
        <v>1</v>
      </c>
      <c r="H11" s="35">
        <v>24</v>
      </c>
      <c r="I11" s="7">
        <v>1000</v>
      </c>
      <c r="J11" s="14">
        <v>1247</v>
      </c>
      <c r="K11" s="15">
        <f>L11+1247</f>
        <v>1247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0.546875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149</v>
      </c>
      <c r="F12" s="30" t="s">
        <v>142</v>
      </c>
      <c r="G12" s="12">
        <v>1</v>
      </c>
      <c r="H12" s="13">
        <v>22</v>
      </c>
      <c r="I12" s="31">
        <v>100000</v>
      </c>
      <c r="J12" s="5">
        <v>4100</v>
      </c>
      <c r="K12" s="15">
        <f>L12+3980+4963+4857+4991+5052+5074+5369+4402+4760+5003+4109+5018+5406+4902+5041+5019+5033+5053+4646+3593+3896</f>
        <v>104267</v>
      </c>
      <c r="L12" s="15">
        <f>2526+1574</f>
        <v>4100</v>
      </c>
      <c r="M12" s="15">
        <f t="shared" si="0"/>
        <v>4100</v>
      </c>
      <c r="N12" s="15">
        <v>0</v>
      </c>
      <c r="O12" s="58">
        <f t="shared" si="1"/>
        <v>0</v>
      </c>
      <c r="P12" s="39">
        <f t="shared" si="2"/>
        <v>20</v>
      </c>
      <c r="Q12" s="40">
        <f t="shared" si="3"/>
        <v>4</v>
      </c>
      <c r="R12" s="7"/>
      <c r="S12" s="6">
        <v>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0.83333333333333337</v>
      </c>
      <c r="AD12" s="10">
        <f t="shared" si="6"/>
        <v>0.83333333333333337</v>
      </c>
      <c r="AE12" s="36">
        <f t="shared" si="7"/>
        <v>0.546875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224</v>
      </c>
      <c r="E13" s="53" t="s">
        <v>223</v>
      </c>
      <c r="F13" s="30" t="s">
        <v>142</v>
      </c>
      <c r="G13" s="12">
        <v>1</v>
      </c>
      <c r="H13" s="13">
        <v>24</v>
      </c>
      <c r="I13" s="31">
        <v>3500</v>
      </c>
      <c r="J13" s="14">
        <v>269</v>
      </c>
      <c r="K13" s="15">
        <f>L13</f>
        <v>269</v>
      </c>
      <c r="L13" s="15">
        <v>269</v>
      </c>
      <c r="M13" s="15">
        <f t="shared" si="0"/>
        <v>269</v>
      </c>
      <c r="N13" s="15">
        <v>0</v>
      </c>
      <c r="O13" s="58">
        <f t="shared" si="1"/>
        <v>0</v>
      </c>
      <c r="P13" s="39">
        <f t="shared" si="2"/>
        <v>3</v>
      </c>
      <c r="Q13" s="40">
        <f t="shared" si="3"/>
        <v>21</v>
      </c>
      <c r="R13" s="7"/>
      <c r="S13" s="6">
        <v>21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0.125</v>
      </c>
      <c r="AD13" s="10">
        <f>AC13*AB13*(1-O13)</f>
        <v>0.125</v>
      </c>
      <c r="AE13" s="36">
        <f t="shared" si="7"/>
        <v>0.546875</v>
      </c>
      <c r="AF13" s="84">
        <f t="shared" si="8"/>
        <v>8</v>
      </c>
    </row>
    <row r="14" spans="1:32" ht="27" customHeight="1">
      <c r="A14" s="105">
        <v>9</v>
      </c>
      <c r="B14" s="11" t="s">
        <v>156</v>
      </c>
      <c r="C14" s="34" t="s">
        <v>112</v>
      </c>
      <c r="D14" s="52" t="s">
        <v>115</v>
      </c>
      <c r="E14" s="53" t="s">
        <v>153</v>
      </c>
      <c r="F14" s="30" t="s">
        <v>144</v>
      </c>
      <c r="G14" s="33">
        <v>1</v>
      </c>
      <c r="H14" s="35">
        <v>50</v>
      </c>
      <c r="I14" s="7">
        <v>50</v>
      </c>
      <c r="J14" s="5"/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0.546875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125</v>
      </c>
      <c r="E15" s="53" t="s">
        <v>150</v>
      </c>
      <c r="F15" s="12" t="s">
        <v>138</v>
      </c>
      <c r="G15" s="12">
        <v>1</v>
      </c>
      <c r="H15" s="13">
        <v>24</v>
      </c>
      <c r="I15" s="31">
        <v>6500</v>
      </c>
      <c r="J15" s="14">
        <v>5214</v>
      </c>
      <c r="K15" s="15">
        <f>L15+2059+5272+5214</f>
        <v>12545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0.546875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195</v>
      </c>
      <c r="E16" s="53" t="s">
        <v>238</v>
      </c>
      <c r="F16" s="30" t="s">
        <v>213</v>
      </c>
      <c r="G16" s="12">
        <v>1</v>
      </c>
      <c r="H16" s="13">
        <v>24</v>
      </c>
      <c r="I16" s="7">
        <v>20000</v>
      </c>
      <c r="J16" s="14">
        <v>6138</v>
      </c>
      <c r="K16" s="15">
        <f>L16+2991</f>
        <v>9129</v>
      </c>
      <c r="L16" s="15">
        <f>3112+3026</f>
        <v>6138</v>
      </c>
      <c r="M16" s="15">
        <f t="shared" si="0"/>
        <v>6138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0.546875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119</v>
      </c>
      <c r="D17" s="52" t="s">
        <v>231</v>
      </c>
      <c r="E17" s="53" t="s">
        <v>229</v>
      </c>
      <c r="F17" s="30" t="s">
        <v>132</v>
      </c>
      <c r="G17" s="12">
        <v>4</v>
      </c>
      <c r="H17" s="13">
        <v>24</v>
      </c>
      <c r="I17" s="7">
        <v>1000</v>
      </c>
      <c r="J17" s="14">
        <v>1178</v>
      </c>
      <c r="K17" s="15">
        <f>L17+1178</f>
        <v>1178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0.546875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119</v>
      </c>
      <c r="D18" s="52" t="s">
        <v>146</v>
      </c>
      <c r="E18" s="53" t="s">
        <v>155</v>
      </c>
      <c r="F18" s="30" t="s">
        <v>142</v>
      </c>
      <c r="G18" s="33">
        <v>1</v>
      </c>
      <c r="H18" s="35">
        <v>24</v>
      </c>
      <c r="I18" s="7">
        <v>12000</v>
      </c>
      <c r="J18" s="14">
        <v>5888</v>
      </c>
      <c r="K18" s="15">
        <f>L18+5050</f>
        <v>10938</v>
      </c>
      <c r="L18" s="15">
        <f>2843+3045</f>
        <v>5888</v>
      </c>
      <c r="M18" s="15">
        <f t="shared" si="0"/>
        <v>5888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0.546875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125</v>
      </c>
      <c r="E19" s="53" t="s">
        <v>225</v>
      </c>
      <c r="F19" s="30" t="s">
        <v>171</v>
      </c>
      <c r="G19" s="33">
        <v>1</v>
      </c>
      <c r="H19" s="35">
        <v>24</v>
      </c>
      <c r="I19" s="7">
        <v>2000</v>
      </c>
      <c r="J19" s="14">
        <v>2054</v>
      </c>
      <c r="K19" s="15">
        <f>L19+5363</f>
        <v>7417</v>
      </c>
      <c r="L19" s="15">
        <v>2054</v>
      </c>
      <c r="M19" s="15">
        <f t="shared" si="0"/>
        <v>2054</v>
      </c>
      <c r="N19" s="15">
        <v>0</v>
      </c>
      <c r="O19" s="58">
        <f t="shared" si="1"/>
        <v>0</v>
      </c>
      <c r="P19" s="39">
        <f t="shared" si="2"/>
        <v>9</v>
      </c>
      <c r="Q19" s="40">
        <f t="shared" si="3"/>
        <v>15</v>
      </c>
      <c r="R19" s="7"/>
      <c r="S19" s="6"/>
      <c r="T19" s="16"/>
      <c r="U19" s="16"/>
      <c r="V19" s="17"/>
      <c r="W19" s="5">
        <v>15</v>
      </c>
      <c r="X19" s="16"/>
      <c r="Y19" s="16"/>
      <c r="Z19" s="16"/>
      <c r="AA19" s="18"/>
      <c r="AB19" s="8">
        <f t="shared" si="4"/>
        <v>1</v>
      </c>
      <c r="AC19" s="9">
        <f t="shared" si="5"/>
        <v>0.375</v>
      </c>
      <c r="AD19" s="10">
        <f t="shared" si="6"/>
        <v>0.375</v>
      </c>
      <c r="AE19" s="36">
        <f t="shared" si="7"/>
        <v>0.546875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151</v>
      </c>
      <c r="F20" s="30" t="s">
        <v>142</v>
      </c>
      <c r="G20" s="12">
        <v>1</v>
      </c>
      <c r="H20" s="13">
        <v>24</v>
      </c>
      <c r="I20" s="7">
        <v>52000</v>
      </c>
      <c r="J20" s="14">
        <v>5568</v>
      </c>
      <c r="K20" s="15">
        <f>L20+2928+5476+5823+3267+3626+5491+5401+5798+4186+3247+5615</f>
        <v>56426</v>
      </c>
      <c r="L20" s="15">
        <f>2799+2769</f>
        <v>5568</v>
      </c>
      <c r="M20" s="15">
        <f t="shared" si="0"/>
        <v>5568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0.546875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140</v>
      </c>
      <c r="F21" s="12" t="s">
        <v>114</v>
      </c>
      <c r="G21" s="12">
        <v>4</v>
      </c>
      <c r="H21" s="35">
        <v>20</v>
      </c>
      <c r="I21" s="7">
        <v>500000</v>
      </c>
      <c r="J21" s="14">
        <v>34840</v>
      </c>
      <c r="K21" s="15">
        <f>L21+29516+33412</f>
        <v>97768</v>
      </c>
      <c r="L21" s="15">
        <f>8710*4</f>
        <v>34840</v>
      </c>
      <c r="M21" s="15">
        <f t="shared" si="0"/>
        <v>34840</v>
      </c>
      <c r="N21" s="15">
        <v>0</v>
      </c>
      <c r="O21" s="58">
        <f t="shared" si="1"/>
        <v>0</v>
      </c>
      <c r="P21" s="39">
        <f t="shared" si="2"/>
        <v>11</v>
      </c>
      <c r="Q21" s="40">
        <f t="shared" si="3"/>
        <v>13</v>
      </c>
      <c r="R21" s="7"/>
      <c r="S21" s="6"/>
      <c r="T21" s="16"/>
      <c r="U21" s="16"/>
      <c r="V21" s="17">
        <v>13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0.45833333333333331</v>
      </c>
      <c r="AD21" s="10">
        <f t="shared" si="6"/>
        <v>0.45833333333333331</v>
      </c>
      <c r="AE21" s="36">
        <f t="shared" si="7"/>
        <v>0.546875</v>
      </c>
      <c r="AF21" s="84">
        <f t="shared" si="8"/>
        <v>16</v>
      </c>
    </row>
    <row r="22" spans="1:32" ht="31.5" customHeight="1" thickBot="1">
      <c r="A22" s="384" t="s">
        <v>34</v>
      </c>
      <c r="B22" s="385"/>
      <c r="C22" s="385"/>
      <c r="D22" s="385"/>
      <c r="E22" s="385"/>
      <c r="F22" s="385"/>
      <c r="G22" s="385"/>
      <c r="H22" s="386"/>
      <c r="I22" s="22">
        <f t="shared" ref="I22:N22" si="9">SUM(I6:I21)</f>
        <v>878550</v>
      </c>
      <c r="J22" s="19">
        <f t="shared" si="9"/>
        <v>111830</v>
      </c>
      <c r="K22" s="20">
        <f t="shared" si="9"/>
        <v>433104</v>
      </c>
      <c r="L22" s="21">
        <f t="shared" si="9"/>
        <v>104191</v>
      </c>
      <c r="M22" s="20">
        <f t="shared" si="9"/>
        <v>104191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210</v>
      </c>
      <c r="Q22" s="43">
        <f t="shared" si="10"/>
        <v>174</v>
      </c>
      <c r="R22" s="23">
        <f t="shared" si="10"/>
        <v>0</v>
      </c>
      <c r="S22" s="24">
        <f t="shared" si="10"/>
        <v>29</v>
      </c>
      <c r="T22" s="24">
        <f t="shared" si="10"/>
        <v>1</v>
      </c>
      <c r="U22" s="24">
        <f t="shared" si="10"/>
        <v>0</v>
      </c>
      <c r="V22" s="25">
        <f t="shared" si="10"/>
        <v>13</v>
      </c>
      <c r="W22" s="26">
        <f t="shared" si="10"/>
        <v>131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0</v>
      </c>
      <c r="AB22" s="28">
        <f>AVERAGE(AB6:AB21)</f>
        <v>0.8</v>
      </c>
      <c r="AC22" s="4">
        <f>AVERAGE(AC6:AC21)</f>
        <v>0.546875</v>
      </c>
      <c r="AD22" s="4">
        <f>AVERAGE(AD6:AD21)</f>
        <v>0.546875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387" t="s">
        <v>45</v>
      </c>
      <c r="B49" s="387"/>
      <c r="C49" s="387"/>
      <c r="D49" s="387"/>
      <c r="E49" s="38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388" t="s">
        <v>253</v>
      </c>
      <c r="B50" s="389"/>
      <c r="C50" s="389"/>
      <c r="D50" s="389"/>
      <c r="E50" s="389"/>
      <c r="F50" s="389"/>
      <c r="G50" s="389"/>
      <c r="H50" s="389"/>
      <c r="I50" s="389"/>
      <c r="J50" s="389"/>
      <c r="K50" s="389"/>
      <c r="L50" s="389"/>
      <c r="M50" s="390"/>
      <c r="N50" s="391" t="s">
        <v>259</v>
      </c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  <c r="AA50" s="392"/>
      <c r="AB50" s="392"/>
      <c r="AC50" s="392"/>
      <c r="AD50" s="393"/>
    </row>
    <row r="51" spans="1:32" ht="27" customHeight="1">
      <c r="A51" s="394" t="s">
        <v>2</v>
      </c>
      <c r="B51" s="395"/>
      <c r="C51" s="161" t="s">
        <v>46</v>
      </c>
      <c r="D51" s="161" t="s">
        <v>47</v>
      </c>
      <c r="E51" s="161" t="s">
        <v>107</v>
      </c>
      <c r="F51" s="396" t="s">
        <v>106</v>
      </c>
      <c r="G51" s="397"/>
      <c r="H51" s="397"/>
      <c r="I51" s="397"/>
      <c r="J51" s="397"/>
      <c r="K51" s="397"/>
      <c r="L51" s="397"/>
      <c r="M51" s="398"/>
      <c r="N51" s="67" t="s">
        <v>110</v>
      </c>
      <c r="O51" s="161" t="s">
        <v>46</v>
      </c>
      <c r="P51" s="396" t="s">
        <v>47</v>
      </c>
      <c r="Q51" s="399"/>
      <c r="R51" s="396" t="s">
        <v>38</v>
      </c>
      <c r="S51" s="397"/>
      <c r="T51" s="397"/>
      <c r="U51" s="399"/>
      <c r="V51" s="396" t="s">
        <v>48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420" t="s">
        <v>119</v>
      </c>
      <c r="B52" s="421"/>
      <c r="C52" s="164" t="s">
        <v>129</v>
      </c>
      <c r="D52" s="164" t="s">
        <v>131</v>
      </c>
      <c r="E52" s="164" t="s">
        <v>139</v>
      </c>
      <c r="F52" s="412" t="s">
        <v>130</v>
      </c>
      <c r="G52" s="413"/>
      <c r="H52" s="413"/>
      <c r="I52" s="413"/>
      <c r="J52" s="413"/>
      <c r="K52" s="413"/>
      <c r="L52" s="413"/>
      <c r="M52" s="414"/>
      <c r="N52" s="163" t="s">
        <v>119</v>
      </c>
      <c r="O52" s="169" t="s">
        <v>143</v>
      </c>
      <c r="P52" s="415" t="s">
        <v>147</v>
      </c>
      <c r="Q52" s="416"/>
      <c r="R52" s="415" t="s">
        <v>260</v>
      </c>
      <c r="S52" s="417"/>
      <c r="T52" s="417"/>
      <c r="U52" s="416"/>
      <c r="V52" s="418" t="s">
        <v>261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10" t="s">
        <v>119</v>
      </c>
      <c r="B53" s="411"/>
      <c r="C53" s="162" t="s">
        <v>187</v>
      </c>
      <c r="D53" s="162" t="s">
        <v>115</v>
      </c>
      <c r="E53" s="164" t="s">
        <v>159</v>
      </c>
      <c r="F53" s="412" t="s">
        <v>254</v>
      </c>
      <c r="G53" s="413"/>
      <c r="H53" s="413"/>
      <c r="I53" s="413"/>
      <c r="J53" s="413"/>
      <c r="K53" s="413"/>
      <c r="L53" s="413"/>
      <c r="M53" s="414"/>
      <c r="N53" s="163" t="s">
        <v>119</v>
      </c>
      <c r="O53" s="169" t="s">
        <v>187</v>
      </c>
      <c r="P53" s="415" t="s">
        <v>195</v>
      </c>
      <c r="Q53" s="416"/>
      <c r="R53" s="415" t="s">
        <v>262</v>
      </c>
      <c r="S53" s="417"/>
      <c r="T53" s="417"/>
      <c r="U53" s="416"/>
      <c r="V53" s="418" t="s">
        <v>130</v>
      </c>
      <c r="W53" s="418"/>
      <c r="X53" s="418"/>
      <c r="Y53" s="418"/>
      <c r="Z53" s="418"/>
      <c r="AA53" s="418"/>
      <c r="AB53" s="418"/>
      <c r="AC53" s="418"/>
      <c r="AD53" s="419"/>
    </row>
    <row r="54" spans="1:32" ht="27" customHeight="1">
      <c r="A54" s="420" t="s">
        <v>118</v>
      </c>
      <c r="B54" s="421"/>
      <c r="C54" s="164" t="s">
        <v>255</v>
      </c>
      <c r="D54" s="164" t="s">
        <v>125</v>
      </c>
      <c r="E54" s="164" t="s">
        <v>252</v>
      </c>
      <c r="F54" s="412" t="s">
        <v>130</v>
      </c>
      <c r="G54" s="413"/>
      <c r="H54" s="413"/>
      <c r="I54" s="413"/>
      <c r="J54" s="413"/>
      <c r="K54" s="413"/>
      <c r="L54" s="413"/>
      <c r="M54" s="414"/>
      <c r="N54" s="163" t="s">
        <v>118</v>
      </c>
      <c r="O54" s="169" t="s">
        <v>207</v>
      </c>
      <c r="P54" s="415" t="s">
        <v>263</v>
      </c>
      <c r="Q54" s="416"/>
      <c r="R54" s="415" t="s">
        <v>264</v>
      </c>
      <c r="S54" s="417"/>
      <c r="T54" s="417"/>
      <c r="U54" s="416"/>
      <c r="V54" s="418" t="s">
        <v>130</v>
      </c>
      <c r="W54" s="418"/>
      <c r="X54" s="418"/>
      <c r="Y54" s="418"/>
      <c r="Z54" s="418"/>
      <c r="AA54" s="418"/>
      <c r="AB54" s="418"/>
      <c r="AC54" s="418"/>
      <c r="AD54" s="419"/>
    </row>
    <row r="55" spans="1:32" ht="27" customHeight="1">
      <c r="A55" s="410" t="s">
        <v>118</v>
      </c>
      <c r="B55" s="411"/>
      <c r="C55" s="162" t="s">
        <v>219</v>
      </c>
      <c r="D55" s="162" t="s">
        <v>115</v>
      </c>
      <c r="E55" s="162" t="s">
        <v>220</v>
      </c>
      <c r="F55" s="492" t="s">
        <v>247</v>
      </c>
      <c r="G55" s="493"/>
      <c r="H55" s="493"/>
      <c r="I55" s="493"/>
      <c r="J55" s="493"/>
      <c r="K55" s="493"/>
      <c r="L55" s="493"/>
      <c r="M55" s="494"/>
      <c r="N55" s="163" t="s">
        <v>267</v>
      </c>
      <c r="O55" s="169" t="s">
        <v>268</v>
      </c>
      <c r="P55" s="415" t="s">
        <v>269</v>
      </c>
      <c r="Q55" s="416"/>
      <c r="R55" s="415" t="s">
        <v>265</v>
      </c>
      <c r="S55" s="417"/>
      <c r="T55" s="417"/>
      <c r="U55" s="416"/>
      <c r="V55" s="418" t="s">
        <v>266</v>
      </c>
      <c r="W55" s="418"/>
      <c r="X55" s="418"/>
      <c r="Y55" s="418"/>
      <c r="Z55" s="418"/>
      <c r="AA55" s="418"/>
      <c r="AB55" s="418"/>
      <c r="AC55" s="418"/>
      <c r="AD55" s="419"/>
    </row>
    <row r="56" spans="1:32" ht="27" customHeight="1">
      <c r="A56" s="410" t="s">
        <v>112</v>
      </c>
      <c r="B56" s="411"/>
      <c r="C56" s="173" t="s">
        <v>136</v>
      </c>
      <c r="D56" s="173" t="s">
        <v>224</v>
      </c>
      <c r="E56" s="174" t="s">
        <v>223</v>
      </c>
      <c r="F56" s="412" t="s">
        <v>256</v>
      </c>
      <c r="G56" s="413"/>
      <c r="H56" s="413"/>
      <c r="I56" s="413"/>
      <c r="J56" s="413"/>
      <c r="K56" s="413"/>
      <c r="L56" s="413"/>
      <c r="M56" s="414"/>
      <c r="N56" s="163"/>
      <c r="O56" s="169"/>
      <c r="P56" s="415"/>
      <c r="Q56" s="416"/>
      <c r="R56" s="415"/>
      <c r="S56" s="417"/>
      <c r="T56" s="417"/>
      <c r="U56" s="416"/>
      <c r="V56" s="418"/>
      <c r="W56" s="418"/>
      <c r="X56" s="418"/>
      <c r="Y56" s="418"/>
      <c r="Z56" s="418"/>
      <c r="AA56" s="418"/>
      <c r="AB56" s="418"/>
      <c r="AC56" s="418"/>
      <c r="AD56" s="419"/>
    </row>
    <row r="57" spans="1:32" ht="27" customHeight="1">
      <c r="A57" s="410" t="s">
        <v>119</v>
      </c>
      <c r="B57" s="411"/>
      <c r="C57" s="162" t="s">
        <v>257</v>
      </c>
      <c r="D57" s="162" t="s">
        <v>115</v>
      </c>
      <c r="E57" s="174" t="s">
        <v>242</v>
      </c>
      <c r="F57" s="412" t="s">
        <v>258</v>
      </c>
      <c r="G57" s="413"/>
      <c r="H57" s="413"/>
      <c r="I57" s="413"/>
      <c r="J57" s="413"/>
      <c r="K57" s="413"/>
      <c r="L57" s="413"/>
      <c r="M57" s="414"/>
      <c r="N57" s="163"/>
      <c r="O57" s="169"/>
      <c r="P57" s="415"/>
      <c r="Q57" s="416"/>
      <c r="R57" s="415"/>
      <c r="S57" s="417"/>
      <c r="T57" s="417"/>
      <c r="U57" s="416"/>
      <c r="V57" s="418"/>
      <c r="W57" s="418"/>
      <c r="X57" s="418"/>
      <c r="Y57" s="418"/>
      <c r="Z57" s="418"/>
      <c r="AA57" s="418"/>
      <c r="AB57" s="418"/>
      <c r="AC57" s="418"/>
      <c r="AD57" s="419"/>
    </row>
    <row r="58" spans="1:32" ht="27" customHeight="1">
      <c r="A58" s="410"/>
      <c r="B58" s="411"/>
      <c r="C58" s="162"/>
      <c r="D58" s="162"/>
      <c r="E58" s="164"/>
      <c r="F58" s="412"/>
      <c r="G58" s="413"/>
      <c r="H58" s="413"/>
      <c r="I58" s="413"/>
      <c r="J58" s="413"/>
      <c r="K58" s="413"/>
      <c r="L58" s="413"/>
      <c r="M58" s="414"/>
      <c r="N58" s="163"/>
      <c r="O58" s="169"/>
      <c r="P58" s="415"/>
      <c r="Q58" s="416"/>
      <c r="R58" s="415"/>
      <c r="S58" s="417"/>
      <c r="T58" s="417"/>
      <c r="U58" s="416"/>
      <c r="V58" s="418"/>
      <c r="W58" s="418"/>
      <c r="X58" s="418"/>
      <c r="Y58" s="418"/>
      <c r="Z58" s="418"/>
      <c r="AA58" s="418"/>
      <c r="AB58" s="418"/>
      <c r="AC58" s="418"/>
      <c r="AD58" s="419"/>
    </row>
    <row r="59" spans="1:32" ht="27" customHeight="1">
      <c r="A59" s="420"/>
      <c r="B59" s="421"/>
      <c r="C59" s="164"/>
      <c r="D59" s="164"/>
      <c r="E59" s="164"/>
      <c r="F59" s="412"/>
      <c r="G59" s="413"/>
      <c r="H59" s="413"/>
      <c r="I59" s="413"/>
      <c r="J59" s="413"/>
      <c r="K59" s="413"/>
      <c r="L59" s="413"/>
      <c r="M59" s="414"/>
      <c r="N59" s="163"/>
      <c r="O59" s="169"/>
      <c r="P59" s="415"/>
      <c r="Q59" s="416"/>
      <c r="R59" s="421"/>
      <c r="S59" s="421"/>
      <c r="T59" s="421"/>
      <c r="U59" s="421"/>
      <c r="V59" s="418"/>
      <c r="W59" s="418"/>
      <c r="X59" s="418"/>
      <c r="Y59" s="418"/>
      <c r="Z59" s="418"/>
      <c r="AA59" s="418"/>
      <c r="AB59" s="418"/>
      <c r="AC59" s="418"/>
      <c r="AD59" s="419"/>
    </row>
    <row r="60" spans="1:32" ht="27" customHeight="1">
      <c r="A60" s="410"/>
      <c r="B60" s="411"/>
      <c r="C60" s="162"/>
      <c r="D60" s="162"/>
      <c r="E60" s="164"/>
      <c r="F60" s="412"/>
      <c r="G60" s="413"/>
      <c r="H60" s="413"/>
      <c r="I60" s="413"/>
      <c r="J60" s="413"/>
      <c r="K60" s="413"/>
      <c r="L60" s="413"/>
      <c r="M60" s="414"/>
      <c r="N60" s="163"/>
      <c r="O60" s="169"/>
      <c r="P60" s="421"/>
      <c r="Q60" s="421"/>
      <c r="R60" s="421"/>
      <c r="S60" s="421"/>
      <c r="T60" s="421"/>
      <c r="U60" s="421"/>
      <c r="V60" s="418"/>
      <c r="W60" s="418"/>
      <c r="X60" s="418"/>
      <c r="Y60" s="418"/>
      <c r="Z60" s="418"/>
      <c r="AA60" s="418"/>
      <c r="AB60" s="418"/>
      <c r="AC60" s="418"/>
      <c r="AD60" s="419"/>
      <c r="AF60" s="84">
        <f>8*3000</f>
        <v>24000</v>
      </c>
    </row>
    <row r="61" spans="1:32" ht="27" customHeight="1" thickBot="1">
      <c r="A61" s="422"/>
      <c r="B61" s="423"/>
      <c r="C61" s="165"/>
      <c r="D61" s="166"/>
      <c r="E61" s="166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30" t="s">
        <v>270</v>
      </c>
      <c r="B62" s="430"/>
      <c r="C62" s="430"/>
      <c r="D62" s="430"/>
      <c r="E62" s="43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31" t="s">
        <v>111</v>
      </c>
      <c r="B63" s="432"/>
      <c r="C63" s="167" t="s">
        <v>2</v>
      </c>
      <c r="D63" s="167" t="s">
        <v>37</v>
      </c>
      <c r="E63" s="167" t="s">
        <v>3</v>
      </c>
      <c r="F63" s="432" t="s">
        <v>109</v>
      </c>
      <c r="G63" s="432"/>
      <c r="H63" s="432"/>
      <c r="I63" s="432"/>
      <c r="J63" s="432"/>
      <c r="K63" s="432" t="s">
        <v>39</v>
      </c>
      <c r="L63" s="432"/>
      <c r="M63" s="167" t="s">
        <v>40</v>
      </c>
      <c r="N63" s="432" t="s">
        <v>41</v>
      </c>
      <c r="O63" s="432"/>
      <c r="P63" s="433" t="s">
        <v>42</v>
      </c>
      <c r="Q63" s="434"/>
      <c r="R63" s="433" t="s">
        <v>43</v>
      </c>
      <c r="S63" s="435"/>
      <c r="T63" s="435"/>
      <c r="U63" s="435"/>
      <c r="V63" s="435"/>
      <c r="W63" s="435"/>
      <c r="X63" s="435"/>
      <c r="Y63" s="435"/>
      <c r="Z63" s="435"/>
      <c r="AA63" s="434"/>
      <c r="AB63" s="432" t="s">
        <v>44</v>
      </c>
      <c r="AC63" s="432"/>
      <c r="AD63" s="436"/>
      <c r="AF63" s="84">
        <f>SUM(AF60:AF62)</f>
        <v>96000</v>
      </c>
    </row>
    <row r="64" spans="1:32" ht="25.5" customHeight="1">
      <c r="A64" s="437">
        <v>1</v>
      </c>
      <c r="B64" s="438"/>
      <c r="C64" s="104"/>
      <c r="D64" s="171"/>
      <c r="E64" s="168"/>
      <c r="F64" s="439"/>
      <c r="G64" s="440"/>
      <c r="H64" s="440"/>
      <c r="I64" s="440"/>
      <c r="J64" s="441"/>
      <c r="K64" s="442"/>
      <c r="L64" s="442"/>
      <c r="M64" s="51"/>
      <c r="N64" s="443"/>
      <c r="O64" s="443"/>
      <c r="P64" s="444"/>
      <c r="Q64" s="444"/>
      <c r="R64" s="418"/>
      <c r="S64" s="418"/>
      <c r="T64" s="418"/>
      <c r="U64" s="418"/>
      <c r="V64" s="418"/>
      <c r="W64" s="418"/>
      <c r="X64" s="418"/>
      <c r="Y64" s="418"/>
      <c r="Z64" s="418"/>
      <c r="AA64" s="418"/>
      <c r="AB64" s="442"/>
      <c r="AC64" s="442"/>
      <c r="AD64" s="445"/>
      <c r="AF64" s="50"/>
    </row>
    <row r="65" spans="1:32" ht="25.5" customHeight="1">
      <c r="A65" s="437">
        <v>2</v>
      </c>
      <c r="B65" s="438"/>
      <c r="C65" s="104"/>
      <c r="D65" s="171"/>
      <c r="E65" s="168"/>
      <c r="F65" s="439"/>
      <c r="G65" s="440"/>
      <c r="H65" s="440"/>
      <c r="I65" s="440"/>
      <c r="J65" s="441"/>
      <c r="K65" s="442"/>
      <c r="L65" s="442"/>
      <c r="M65" s="51"/>
      <c r="N65" s="443"/>
      <c r="O65" s="443"/>
      <c r="P65" s="444"/>
      <c r="Q65" s="444"/>
      <c r="R65" s="418"/>
      <c r="S65" s="418"/>
      <c r="T65" s="418"/>
      <c r="U65" s="418"/>
      <c r="V65" s="418"/>
      <c r="W65" s="418"/>
      <c r="X65" s="418"/>
      <c r="Y65" s="418"/>
      <c r="Z65" s="418"/>
      <c r="AA65" s="418"/>
      <c r="AB65" s="442"/>
      <c r="AC65" s="442"/>
      <c r="AD65" s="445"/>
      <c r="AF65" s="50"/>
    </row>
    <row r="66" spans="1:32" ht="25.5" customHeight="1">
      <c r="A66" s="437">
        <v>3</v>
      </c>
      <c r="B66" s="438"/>
      <c r="C66" s="104"/>
      <c r="D66" s="171"/>
      <c r="E66" s="168"/>
      <c r="F66" s="439"/>
      <c r="G66" s="440"/>
      <c r="H66" s="440"/>
      <c r="I66" s="440"/>
      <c r="J66" s="441"/>
      <c r="K66" s="442"/>
      <c r="L66" s="442"/>
      <c r="M66" s="51"/>
      <c r="N66" s="443"/>
      <c r="O66" s="443"/>
      <c r="P66" s="444"/>
      <c r="Q66" s="444"/>
      <c r="R66" s="418"/>
      <c r="S66" s="418"/>
      <c r="T66" s="418"/>
      <c r="U66" s="418"/>
      <c r="V66" s="418"/>
      <c r="W66" s="418"/>
      <c r="X66" s="418"/>
      <c r="Y66" s="418"/>
      <c r="Z66" s="418"/>
      <c r="AA66" s="418"/>
      <c r="AB66" s="442"/>
      <c r="AC66" s="442"/>
      <c r="AD66" s="445"/>
      <c r="AF66" s="50"/>
    </row>
    <row r="67" spans="1:32" ht="25.5" customHeight="1">
      <c r="A67" s="437">
        <v>4</v>
      </c>
      <c r="B67" s="438"/>
      <c r="C67" s="104"/>
      <c r="D67" s="171"/>
      <c r="E67" s="168"/>
      <c r="F67" s="439"/>
      <c r="G67" s="440"/>
      <c r="H67" s="440"/>
      <c r="I67" s="440"/>
      <c r="J67" s="441"/>
      <c r="K67" s="442"/>
      <c r="L67" s="442"/>
      <c r="M67" s="51"/>
      <c r="N67" s="443"/>
      <c r="O67" s="443"/>
      <c r="P67" s="446"/>
      <c r="Q67" s="446"/>
      <c r="R67" s="418"/>
      <c r="S67" s="418"/>
      <c r="T67" s="418"/>
      <c r="U67" s="418"/>
      <c r="V67" s="418"/>
      <c r="W67" s="418"/>
      <c r="X67" s="418"/>
      <c r="Y67" s="418"/>
      <c r="Z67" s="418"/>
      <c r="AA67" s="418"/>
      <c r="AB67" s="442"/>
      <c r="AC67" s="442"/>
      <c r="AD67" s="445"/>
      <c r="AF67" s="50"/>
    </row>
    <row r="68" spans="1:32" ht="25.5" customHeight="1">
      <c r="A68" s="437">
        <v>5</v>
      </c>
      <c r="B68" s="438"/>
      <c r="C68" s="104"/>
      <c r="D68" s="171"/>
      <c r="E68" s="168"/>
      <c r="F68" s="439"/>
      <c r="G68" s="440"/>
      <c r="H68" s="440"/>
      <c r="I68" s="440"/>
      <c r="J68" s="441"/>
      <c r="K68" s="442"/>
      <c r="L68" s="442"/>
      <c r="M68" s="51"/>
      <c r="N68" s="443"/>
      <c r="O68" s="443"/>
      <c r="P68" s="444"/>
      <c r="Q68" s="444"/>
      <c r="R68" s="418"/>
      <c r="S68" s="418"/>
      <c r="T68" s="418"/>
      <c r="U68" s="418"/>
      <c r="V68" s="418"/>
      <c r="W68" s="418"/>
      <c r="X68" s="418"/>
      <c r="Y68" s="418"/>
      <c r="Z68" s="418"/>
      <c r="AA68" s="418"/>
      <c r="AB68" s="442"/>
      <c r="AC68" s="442"/>
      <c r="AD68" s="445"/>
      <c r="AF68" s="50"/>
    </row>
    <row r="69" spans="1:32" ht="25.5" customHeight="1">
      <c r="A69" s="437">
        <v>6</v>
      </c>
      <c r="B69" s="438"/>
      <c r="C69" s="104"/>
      <c r="D69" s="171"/>
      <c r="E69" s="168"/>
      <c r="F69" s="439"/>
      <c r="G69" s="440"/>
      <c r="H69" s="440"/>
      <c r="I69" s="440"/>
      <c r="J69" s="441"/>
      <c r="K69" s="442"/>
      <c r="L69" s="442"/>
      <c r="M69" s="51"/>
      <c r="N69" s="443"/>
      <c r="O69" s="443"/>
      <c r="P69" s="444"/>
      <c r="Q69" s="444"/>
      <c r="R69" s="418"/>
      <c r="S69" s="418"/>
      <c r="T69" s="418"/>
      <c r="U69" s="418"/>
      <c r="V69" s="418"/>
      <c r="W69" s="418"/>
      <c r="X69" s="418"/>
      <c r="Y69" s="418"/>
      <c r="Z69" s="418"/>
      <c r="AA69" s="418"/>
      <c r="AB69" s="442"/>
      <c r="AC69" s="442"/>
      <c r="AD69" s="445"/>
      <c r="AF69" s="50"/>
    </row>
    <row r="70" spans="1:32" ht="25.5" customHeight="1">
      <c r="A70" s="437">
        <v>7</v>
      </c>
      <c r="B70" s="438"/>
      <c r="C70" s="104"/>
      <c r="D70" s="171"/>
      <c r="E70" s="168"/>
      <c r="F70" s="447"/>
      <c r="G70" s="442"/>
      <c r="H70" s="442"/>
      <c r="I70" s="442"/>
      <c r="J70" s="442"/>
      <c r="K70" s="442"/>
      <c r="L70" s="442"/>
      <c r="M70" s="51"/>
      <c r="N70" s="443"/>
      <c r="O70" s="443"/>
      <c r="P70" s="444"/>
      <c r="Q70" s="444"/>
      <c r="R70" s="418"/>
      <c r="S70" s="418"/>
      <c r="T70" s="418"/>
      <c r="U70" s="418"/>
      <c r="V70" s="418"/>
      <c r="W70" s="418"/>
      <c r="X70" s="418"/>
      <c r="Y70" s="418"/>
      <c r="Z70" s="418"/>
      <c r="AA70" s="418"/>
      <c r="AB70" s="442"/>
      <c r="AC70" s="442"/>
      <c r="AD70" s="445"/>
      <c r="AF70" s="50"/>
    </row>
    <row r="71" spans="1:32" ht="25.5" customHeight="1">
      <c r="A71" s="437">
        <v>8</v>
      </c>
      <c r="B71" s="438"/>
      <c r="C71" s="104"/>
      <c r="D71" s="171"/>
      <c r="E71" s="168"/>
      <c r="F71" s="447"/>
      <c r="G71" s="442"/>
      <c r="H71" s="442"/>
      <c r="I71" s="442"/>
      <c r="J71" s="442"/>
      <c r="K71" s="442"/>
      <c r="L71" s="442"/>
      <c r="M71" s="51"/>
      <c r="N71" s="443"/>
      <c r="O71" s="443"/>
      <c r="P71" s="444"/>
      <c r="Q71" s="444"/>
      <c r="R71" s="418"/>
      <c r="S71" s="418"/>
      <c r="T71" s="418"/>
      <c r="U71" s="418"/>
      <c r="V71" s="418"/>
      <c r="W71" s="418"/>
      <c r="X71" s="418"/>
      <c r="Y71" s="418"/>
      <c r="Z71" s="418"/>
      <c r="AA71" s="418"/>
      <c r="AB71" s="442"/>
      <c r="AC71" s="442"/>
      <c r="AD71" s="445"/>
      <c r="AF71" s="50"/>
    </row>
    <row r="72" spans="1:32" ht="25.5" customHeight="1">
      <c r="A72" s="437">
        <v>9</v>
      </c>
      <c r="B72" s="438"/>
      <c r="C72" s="104"/>
      <c r="D72" s="171"/>
      <c r="E72" s="168"/>
      <c r="F72" s="447"/>
      <c r="G72" s="442"/>
      <c r="H72" s="442"/>
      <c r="I72" s="442"/>
      <c r="J72" s="442"/>
      <c r="K72" s="442"/>
      <c r="L72" s="442"/>
      <c r="M72" s="51"/>
      <c r="N72" s="443"/>
      <c r="O72" s="443"/>
      <c r="P72" s="444"/>
      <c r="Q72" s="444"/>
      <c r="R72" s="418"/>
      <c r="S72" s="418"/>
      <c r="T72" s="418"/>
      <c r="U72" s="418"/>
      <c r="V72" s="418"/>
      <c r="W72" s="418"/>
      <c r="X72" s="418"/>
      <c r="Y72" s="418"/>
      <c r="Z72" s="418"/>
      <c r="AA72" s="418"/>
      <c r="AB72" s="442"/>
      <c r="AC72" s="442"/>
      <c r="AD72" s="445"/>
      <c r="AF72" s="50"/>
    </row>
    <row r="73" spans="1:32" ht="25.5" customHeight="1">
      <c r="A73" s="437">
        <v>10</v>
      </c>
      <c r="B73" s="438"/>
      <c r="C73" s="104"/>
      <c r="D73" s="171"/>
      <c r="E73" s="168"/>
      <c r="F73" s="447"/>
      <c r="G73" s="442"/>
      <c r="H73" s="442"/>
      <c r="I73" s="442"/>
      <c r="J73" s="442"/>
      <c r="K73" s="442"/>
      <c r="L73" s="442"/>
      <c r="M73" s="51"/>
      <c r="N73" s="443"/>
      <c r="O73" s="443"/>
      <c r="P73" s="444"/>
      <c r="Q73" s="444"/>
      <c r="R73" s="418"/>
      <c r="S73" s="418"/>
      <c r="T73" s="418"/>
      <c r="U73" s="418"/>
      <c r="V73" s="418"/>
      <c r="W73" s="418"/>
      <c r="X73" s="418"/>
      <c r="Y73" s="418"/>
      <c r="Z73" s="418"/>
      <c r="AA73" s="418"/>
      <c r="AB73" s="442"/>
      <c r="AC73" s="442"/>
      <c r="AD73" s="445"/>
      <c r="AF73" s="50"/>
    </row>
    <row r="74" spans="1:32" ht="26.25" customHeight="1" thickBot="1">
      <c r="A74" s="448" t="s">
        <v>271</v>
      </c>
      <c r="B74" s="448"/>
      <c r="C74" s="448"/>
      <c r="D74" s="448"/>
      <c r="E74" s="44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49" t="s">
        <v>134</v>
      </c>
      <c r="B75" s="450"/>
      <c r="C75" s="170" t="s">
        <v>2</v>
      </c>
      <c r="D75" s="170" t="s">
        <v>37</v>
      </c>
      <c r="E75" s="170" t="s">
        <v>128</v>
      </c>
      <c r="F75" s="450" t="s">
        <v>38</v>
      </c>
      <c r="G75" s="450"/>
      <c r="H75" s="450"/>
      <c r="I75" s="450"/>
      <c r="J75" s="450"/>
      <c r="K75" s="451" t="s">
        <v>58</v>
      </c>
      <c r="L75" s="452"/>
      <c r="M75" s="452"/>
      <c r="N75" s="452"/>
      <c r="O75" s="452"/>
      <c r="P75" s="452"/>
      <c r="Q75" s="452"/>
      <c r="R75" s="452"/>
      <c r="S75" s="453"/>
      <c r="T75" s="450" t="s">
        <v>49</v>
      </c>
      <c r="U75" s="450"/>
      <c r="V75" s="451" t="s">
        <v>50</v>
      </c>
      <c r="W75" s="453"/>
      <c r="X75" s="452" t="s">
        <v>51</v>
      </c>
      <c r="Y75" s="452"/>
      <c r="Z75" s="452"/>
      <c r="AA75" s="452"/>
      <c r="AB75" s="452"/>
      <c r="AC75" s="452"/>
      <c r="AD75" s="454"/>
      <c r="AF75" s="50"/>
    </row>
    <row r="76" spans="1:32" ht="33.75" customHeight="1">
      <c r="A76" s="463">
        <v>1</v>
      </c>
      <c r="B76" s="464"/>
      <c r="C76" s="172" t="s">
        <v>112</v>
      </c>
      <c r="D76" s="172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44118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55">
        <f>A76+1</f>
        <v>2</v>
      </c>
      <c r="B77" s="456"/>
      <c r="C77" s="171"/>
      <c r="D77" s="171"/>
      <c r="E77" s="32"/>
      <c r="F77" s="456"/>
      <c r="G77" s="456"/>
      <c r="H77" s="456"/>
      <c r="I77" s="456"/>
      <c r="J77" s="456"/>
      <c r="K77" s="457"/>
      <c r="L77" s="458"/>
      <c r="M77" s="458"/>
      <c r="N77" s="458"/>
      <c r="O77" s="458"/>
      <c r="P77" s="458"/>
      <c r="Q77" s="458"/>
      <c r="R77" s="458"/>
      <c r="S77" s="459"/>
      <c r="T77" s="460"/>
      <c r="U77" s="460"/>
      <c r="V77" s="460"/>
      <c r="W77" s="460"/>
      <c r="X77" s="461"/>
      <c r="Y77" s="461"/>
      <c r="Z77" s="461"/>
      <c r="AA77" s="461"/>
      <c r="AB77" s="461"/>
      <c r="AC77" s="461"/>
      <c r="AD77" s="462"/>
      <c r="AF77" s="50"/>
    </row>
    <row r="78" spans="1:32" ht="30" customHeight="1">
      <c r="A78" s="455">
        <f t="shared" ref="A78:A82" si="11">A77+1</f>
        <v>3</v>
      </c>
      <c r="B78" s="456"/>
      <c r="C78" s="171"/>
      <c r="D78" s="171"/>
      <c r="E78" s="32"/>
      <c r="F78" s="456"/>
      <c r="G78" s="456"/>
      <c r="H78" s="456"/>
      <c r="I78" s="456"/>
      <c r="J78" s="456"/>
      <c r="K78" s="457"/>
      <c r="L78" s="458"/>
      <c r="M78" s="458"/>
      <c r="N78" s="458"/>
      <c r="O78" s="458"/>
      <c r="P78" s="458"/>
      <c r="Q78" s="458"/>
      <c r="R78" s="458"/>
      <c r="S78" s="459"/>
      <c r="T78" s="460"/>
      <c r="U78" s="460"/>
      <c r="V78" s="460"/>
      <c r="W78" s="460"/>
      <c r="X78" s="461"/>
      <c r="Y78" s="461"/>
      <c r="Z78" s="461"/>
      <c r="AA78" s="461"/>
      <c r="AB78" s="461"/>
      <c r="AC78" s="461"/>
      <c r="AD78" s="462"/>
      <c r="AF78" s="50"/>
    </row>
    <row r="79" spans="1:32" ht="30" customHeight="1">
      <c r="A79" s="455">
        <f t="shared" si="11"/>
        <v>4</v>
      </c>
      <c r="B79" s="456"/>
      <c r="C79" s="171"/>
      <c r="D79" s="171"/>
      <c r="E79" s="32"/>
      <c r="F79" s="456"/>
      <c r="G79" s="456"/>
      <c r="H79" s="456"/>
      <c r="I79" s="456"/>
      <c r="J79" s="456"/>
      <c r="K79" s="457"/>
      <c r="L79" s="458"/>
      <c r="M79" s="458"/>
      <c r="N79" s="458"/>
      <c r="O79" s="458"/>
      <c r="P79" s="458"/>
      <c r="Q79" s="458"/>
      <c r="R79" s="458"/>
      <c r="S79" s="459"/>
      <c r="T79" s="460"/>
      <c r="U79" s="460"/>
      <c r="V79" s="460"/>
      <c r="W79" s="460"/>
      <c r="X79" s="461"/>
      <c r="Y79" s="461"/>
      <c r="Z79" s="461"/>
      <c r="AA79" s="461"/>
      <c r="AB79" s="461"/>
      <c r="AC79" s="461"/>
      <c r="AD79" s="462"/>
      <c r="AF79" s="50"/>
    </row>
    <row r="80" spans="1:32" ht="30" customHeight="1">
      <c r="A80" s="455">
        <f t="shared" si="11"/>
        <v>5</v>
      </c>
      <c r="B80" s="456"/>
      <c r="C80" s="171"/>
      <c r="D80" s="171"/>
      <c r="E80" s="32"/>
      <c r="F80" s="456"/>
      <c r="G80" s="456"/>
      <c r="H80" s="456"/>
      <c r="I80" s="456"/>
      <c r="J80" s="456"/>
      <c r="K80" s="457"/>
      <c r="L80" s="458"/>
      <c r="M80" s="458"/>
      <c r="N80" s="458"/>
      <c r="O80" s="458"/>
      <c r="P80" s="458"/>
      <c r="Q80" s="458"/>
      <c r="R80" s="458"/>
      <c r="S80" s="459"/>
      <c r="T80" s="460"/>
      <c r="U80" s="460"/>
      <c r="V80" s="460"/>
      <c r="W80" s="460"/>
      <c r="X80" s="461"/>
      <c r="Y80" s="461"/>
      <c r="Z80" s="461"/>
      <c r="AA80" s="461"/>
      <c r="AB80" s="461"/>
      <c r="AC80" s="461"/>
      <c r="AD80" s="462"/>
      <c r="AF80" s="50"/>
    </row>
    <row r="81" spans="1:32" ht="30" customHeight="1">
      <c r="A81" s="455">
        <f t="shared" si="11"/>
        <v>6</v>
      </c>
      <c r="B81" s="456"/>
      <c r="C81" s="171"/>
      <c r="D81" s="171"/>
      <c r="E81" s="32"/>
      <c r="F81" s="456"/>
      <c r="G81" s="456"/>
      <c r="H81" s="456"/>
      <c r="I81" s="456"/>
      <c r="J81" s="456"/>
      <c r="K81" s="457"/>
      <c r="L81" s="458"/>
      <c r="M81" s="458"/>
      <c r="N81" s="458"/>
      <c r="O81" s="458"/>
      <c r="P81" s="458"/>
      <c r="Q81" s="458"/>
      <c r="R81" s="458"/>
      <c r="S81" s="459"/>
      <c r="T81" s="460"/>
      <c r="U81" s="460"/>
      <c r="V81" s="460"/>
      <c r="W81" s="460"/>
      <c r="X81" s="461"/>
      <c r="Y81" s="461"/>
      <c r="Z81" s="461"/>
      <c r="AA81" s="461"/>
      <c r="AB81" s="461"/>
      <c r="AC81" s="461"/>
      <c r="AD81" s="462"/>
      <c r="AF81" s="50"/>
    </row>
    <row r="82" spans="1:32" ht="30" customHeight="1">
      <c r="A82" s="455">
        <f t="shared" si="11"/>
        <v>7</v>
      </c>
      <c r="B82" s="456"/>
      <c r="C82" s="171"/>
      <c r="D82" s="171"/>
      <c r="E82" s="32"/>
      <c r="F82" s="456"/>
      <c r="G82" s="456"/>
      <c r="H82" s="456"/>
      <c r="I82" s="456"/>
      <c r="J82" s="456"/>
      <c r="K82" s="457"/>
      <c r="L82" s="458"/>
      <c r="M82" s="458"/>
      <c r="N82" s="458"/>
      <c r="O82" s="458"/>
      <c r="P82" s="458"/>
      <c r="Q82" s="458"/>
      <c r="R82" s="458"/>
      <c r="S82" s="459"/>
      <c r="T82" s="460"/>
      <c r="U82" s="460"/>
      <c r="V82" s="460"/>
      <c r="W82" s="460"/>
      <c r="X82" s="461"/>
      <c r="Y82" s="461"/>
      <c r="Z82" s="461"/>
      <c r="AA82" s="461"/>
      <c r="AB82" s="461"/>
      <c r="AC82" s="461"/>
      <c r="AD82" s="462"/>
      <c r="AF82" s="50"/>
    </row>
    <row r="83" spans="1:32" ht="36" thickBot="1">
      <c r="A83" s="448" t="s">
        <v>272</v>
      </c>
      <c r="B83" s="448"/>
      <c r="C83" s="448"/>
      <c r="D83" s="448"/>
      <c r="E83" s="44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49" t="s">
        <v>111</v>
      </c>
      <c r="B84" s="450"/>
      <c r="C84" s="476" t="s">
        <v>52</v>
      </c>
      <c r="D84" s="476"/>
      <c r="E84" s="476" t="s">
        <v>53</v>
      </c>
      <c r="F84" s="476"/>
      <c r="G84" s="476"/>
      <c r="H84" s="476"/>
      <c r="I84" s="476"/>
      <c r="J84" s="476"/>
      <c r="K84" s="476" t="s">
        <v>54</v>
      </c>
      <c r="L84" s="476"/>
      <c r="M84" s="476"/>
      <c r="N84" s="476"/>
      <c r="O84" s="476"/>
      <c r="P84" s="476"/>
      <c r="Q84" s="476"/>
      <c r="R84" s="476"/>
      <c r="S84" s="476"/>
      <c r="T84" s="476" t="s">
        <v>55</v>
      </c>
      <c r="U84" s="476"/>
      <c r="V84" s="476" t="s">
        <v>56</v>
      </c>
      <c r="W84" s="476"/>
      <c r="X84" s="476"/>
      <c r="Y84" s="476" t="s">
        <v>51</v>
      </c>
      <c r="Z84" s="476"/>
      <c r="AA84" s="476"/>
      <c r="AB84" s="476"/>
      <c r="AC84" s="476"/>
      <c r="AD84" s="477"/>
      <c r="AF84" s="50"/>
    </row>
    <row r="85" spans="1:32" ht="30.75" customHeight="1">
      <c r="A85" s="463">
        <v>1</v>
      </c>
      <c r="B85" s="464"/>
      <c r="C85" s="478"/>
      <c r="D85" s="478"/>
      <c r="E85" s="478"/>
      <c r="F85" s="478"/>
      <c r="G85" s="478"/>
      <c r="H85" s="478"/>
      <c r="I85" s="478"/>
      <c r="J85" s="478"/>
      <c r="K85" s="478"/>
      <c r="L85" s="478"/>
      <c r="M85" s="478"/>
      <c r="N85" s="478"/>
      <c r="O85" s="478"/>
      <c r="P85" s="478"/>
      <c r="Q85" s="478"/>
      <c r="R85" s="478"/>
      <c r="S85" s="478"/>
      <c r="T85" s="478"/>
      <c r="U85" s="478"/>
      <c r="V85" s="479"/>
      <c r="W85" s="479"/>
      <c r="X85" s="479"/>
      <c r="Y85" s="480"/>
      <c r="Z85" s="480"/>
      <c r="AA85" s="480"/>
      <c r="AB85" s="480"/>
      <c r="AC85" s="480"/>
      <c r="AD85" s="481"/>
      <c r="AF85" s="50"/>
    </row>
    <row r="86" spans="1:32" ht="30.75" customHeight="1">
      <c r="A86" s="455">
        <v>2</v>
      </c>
      <c r="B86" s="456"/>
      <c r="C86" s="489"/>
      <c r="D86" s="489"/>
      <c r="E86" s="489"/>
      <c r="F86" s="489"/>
      <c r="G86" s="489"/>
      <c r="H86" s="489"/>
      <c r="I86" s="489"/>
      <c r="J86" s="489"/>
      <c r="K86" s="489"/>
      <c r="L86" s="489"/>
      <c r="M86" s="489"/>
      <c r="N86" s="489"/>
      <c r="O86" s="489"/>
      <c r="P86" s="489"/>
      <c r="Q86" s="489"/>
      <c r="R86" s="489"/>
      <c r="S86" s="489"/>
      <c r="T86" s="490"/>
      <c r="U86" s="490"/>
      <c r="V86" s="491"/>
      <c r="W86" s="491"/>
      <c r="X86" s="491"/>
      <c r="Y86" s="482"/>
      <c r="Z86" s="482"/>
      <c r="AA86" s="482"/>
      <c r="AB86" s="482"/>
      <c r="AC86" s="482"/>
      <c r="AD86" s="483"/>
      <c r="AF86" s="50"/>
    </row>
    <row r="87" spans="1:32" ht="30.75" customHeight="1" thickBot="1">
      <c r="A87" s="484">
        <v>3</v>
      </c>
      <c r="B87" s="485"/>
      <c r="C87" s="486"/>
      <c r="D87" s="486"/>
      <c r="E87" s="486"/>
      <c r="F87" s="486"/>
      <c r="G87" s="486"/>
      <c r="H87" s="486"/>
      <c r="I87" s="486"/>
      <c r="J87" s="486"/>
      <c r="K87" s="486"/>
      <c r="L87" s="486"/>
      <c r="M87" s="486"/>
      <c r="N87" s="486"/>
      <c r="O87" s="486"/>
      <c r="P87" s="486"/>
      <c r="Q87" s="486"/>
      <c r="R87" s="486"/>
      <c r="S87" s="486"/>
      <c r="T87" s="486"/>
      <c r="U87" s="486"/>
      <c r="V87" s="486"/>
      <c r="W87" s="486"/>
      <c r="X87" s="486"/>
      <c r="Y87" s="487"/>
      <c r="Z87" s="487"/>
      <c r="AA87" s="487"/>
      <c r="AB87" s="487"/>
      <c r="AC87" s="487"/>
      <c r="AD87" s="488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0333-BE20-49F4-A02D-945422B09E73}">
  <dimension ref="A1:AF88"/>
  <sheetViews>
    <sheetView view="pageBreakPreview" zoomScale="70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70" t="s">
        <v>273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5"/>
      <c r="T4" s="405"/>
      <c r="U4" s="405"/>
      <c r="V4" s="405"/>
      <c r="W4" s="406" t="s">
        <v>11</v>
      </c>
      <c r="X4" s="405"/>
      <c r="Y4" s="405"/>
      <c r="Z4" s="405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187" t="s">
        <v>17</v>
      </c>
      <c r="L5" s="187" t="s">
        <v>18</v>
      </c>
      <c r="M5" s="187" t="s">
        <v>19</v>
      </c>
      <c r="N5" s="18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125</v>
      </c>
      <c r="E6" s="53" t="s">
        <v>252</v>
      </c>
      <c r="F6" s="30" t="s">
        <v>206</v>
      </c>
      <c r="G6" s="12">
        <v>1</v>
      </c>
      <c r="H6" s="13">
        <v>24</v>
      </c>
      <c r="I6" s="7">
        <v>500</v>
      </c>
      <c r="J6" s="14">
        <v>645</v>
      </c>
      <c r="K6" s="15">
        <f>L6+645</f>
        <v>645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/>
      <c r="W6" s="5">
        <v>24</v>
      </c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22" si="7">$AD$23</f>
        <v>0.54656862745098045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 t="s">
        <v>131</v>
      </c>
      <c r="E7" s="53" t="s">
        <v>139</v>
      </c>
      <c r="F7" s="12" t="s">
        <v>133</v>
      </c>
      <c r="G7" s="12">
        <v>1</v>
      </c>
      <c r="H7" s="13">
        <v>24</v>
      </c>
      <c r="I7" s="31">
        <v>50000</v>
      </c>
      <c r="J7" s="14">
        <v>5878</v>
      </c>
      <c r="K7" s="15">
        <f>L7+4913</f>
        <v>10791</v>
      </c>
      <c r="L7" s="15">
        <f>2899+2979</f>
        <v>5878</v>
      </c>
      <c r="M7" s="15">
        <f t="shared" si="0"/>
        <v>5878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0.54656862745098045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119</v>
      </c>
      <c r="D8" s="52" t="s">
        <v>147</v>
      </c>
      <c r="E8" s="53" t="s">
        <v>167</v>
      </c>
      <c r="F8" s="30" t="s">
        <v>211</v>
      </c>
      <c r="G8" s="33">
        <v>2</v>
      </c>
      <c r="H8" s="35">
        <v>24</v>
      </c>
      <c r="I8" s="7">
        <v>3000</v>
      </c>
      <c r="J8" s="5">
        <v>3314</v>
      </c>
      <c r="K8" s="15">
        <f>L8</f>
        <v>3314</v>
      </c>
      <c r="L8" s="15">
        <f>1657*2</f>
        <v>3314</v>
      </c>
      <c r="M8" s="15">
        <f t="shared" si="0"/>
        <v>3314</v>
      </c>
      <c r="N8" s="15">
        <v>0</v>
      </c>
      <c r="O8" s="58">
        <f t="shared" si="1"/>
        <v>0</v>
      </c>
      <c r="P8" s="39">
        <f t="shared" si="2"/>
        <v>8</v>
      </c>
      <c r="Q8" s="40">
        <f t="shared" si="3"/>
        <v>16</v>
      </c>
      <c r="R8" s="7"/>
      <c r="S8" s="6"/>
      <c r="T8" s="16"/>
      <c r="U8" s="16"/>
      <c r="V8" s="17"/>
      <c r="W8" s="5">
        <v>16</v>
      </c>
      <c r="X8" s="16"/>
      <c r="Y8" s="16"/>
      <c r="Z8" s="16"/>
      <c r="AA8" s="18"/>
      <c r="AB8" s="8">
        <f t="shared" si="4"/>
        <v>1</v>
      </c>
      <c r="AC8" s="9">
        <f t="shared" si="5"/>
        <v>0.33333333333333331</v>
      </c>
      <c r="AD8" s="10">
        <f t="shared" si="6"/>
        <v>0.33333333333333331</v>
      </c>
      <c r="AE8" s="36">
        <f t="shared" si="7"/>
        <v>0.54656862745098045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119</v>
      </c>
      <c r="D9" s="52" t="s">
        <v>115</v>
      </c>
      <c r="E9" s="53" t="s">
        <v>222</v>
      </c>
      <c r="F9" s="30" t="s">
        <v>236</v>
      </c>
      <c r="G9" s="12">
        <v>2</v>
      </c>
      <c r="H9" s="13">
        <v>24</v>
      </c>
      <c r="I9" s="7">
        <v>50000</v>
      </c>
      <c r="J9" s="14">
        <v>10270</v>
      </c>
      <c r="K9" s="15">
        <f>L9+7346+9814</f>
        <v>27430</v>
      </c>
      <c r="L9" s="15">
        <f>2593*2+2542*2</f>
        <v>10270</v>
      </c>
      <c r="M9" s="15">
        <f t="shared" si="0"/>
        <v>10270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0.54656862745098045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119</v>
      </c>
      <c r="D10" s="52" t="s">
        <v>195</v>
      </c>
      <c r="E10" s="53" t="s">
        <v>262</v>
      </c>
      <c r="F10" s="30" t="s">
        <v>158</v>
      </c>
      <c r="G10" s="33">
        <v>2</v>
      </c>
      <c r="H10" s="35">
        <v>24</v>
      </c>
      <c r="I10" s="7">
        <v>50000</v>
      </c>
      <c r="J10" s="14">
        <v>3366</v>
      </c>
      <c r="K10" s="15">
        <f>L10</f>
        <v>3366</v>
      </c>
      <c r="L10" s="15">
        <f>962*2+721*2</f>
        <v>3366</v>
      </c>
      <c r="M10" s="15">
        <f t="shared" si="0"/>
        <v>3366</v>
      </c>
      <c r="N10" s="15">
        <v>0</v>
      </c>
      <c r="O10" s="58">
        <f t="shared" si="1"/>
        <v>0</v>
      </c>
      <c r="P10" s="39">
        <f t="shared" si="2"/>
        <v>8</v>
      </c>
      <c r="Q10" s="40">
        <f t="shared" si="3"/>
        <v>16</v>
      </c>
      <c r="R10" s="7"/>
      <c r="S10" s="6">
        <v>16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0.33333333333333331</v>
      </c>
      <c r="AD10" s="10">
        <f t="shared" si="6"/>
        <v>0.33333333333333331</v>
      </c>
      <c r="AE10" s="36">
        <f t="shared" si="7"/>
        <v>0.54656862745098045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263</v>
      </c>
      <c r="E11" s="53" t="s">
        <v>264</v>
      </c>
      <c r="F11" s="30" t="s">
        <v>206</v>
      </c>
      <c r="G11" s="33">
        <v>16</v>
      </c>
      <c r="H11" s="35">
        <v>24</v>
      </c>
      <c r="I11" s="7">
        <v>100000</v>
      </c>
      <c r="J11" s="14">
        <v>49500</v>
      </c>
      <c r="K11" s="15">
        <f>L11</f>
        <v>49500</v>
      </c>
      <c r="L11" s="15">
        <f>2141*10+2809*10</f>
        <v>49500</v>
      </c>
      <c r="M11" s="15">
        <f t="shared" si="0"/>
        <v>49500</v>
      </c>
      <c r="N11" s="15">
        <v>0</v>
      </c>
      <c r="O11" s="58">
        <f t="shared" si="1"/>
        <v>0</v>
      </c>
      <c r="P11" s="39">
        <f t="shared" si="2"/>
        <v>19</v>
      </c>
      <c r="Q11" s="40">
        <f t="shared" si="3"/>
        <v>5</v>
      </c>
      <c r="R11" s="7">
        <v>5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0.79166666666666663</v>
      </c>
      <c r="AD11" s="10">
        <f t="shared" si="6"/>
        <v>0.79166666666666663</v>
      </c>
      <c r="AE11" s="36">
        <f t="shared" si="7"/>
        <v>0.54656862745098045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149</v>
      </c>
      <c r="F12" s="30" t="s">
        <v>142</v>
      </c>
      <c r="G12" s="12">
        <v>1</v>
      </c>
      <c r="H12" s="13">
        <v>22</v>
      </c>
      <c r="I12" s="31">
        <v>100000</v>
      </c>
      <c r="J12" s="5">
        <v>5014</v>
      </c>
      <c r="K12" s="15">
        <f>L12+3980+4963+4857+4991+5052+5074+5369+4402+4760+5003+4109+5018+5406+4902+5041+5019+5033+5053+4646+3593+3896+4100</f>
        <v>109281</v>
      </c>
      <c r="L12" s="15">
        <f>2501+2513</f>
        <v>5014</v>
      </c>
      <c r="M12" s="15">
        <f t="shared" si="0"/>
        <v>5014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0.54656862745098045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224</v>
      </c>
      <c r="E13" s="53" t="s">
        <v>223</v>
      </c>
      <c r="F13" s="30" t="s">
        <v>142</v>
      </c>
      <c r="G13" s="12">
        <v>1</v>
      </c>
      <c r="H13" s="13">
        <v>24</v>
      </c>
      <c r="I13" s="31">
        <v>3500</v>
      </c>
      <c r="J13" s="14">
        <v>4652</v>
      </c>
      <c r="K13" s="15">
        <f>L13+269</f>
        <v>4921</v>
      </c>
      <c r="L13" s="15">
        <f>2853+1799</f>
        <v>4652</v>
      </c>
      <c r="M13" s="15">
        <f t="shared" si="0"/>
        <v>4652</v>
      </c>
      <c r="N13" s="15">
        <v>0</v>
      </c>
      <c r="O13" s="58">
        <f t="shared" si="1"/>
        <v>0</v>
      </c>
      <c r="P13" s="39">
        <f t="shared" si="2"/>
        <v>21</v>
      </c>
      <c r="Q13" s="40">
        <f t="shared" si="3"/>
        <v>3</v>
      </c>
      <c r="R13" s="7"/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0.875</v>
      </c>
      <c r="AD13" s="10">
        <f>AC13*AB13*(1-O13)</f>
        <v>0.875</v>
      </c>
      <c r="AE13" s="36">
        <f t="shared" si="7"/>
        <v>0.54656862745098045</v>
      </c>
      <c r="AF13" s="84">
        <f t="shared" si="8"/>
        <v>8</v>
      </c>
    </row>
    <row r="14" spans="1:32" ht="27" customHeight="1">
      <c r="A14" s="105">
        <v>9</v>
      </c>
      <c r="B14" s="11" t="s">
        <v>156</v>
      </c>
      <c r="C14" s="34" t="s">
        <v>112</v>
      </c>
      <c r="D14" s="52" t="s">
        <v>115</v>
      </c>
      <c r="E14" s="53" t="s">
        <v>153</v>
      </c>
      <c r="F14" s="30" t="s">
        <v>144</v>
      </c>
      <c r="G14" s="33">
        <v>1</v>
      </c>
      <c r="H14" s="35">
        <v>50</v>
      </c>
      <c r="I14" s="7">
        <v>50</v>
      </c>
      <c r="J14" s="5"/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0.54656862745098045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125</v>
      </c>
      <c r="E15" s="53" t="s">
        <v>150</v>
      </c>
      <c r="F15" s="12" t="s">
        <v>138</v>
      </c>
      <c r="G15" s="12">
        <v>1</v>
      </c>
      <c r="H15" s="13">
        <v>24</v>
      </c>
      <c r="I15" s="31">
        <v>6500</v>
      </c>
      <c r="J15" s="14">
        <v>5214</v>
      </c>
      <c r="K15" s="15">
        <f>L15+2059+5272+5214</f>
        <v>12545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0.54656862745098045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195</v>
      </c>
      <c r="E16" s="53" t="s">
        <v>238</v>
      </c>
      <c r="F16" s="30" t="s">
        <v>213</v>
      </c>
      <c r="G16" s="12">
        <v>1</v>
      </c>
      <c r="H16" s="13">
        <v>24</v>
      </c>
      <c r="I16" s="7">
        <v>20000</v>
      </c>
      <c r="J16" s="14">
        <v>5924</v>
      </c>
      <c r="K16" s="15">
        <f>L16+2991+6138</f>
        <v>15053</v>
      </c>
      <c r="L16" s="15">
        <f>2913+3011</f>
        <v>5924</v>
      </c>
      <c r="M16" s="15">
        <f t="shared" si="0"/>
        <v>5924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0.54656862745098045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119</v>
      </c>
      <c r="D17" s="52" t="s">
        <v>131</v>
      </c>
      <c r="E17" s="53" t="s">
        <v>274</v>
      </c>
      <c r="F17" s="30" t="s">
        <v>132</v>
      </c>
      <c r="G17" s="12">
        <v>4</v>
      </c>
      <c r="H17" s="13">
        <v>24</v>
      </c>
      <c r="I17" s="7">
        <v>3000</v>
      </c>
      <c r="J17" s="14">
        <v>3144</v>
      </c>
      <c r="K17" s="15">
        <f>L17</f>
        <v>3144</v>
      </c>
      <c r="L17" s="15">
        <f>786*4</f>
        <v>3144</v>
      </c>
      <c r="M17" s="15">
        <f t="shared" ref="M17" si="9">L17-N17</f>
        <v>3144</v>
      </c>
      <c r="N17" s="15">
        <v>0</v>
      </c>
      <c r="O17" s="58">
        <f t="shared" ref="O17" si="10">IF(L17=0,"0",N17/L17)</f>
        <v>0</v>
      </c>
      <c r="P17" s="39">
        <f t="shared" ref="P17" si="11">IF(L17=0,"0",(24-Q17))</f>
        <v>4</v>
      </c>
      <c r="Q17" s="40">
        <f t="shared" ref="Q17" si="12">SUM(R17:AA17)</f>
        <v>20</v>
      </c>
      <c r="R17" s="7"/>
      <c r="S17" s="6"/>
      <c r="T17" s="16"/>
      <c r="U17" s="16"/>
      <c r="V17" s="17"/>
      <c r="W17" s="5">
        <v>20</v>
      </c>
      <c r="X17" s="16"/>
      <c r="Y17" s="16"/>
      <c r="Z17" s="16"/>
      <c r="AA17" s="18"/>
      <c r="AB17" s="8">
        <f t="shared" ref="AB17" si="13">IF(J17=0,"0",(L17/J17))</f>
        <v>1</v>
      </c>
      <c r="AC17" s="9">
        <f t="shared" ref="AC17" si="14">IF(P17=0,"0",(P17/24))</f>
        <v>0.16666666666666666</v>
      </c>
      <c r="AD17" s="10">
        <f t="shared" ref="AD17" si="15">AC17*AB17*(1-O17)</f>
        <v>0.16666666666666666</v>
      </c>
      <c r="AE17" s="36">
        <f t="shared" si="7"/>
        <v>0.54656862745098045</v>
      </c>
      <c r="AF17" s="84">
        <f t="shared" ref="AF17" si="16">A17</f>
        <v>12</v>
      </c>
    </row>
    <row r="18" spans="1:32" ht="30" customHeight="1">
      <c r="A18" s="95">
        <v>12</v>
      </c>
      <c r="B18" s="11" t="s">
        <v>57</v>
      </c>
      <c r="C18" s="34" t="s">
        <v>112</v>
      </c>
      <c r="D18" s="52" t="s">
        <v>275</v>
      </c>
      <c r="E18" s="53" t="s">
        <v>276</v>
      </c>
      <c r="F18" s="30" t="s">
        <v>132</v>
      </c>
      <c r="G18" s="12">
        <v>1</v>
      </c>
      <c r="H18" s="13">
        <v>24</v>
      </c>
      <c r="I18" s="7">
        <v>5000</v>
      </c>
      <c r="J18" s="14">
        <v>2580</v>
      </c>
      <c r="K18" s="15">
        <f>L18</f>
        <v>2580</v>
      </c>
      <c r="L18" s="15">
        <v>2580</v>
      </c>
      <c r="M18" s="15">
        <f t="shared" si="0"/>
        <v>2580</v>
      </c>
      <c r="N18" s="15">
        <v>0</v>
      </c>
      <c r="O18" s="58">
        <f t="shared" si="1"/>
        <v>0</v>
      </c>
      <c r="P18" s="39">
        <f t="shared" si="2"/>
        <v>16</v>
      </c>
      <c r="Q18" s="40">
        <f t="shared" si="3"/>
        <v>8</v>
      </c>
      <c r="R18" s="7"/>
      <c r="S18" s="6"/>
      <c r="T18" s="16">
        <v>8</v>
      </c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0.66666666666666663</v>
      </c>
      <c r="AD18" s="10">
        <f t="shared" si="6"/>
        <v>0.66666666666666663</v>
      </c>
      <c r="AE18" s="36">
        <f t="shared" si="7"/>
        <v>0.54656862745098045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119</v>
      </c>
      <c r="D19" s="52" t="s">
        <v>146</v>
      </c>
      <c r="E19" s="53" t="s">
        <v>155</v>
      </c>
      <c r="F19" s="30" t="s">
        <v>142</v>
      </c>
      <c r="G19" s="33">
        <v>1</v>
      </c>
      <c r="H19" s="35">
        <v>24</v>
      </c>
      <c r="I19" s="7">
        <v>12000</v>
      </c>
      <c r="J19" s="14">
        <v>4029</v>
      </c>
      <c r="K19" s="15">
        <f>L19+5050+5888</f>
        <v>14967</v>
      </c>
      <c r="L19" s="15">
        <f>3054+975</f>
        <v>4029</v>
      </c>
      <c r="M19" s="15">
        <f t="shared" si="0"/>
        <v>4029</v>
      </c>
      <c r="N19" s="15">
        <v>0</v>
      </c>
      <c r="O19" s="58">
        <f t="shared" si="1"/>
        <v>0</v>
      </c>
      <c r="P19" s="39">
        <f t="shared" si="2"/>
        <v>18</v>
      </c>
      <c r="Q19" s="40">
        <f t="shared" si="3"/>
        <v>6</v>
      </c>
      <c r="R19" s="7"/>
      <c r="S19" s="6"/>
      <c r="T19" s="16"/>
      <c r="U19" s="16"/>
      <c r="V19" s="17"/>
      <c r="W19" s="5">
        <v>6</v>
      </c>
      <c r="X19" s="16"/>
      <c r="Y19" s="16"/>
      <c r="Z19" s="16"/>
      <c r="AA19" s="18"/>
      <c r="AB19" s="8">
        <f t="shared" si="4"/>
        <v>1</v>
      </c>
      <c r="AC19" s="9">
        <f t="shared" si="5"/>
        <v>0.75</v>
      </c>
      <c r="AD19" s="10">
        <f t="shared" si="6"/>
        <v>0.75</v>
      </c>
      <c r="AE19" s="36">
        <f t="shared" si="7"/>
        <v>0.54656862745098045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125</v>
      </c>
      <c r="E20" s="53" t="s">
        <v>225</v>
      </c>
      <c r="F20" s="30" t="s">
        <v>171</v>
      </c>
      <c r="G20" s="33">
        <v>1</v>
      </c>
      <c r="H20" s="35">
        <v>24</v>
      </c>
      <c r="I20" s="7">
        <v>2000</v>
      </c>
      <c r="J20" s="14">
        <v>2054</v>
      </c>
      <c r="K20" s="15">
        <f>L20+5363+2054</f>
        <v>7417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/>
      <c r="X20" s="16"/>
      <c r="Y20" s="16"/>
      <c r="Z20" s="16"/>
      <c r="AA20" s="18">
        <v>24</v>
      </c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0.54656862745098045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112</v>
      </c>
      <c r="D21" s="52" t="s">
        <v>115</v>
      </c>
      <c r="E21" s="53" t="s">
        <v>151</v>
      </c>
      <c r="F21" s="30" t="s">
        <v>142</v>
      </c>
      <c r="G21" s="12">
        <v>1</v>
      </c>
      <c r="H21" s="13">
        <v>24</v>
      </c>
      <c r="I21" s="7">
        <v>52000</v>
      </c>
      <c r="J21" s="14">
        <v>5347</v>
      </c>
      <c r="K21" s="15">
        <f>L21+2928+5476+5823+3267+3626+5491+5401+5798+4186+3247+5615+5568</f>
        <v>61773</v>
      </c>
      <c r="L21" s="15">
        <f>2795+2552</f>
        <v>5347</v>
      </c>
      <c r="M21" s="15">
        <f t="shared" si="0"/>
        <v>5347</v>
      </c>
      <c r="N21" s="15">
        <v>0</v>
      </c>
      <c r="O21" s="58">
        <f t="shared" si="1"/>
        <v>0</v>
      </c>
      <c r="P21" s="39">
        <f t="shared" si="2"/>
        <v>22</v>
      </c>
      <c r="Q21" s="40">
        <f t="shared" si="3"/>
        <v>2</v>
      </c>
      <c r="R21" s="7"/>
      <c r="S21" s="6">
        <v>2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0.91666666666666663</v>
      </c>
      <c r="AD21" s="10">
        <f t="shared" si="6"/>
        <v>0.91666666666666663</v>
      </c>
      <c r="AE21" s="36">
        <f t="shared" si="7"/>
        <v>0.54656862745098045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140</v>
      </c>
      <c r="F22" s="12" t="s">
        <v>114</v>
      </c>
      <c r="G22" s="12">
        <v>4</v>
      </c>
      <c r="H22" s="35">
        <v>20</v>
      </c>
      <c r="I22" s="7">
        <v>500000</v>
      </c>
      <c r="J22" s="14">
        <v>28200</v>
      </c>
      <c r="K22" s="15">
        <f>L22+29516+33412+34840</f>
        <v>125968</v>
      </c>
      <c r="L22" s="15">
        <f>7050*4</f>
        <v>28200</v>
      </c>
      <c r="M22" s="15">
        <f t="shared" si="0"/>
        <v>28200</v>
      </c>
      <c r="N22" s="15">
        <v>0</v>
      </c>
      <c r="O22" s="58">
        <f t="shared" si="1"/>
        <v>0</v>
      </c>
      <c r="P22" s="39">
        <f t="shared" si="2"/>
        <v>11</v>
      </c>
      <c r="Q22" s="40">
        <f t="shared" si="3"/>
        <v>13</v>
      </c>
      <c r="R22" s="7"/>
      <c r="S22" s="6"/>
      <c r="T22" s="16"/>
      <c r="U22" s="16"/>
      <c r="V22" s="17">
        <v>13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0.45833333333333331</v>
      </c>
      <c r="AD22" s="10">
        <f t="shared" si="6"/>
        <v>0.45833333333333331</v>
      </c>
      <c r="AE22" s="36">
        <f t="shared" si="7"/>
        <v>0.54656862745098045</v>
      </c>
      <c r="AF22" s="84">
        <f t="shared" si="8"/>
        <v>16</v>
      </c>
    </row>
    <row r="23" spans="1:32" ht="31.5" customHeight="1" thickBot="1">
      <c r="A23" s="384" t="s">
        <v>34</v>
      </c>
      <c r="B23" s="385"/>
      <c r="C23" s="385"/>
      <c r="D23" s="385"/>
      <c r="E23" s="385"/>
      <c r="F23" s="385"/>
      <c r="G23" s="385"/>
      <c r="H23" s="386"/>
      <c r="I23" s="22">
        <f t="shared" ref="I23:N23" si="17">SUM(I6:I22)</f>
        <v>957550</v>
      </c>
      <c r="J23" s="19">
        <f t="shared" si="17"/>
        <v>139131</v>
      </c>
      <c r="K23" s="20">
        <f t="shared" si="17"/>
        <v>452695</v>
      </c>
      <c r="L23" s="21">
        <f t="shared" si="17"/>
        <v>131218</v>
      </c>
      <c r="M23" s="20">
        <f t="shared" si="17"/>
        <v>131218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223</v>
      </c>
      <c r="Q23" s="43">
        <f t="shared" si="18"/>
        <v>185</v>
      </c>
      <c r="R23" s="23">
        <f t="shared" si="18"/>
        <v>5</v>
      </c>
      <c r="S23" s="24">
        <f t="shared" si="18"/>
        <v>21</v>
      </c>
      <c r="T23" s="24">
        <f t="shared" si="18"/>
        <v>8</v>
      </c>
      <c r="U23" s="24">
        <f t="shared" si="18"/>
        <v>0</v>
      </c>
      <c r="V23" s="25">
        <f t="shared" si="18"/>
        <v>13</v>
      </c>
      <c r="W23" s="26">
        <f t="shared" si="18"/>
        <v>114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24</v>
      </c>
      <c r="AB23" s="28">
        <f>AVERAGE(AB6:AB22)</f>
        <v>0.8125</v>
      </c>
      <c r="AC23" s="4">
        <f>AVERAGE(AC6:AC22)</f>
        <v>0.54656862745098045</v>
      </c>
      <c r="AD23" s="4">
        <f>AVERAGE(AD6:AD22)</f>
        <v>0.54656862745098045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387" t="s">
        <v>45</v>
      </c>
      <c r="B50" s="387"/>
      <c r="C50" s="387"/>
      <c r="D50" s="387"/>
      <c r="E50" s="38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388" t="s">
        <v>281</v>
      </c>
      <c r="B51" s="389"/>
      <c r="C51" s="389"/>
      <c r="D51" s="389"/>
      <c r="E51" s="389"/>
      <c r="F51" s="389"/>
      <c r="G51" s="389"/>
      <c r="H51" s="389"/>
      <c r="I51" s="389"/>
      <c r="J51" s="389"/>
      <c r="K51" s="389"/>
      <c r="L51" s="389"/>
      <c r="M51" s="390"/>
      <c r="N51" s="391" t="s">
        <v>280</v>
      </c>
      <c r="O51" s="392"/>
      <c r="P51" s="392"/>
      <c r="Q51" s="392"/>
      <c r="R51" s="392"/>
      <c r="S51" s="392"/>
      <c r="T51" s="392"/>
      <c r="U51" s="392"/>
      <c r="V51" s="392"/>
      <c r="W51" s="392"/>
      <c r="X51" s="392"/>
      <c r="Y51" s="392"/>
      <c r="Z51" s="392"/>
      <c r="AA51" s="392"/>
      <c r="AB51" s="392"/>
      <c r="AC51" s="392"/>
      <c r="AD51" s="393"/>
    </row>
    <row r="52" spans="1:32" ht="27" customHeight="1">
      <c r="A52" s="394" t="s">
        <v>2</v>
      </c>
      <c r="B52" s="395"/>
      <c r="C52" s="186" t="s">
        <v>46</v>
      </c>
      <c r="D52" s="186" t="s">
        <v>47</v>
      </c>
      <c r="E52" s="186" t="s">
        <v>107</v>
      </c>
      <c r="F52" s="396" t="s">
        <v>106</v>
      </c>
      <c r="G52" s="397"/>
      <c r="H52" s="397"/>
      <c r="I52" s="397"/>
      <c r="J52" s="397"/>
      <c r="K52" s="397"/>
      <c r="L52" s="397"/>
      <c r="M52" s="398"/>
      <c r="N52" s="67" t="s">
        <v>110</v>
      </c>
      <c r="O52" s="186" t="s">
        <v>46</v>
      </c>
      <c r="P52" s="396" t="s">
        <v>47</v>
      </c>
      <c r="Q52" s="399"/>
      <c r="R52" s="396" t="s">
        <v>38</v>
      </c>
      <c r="S52" s="397"/>
      <c r="T52" s="397"/>
      <c r="U52" s="399"/>
      <c r="V52" s="396" t="s">
        <v>48</v>
      </c>
      <c r="W52" s="397"/>
      <c r="X52" s="397"/>
      <c r="Y52" s="397"/>
      <c r="Z52" s="397"/>
      <c r="AA52" s="397"/>
      <c r="AB52" s="397"/>
      <c r="AC52" s="397"/>
      <c r="AD52" s="398"/>
    </row>
    <row r="53" spans="1:32" ht="27" customHeight="1">
      <c r="A53" s="420" t="s">
        <v>119</v>
      </c>
      <c r="B53" s="421"/>
      <c r="C53" s="182" t="s">
        <v>187</v>
      </c>
      <c r="D53" s="182" t="s">
        <v>195</v>
      </c>
      <c r="E53" s="182" t="s">
        <v>262</v>
      </c>
      <c r="F53" s="412" t="s">
        <v>277</v>
      </c>
      <c r="G53" s="413"/>
      <c r="H53" s="413"/>
      <c r="I53" s="413"/>
      <c r="J53" s="413"/>
      <c r="K53" s="413"/>
      <c r="L53" s="413"/>
      <c r="M53" s="414"/>
      <c r="N53" s="181" t="s">
        <v>112</v>
      </c>
      <c r="O53" s="179" t="s">
        <v>143</v>
      </c>
      <c r="P53" s="415" t="s">
        <v>147</v>
      </c>
      <c r="Q53" s="416"/>
      <c r="R53" s="415" t="s">
        <v>283</v>
      </c>
      <c r="S53" s="417"/>
      <c r="T53" s="417"/>
      <c r="U53" s="416"/>
      <c r="V53" s="418" t="s">
        <v>130</v>
      </c>
      <c r="W53" s="418"/>
      <c r="X53" s="418"/>
      <c r="Y53" s="418"/>
      <c r="Z53" s="418"/>
      <c r="AA53" s="418"/>
      <c r="AB53" s="418"/>
      <c r="AC53" s="418"/>
      <c r="AD53" s="419"/>
    </row>
    <row r="54" spans="1:32" ht="27" customHeight="1">
      <c r="A54" s="410" t="s">
        <v>119</v>
      </c>
      <c r="B54" s="411"/>
      <c r="C54" s="185" t="s">
        <v>143</v>
      </c>
      <c r="D54" s="185" t="s">
        <v>147</v>
      </c>
      <c r="E54" s="182" t="s">
        <v>260</v>
      </c>
      <c r="F54" s="412" t="s">
        <v>261</v>
      </c>
      <c r="G54" s="413"/>
      <c r="H54" s="413"/>
      <c r="I54" s="413"/>
      <c r="J54" s="413"/>
      <c r="K54" s="413"/>
      <c r="L54" s="413"/>
      <c r="M54" s="414"/>
      <c r="N54" s="181" t="s">
        <v>119</v>
      </c>
      <c r="O54" s="179" t="s">
        <v>187</v>
      </c>
      <c r="P54" s="415" t="s">
        <v>195</v>
      </c>
      <c r="Q54" s="416"/>
      <c r="R54" s="415" t="s">
        <v>262</v>
      </c>
      <c r="S54" s="417"/>
      <c r="T54" s="417"/>
      <c r="U54" s="416"/>
      <c r="V54" s="418" t="s">
        <v>126</v>
      </c>
      <c r="W54" s="418"/>
      <c r="X54" s="418"/>
      <c r="Y54" s="418"/>
      <c r="Z54" s="418"/>
      <c r="AA54" s="418"/>
      <c r="AB54" s="418"/>
      <c r="AC54" s="418"/>
      <c r="AD54" s="419"/>
    </row>
    <row r="55" spans="1:32" ht="27" customHeight="1">
      <c r="A55" s="420" t="s">
        <v>119</v>
      </c>
      <c r="B55" s="421"/>
      <c r="C55" s="182" t="s">
        <v>230</v>
      </c>
      <c r="D55" s="182" t="s">
        <v>131</v>
      </c>
      <c r="E55" s="182" t="s">
        <v>274</v>
      </c>
      <c r="F55" s="412" t="s">
        <v>261</v>
      </c>
      <c r="G55" s="413"/>
      <c r="H55" s="413"/>
      <c r="I55" s="413"/>
      <c r="J55" s="413"/>
      <c r="K55" s="413"/>
      <c r="L55" s="413"/>
      <c r="M55" s="414"/>
      <c r="N55" s="181" t="s">
        <v>118</v>
      </c>
      <c r="O55" s="179" t="s">
        <v>207</v>
      </c>
      <c r="P55" s="415" t="s">
        <v>263</v>
      </c>
      <c r="Q55" s="416"/>
      <c r="R55" s="415" t="s">
        <v>264</v>
      </c>
      <c r="S55" s="417"/>
      <c r="T55" s="417"/>
      <c r="U55" s="416"/>
      <c r="V55" s="418" t="s">
        <v>126</v>
      </c>
      <c r="W55" s="418"/>
      <c r="X55" s="418"/>
      <c r="Y55" s="418"/>
      <c r="Z55" s="418"/>
      <c r="AA55" s="418"/>
      <c r="AB55" s="418"/>
      <c r="AC55" s="418"/>
      <c r="AD55" s="419"/>
    </row>
    <row r="56" spans="1:32" ht="27" customHeight="1">
      <c r="A56" s="410" t="s">
        <v>118</v>
      </c>
      <c r="B56" s="411"/>
      <c r="C56" s="185" t="s">
        <v>207</v>
      </c>
      <c r="D56" s="185" t="s">
        <v>263</v>
      </c>
      <c r="E56" s="185" t="s">
        <v>264</v>
      </c>
      <c r="F56" s="412" t="s">
        <v>278</v>
      </c>
      <c r="G56" s="413"/>
      <c r="H56" s="413"/>
      <c r="I56" s="413"/>
      <c r="J56" s="413"/>
      <c r="K56" s="413"/>
      <c r="L56" s="413"/>
      <c r="M56" s="414"/>
      <c r="N56" s="181" t="s">
        <v>119</v>
      </c>
      <c r="O56" s="179" t="s">
        <v>184</v>
      </c>
      <c r="P56" s="415" t="s">
        <v>115</v>
      </c>
      <c r="Q56" s="416"/>
      <c r="R56" s="415" t="s">
        <v>154</v>
      </c>
      <c r="S56" s="417"/>
      <c r="T56" s="417"/>
      <c r="U56" s="416"/>
      <c r="V56" s="418" t="s">
        <v>284</v>
      </c>
      <c r="W56" s="418"/>
      <c r="X56" s="418"/>
      <c r="Y56" s="418"/>
      <c r="Z56" s="418"/>
      <c r="AA56" s="418"/>
      <c r="AB56" s="418"/>
      <c r="AC56" s="418"/>
      <c r="AD56" s="419"/>
    </row>
    <row r="57" spans="1:32" ht="27" customHeight="1">
      <c r="A57" s="410" t="s">
        <v>112</v>
      </c>
      <c r="B57" s="411"/>
      <c r="C57" s="185" t="s">
        <v>136</v>
      </c>
      <c r="D57" s="185" t="s">
        <v>224</v>
      </c>
      <c r="E57" s="182" t="s">
        <v>223</v>
      </c>
      <c r="F57" s="412" t="s">
        <v>279</v>
      </c>
      <c r="G57" s="413"/>
      <c r="H57" s="413"/>
      <c r="I57" s="413"/>
      <c r="J57" s="413"/>
      <c r="K57" s="413"/>
      <c r="L57" s="413"/>
      <c r="M57" s="414"/>
      <c r="N57" s="181"/>
      <c r="O57" s="179"/>
      <c r="P57" s="415"/>
      <c r="Q57" s="416"/>
      <c r="R57" s="415"/>
      <c r="S57" s="417"/>
      <c r="T57" s="417"/>
      <c r="U57" s="416"/>
      <c r="V57" s="418"/>
      <c r="W57" s="418"/>
      <c r="X57" s="418"/>
      <c r="Y57" s="418"/>
      <c r="Z57" s="418"/>
      <c r="AA57" s="418"/>
      <c r="AB57" s="418"/>
      <c r="AC57" s="418"/>
      <c r="AD57" s="419"/>
    </row>
    <row r="58" spans="1:32" ht="27" customHeight="1">
      <c r="A58" s="410" t="s">
        <v>112</v>
      </c>
      <c r="B58" s="411"/>
      <c r="C58" s="185" t="s">
        <v>230</v>
      </c>
      <c r="D58" s="185" t="s">
        <v>275</v>
      </c>
      <c r="E58" s="182" t="s">
        <v>276</v>
      </c>
      <c r="F58" s="412" t="s">
        <v>282</v>
      </c>
      <c r="G58" s="413"/>
      <c r="H58" s="413"/>
      <c r="I58" s="413"/>
      <c r="J58" s="413"/>
      <c r="K58" s="413"/>
      <c r="L58" s="413"/>
      <c r="M58" s="414"/>
      <c r="N58" s="181"/>
      <c r="O58" s="179"/>
      <c r="P58" s="415"/>
      <c r="Q58" s="416"/>
      <c r="R58" s="415"/>
      <c r="S58" s="417"/>
      <c r="T58" s="417"/>
      <c r="U58" s="416"/>
      <c r="V58" s="418"/>
      <c r="W58" s="418"/>
      <c r="X58" s="418"/>
      <c r="Y58" s="418"/>
      <c r="Z58" s="418"/>
      <c r="AA58" s="418"/>
      <c r="AB58" s="418"/>
      <c r="AC58" s="418"/>
      <c r="AD58" s="419"/>
    </row>
    <row r="59" spans="1:32" ht="27" customHeight="1">
      <c r="A59" s="410"/>
      <c r="B59" s="411"/>
      <c r="C59" s="185"/>
      <c r="D59" s="185"/>
      <c r="E59" s="182"/>
      <c r="F59" s="412"/>
      <c r="G59" s="413"/>
      <c r="H59" s="413"/>
      <c r="I59" s="413"/>
      <c r="J59" s="413"/>
      <c r="K59" s="413"/>
      <c r="L59" s="413"/>
      <c r="M59" s="414"/>
      <c r="N59" s="181"/>
      <c r="O59" s="179"/>
      <c r="P59" s="415"/>
      <c r="Q59" s="416"/>
      <c r="R59" s="415"/>
      <c r="S59" s="417"/>
      <c r="T59" s="417"/>
      <c r="U59" s="416"/>
      <c r="V59" s="418"/>
      <c r="W59" s="418"/>
      <c r="X59" s="418"/>
      <c r="Y59" s="418"/>
      <c r="Z59" s="418"/>
      <c r="AA59" s="418"/>
      <c r="AB59" s="418"/>
      <c r="AC59" s="418"/>
      <c r="AD59" s="419"/>
    </row>
    <row r="60" spans="1:32" ht="27" customHeight="1">
      <c r="A60" s="420"/>
      <c r="B60" s="421"/>
      <c r="C60" s="182"/>
      <c r="D60" s="182"/>
      <c r="E60" s="182"/>
      <c r="F60" s="412"/>
      <c r="G60" s="413"/>
      <c r="H60" s="413"/>
      <c r="I60" s="413"/>
      <c r="J60" s="413"/>
      <c r="K60" s="413"/>
      <c r="L60" s="413"/>
      <c r="M60" s="414"/>
      <c r="N60" s="181"/>
      <c r="O60" s="179"/>
      <c r="P60" s="415"/>
      <c r="Q60" s="416"/>
      <c r="R60" s="421"/>
      <c r="S60" s="421"/>
      <c r="T60" s="421"/>
      <c r="U60" s="421"/>
      <c r="V60" s="418"/>
      <c r="W60" s="418"/>
      <c r="X60" s="418"/>
      <c r="Y60" s="418"/>
      <c r="Z60" s="418"/>
      <c r="AA60" s="418"/>
      <c r="AB60" s="418"/>
      <c r="AC60" s="418"/>
      <c r="AD60" s="419"/>
    </row>
    <row r="61" spans="1:32" ht="27" customHeight="1">
      <c r="A61" s="410"/>
      <c r="B61" s="411"/>
      <c r="C61" s="185"/>
      <c r="D61" s="185"/>
      <c r="E61" s="182"/>
      <c r="F61" s="412"/>
      <c r="G61" s="413"/>
      <c r="H61" s="413"/>
      <c r="I61" s="413"/>
      <c r="J61" s="413"/>
      <c r="K61" s="413"/>
      <c r="L61" s="413"/>
      <c r="M61" s="414"/>
      <c r="N61" s="181"/>
      <c r="O61" s="179"/>
      <c r="P61" s="421"/>
      <c r="Q61" s="421"/>
      <c r="R61" s="421"/>
      <c r="S61" s="421"/>
      <c r="T61" s="421"/>
      <c r="U61" s="421"/>
      <c r="V61" s="418"/>
      <c r="W61" s="418"/>
      <c r="X61" s="418"/>
      <c r="Y61" s="418"/>
      <c r="Z61" s="418"/>
      <c r="AA61" s="418"/>
      <c r="AB61" s="418"/>
      <c r="AC61" s="418"/>
      <c r="AD61" s="419"/>
      <c r="AF61" s="84">
        <f>8*3000</f>
        <v>24000</v>
      </c>
    </row>
    <row r="62" spans="1:32" ht="27" customHeight="1" thickBot="1">
      <c r="A62" s="422"/>
      <c r="B62" s="423"/>
      <c r="C62" s="183"/>
      <c r="D62" s="184"/>
      <c r="E62" s="184"/>
      <c r="F62" s="424"/>
      <c r="G62" s="425"/>
      <c r="H62" s="425"/>
      <c r="I62" s="425"/>
      <c r="J62" s="425"/>
      <c r="K62" s="425"/>
      <c r="L62" s="425"/>
      <c r="M62" s="426"/>
      <c r="N62" s="111"/>
      <c r="O62" s="103"/>
      <c r="P62" s="427"/>
      <c r="Q62" s="427"/>
      <c r="R62" s="427"/>
      <c r="S62" s="427"/>
      <c r="T62" s="427"/>
      <c r="U62" s="427"/>
      <c r="V62" s="428"/>
      <c r="W62" s="428"/>
      <c r="X62" s="428"/>
      <c r="Y62" s="428"/>
      <c r="Z62" s="428"/>
      <c r="AA62" s="428"/>
      <c r="AB62" s="428"/>
      <c r="AC62" s="428"/>
      <c r="AD62" s="429"/>
      <c r="AF62" s="84">
        <f>16*3000</f>
        <v>48000</v>
      </c>
    </row>
    <row r="63" spans="1:32" ht="27.75" thickBot="1">
      <c r="A63" s="430" t="s">
        <v>285</v>
      </c>
      <c r="B63" s="430"/>
      <c r="C63" s="430"/>
      <c r="D63" s="430"/>
      <c r="E63" s="430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31" t="s">
        <v>111</v>
      </c>
      <c r="B64" s="432"/>
      <c r="C64" s="180" t="s">
        <v>2</v>
      </c>
      <c r="D64" s="180" t="s">
        <v>37</v>
      </c>
      <c r="E64" s="180" t="s">
        <v>3</v>
      </c>
      <c r="F64" s="432" t="s">
        <v>109</v>
      </c>
      <c r="G64" s="432"/>
      <c r="H64" s="432"/>
      <c r="I64" s="432"/>
      <c r="J64" s="432"/>
      <c r="K64" s="432" t="s">
        <v>39</v>
      </c>
      <c r="L64" s="432"/>
      <c r="M64" s="180" t="s">
        <v>40</v>
      </c>
      <c r="N64" s="432" t="s">
        <v>41</v>
      </c>
      <c r="O64" s="432"/>
      <c r="P64" s="433" t="s">
        <v>42</v>
      </c>
      <c r="Q64" s="434"/>
      <c r="R64" s="433" t="s">
        <v>43</v>
      </c>
      <c r="S64" s="435"/>
      <c r="T64" s="435"/>
      <c r="U64" s="435"/>
      <c r="V64" s="435"/>
      <c r="W64" s="435"/>
      <c r="X64" s="435"/>
      <c r="Y64" s="435"/>
      <c r="Z64" s="435"/>
      <c r="AA64" s="434"/>
      <c r="AB64" s="432" t="s">
        <v>44</v>
      </c>
      <c r="AC64" s="432"/>
      <c r="AD64" s="436"/>
      <c r="AF64" s="84">
        <f>SUM(AF61:AF63)</f>
        <v>96000</v>
      </c>
    </row>
    <row r="65" spans="1:32" ht="25.5" customHeight="1">
      <c r="A65" s="437">
        <v>1</v>
      </c>
      <c r="B65" s="438"/>
      <c r="C65" s="104" t="s">
        <v>227</v>
      </c>
      <c r="D65" s="175"/>
      <c r="E65" s="178" t="s">
        <v>115</v>
      </c>
      <c r="F65" s="439" t="s">
        <v>286</v>
      </c>
      <c r="G65" s="440"/>
      <c r="H65" s="440"/>
      <c r="I65" s="440"/>
      <c r="J65" s="441"/>
      <c r="K65" s="442" t="s">
        <v>287</v>
      </c>
      <c r="L65" s="442"/>
      <c r="M65" s="51" t="s">
        <v>288</v>
      </c>
      <c r="N65" s="443" t="s">
        <v>135</v>
      </c>
      <c r="O65" s="443"/>
      <c r="P65" s="444">
        <v>50</v>
      </c>
      <c r="Q65" s="444"/>
      <c r="R65" s="418" t="s">
        <v>289</v>
      </c>
      <c r="S65" s="418"/>
      <c r="T65" s="418"/>
      <c r="U65" s="418"/>
      <c r="V65" s="418"/>
      <c r="W65" s="418"/>
      <c r="X65" s="418"/>
      <c r="Y65" s="418"/>
      <c r="Z65" s="418"/>
      <c r="AA65" s="418"/>
      <c r="AB65" s="442"/>
      <c r="AC65" s="442"/>
      <c r="AD65" s="445"/>
      <c r="AF65" s="50"/>
    </row>
    <row r="66" spans="1:32" ht="25.5" customHeight="1">
      <c r="A66" s="437">
        <v>2</v>
      </c>
      <c r="B66" s="438"/>
      <c r="C66" s="104" t="s">
        <v>118</v>
      </c>
      <c r="D66" s="175"/>
      <c r="E66" s="178" t="s">
        <v>131</v>
      </c>
      <c r="F66" s="439" t="s">
        <v>290</v>
      </c>
      <c r="G66" s="440"/>
      <c r="H66" s="440"/>
      <c r="I66" s="440"/>
      <c r="J66" s="441"/>
      <c r="K66" s="442" t="s">
        <v>132</v>
      </c>
      <c r="L66" s="442"/>
      <c r="M66" s="51" t="s">
        <v>141</v>
      </c>
      <c r="N66" s="443" t="s">
        <v>230</v>
      </c>
      <c r="O66" s="443"/>
      <c r="P66" s="444">
        <v>200</v>
      </c>
      <c r="Q66" s="444"/>
      <c r="R66" s="418" t="s">
        <v>291</v>
      </c>
      <c r="S66" s="418"/>
      <c r="T66" s="418"/>
      <c r="U66" s="418"/>
      <c r="V66" s="418"/>
      <c r="W66" s="418"/>
      <c r="X66" s="418"/>
      <c r="Y66" s="418"/>
      <c r="Z66" s="418"/>
      <c r="AA66" s="418"/>
      <c r="AB66" s="442"/>
      <c r="AC66" s="442"/>
      <c r="AD66" s="445"/>
      <c r="AF66" s="50"/>
    </row>
    <row r="67" spans="1:32" ht="25.5" customHeight="1">
      <c r="A67" s="437">
        <v>3</v>
      </c>
      <c r="B67" s="438"/>
      <c r="C67" s="104"/>
      <c r="D67" s="175"/>
      <c r="E67" s="178"/>
      <c r="F67" s="439"/>
      <c r="G67" s="440"/>
      <c r="H67" s="440"/>
      <c r="I67" s="440"/>
      <c r="J67" s="441"/>
      <c r="K67" s="442"/>
      <c r="L67" s="442"/>
      <c r="M67" s="51"/>
      <c r="N67" s="443"/>
      <c r="O67" s="443"/>
      <c r="P67" s="444"/>
      <c r="Q67" s="444"/>
      <c r="R67" s="418"/>
      <c r="S67" s="418"/>
      <c r="T67" s="418"/>
      <c r="U67" s="418"/>
      <c r="V67" s="418"/>
      <c r="W67" s="418"/>
      <c r="X67" s="418"/>
      <c r="Y67" s="418"/>
      <c r="Z67" s="418"/>
      <c r="AA67" s="418"/>
      <c r="AB67" s="442"/>
      <c r="AC67" s="442"/>
      <c r="AD67" s="445"/>
      <c r="AF67" s="50"/>
    </row>
    <row r="68" spans="1:32" ht="25.5" customHeight="1">
      <c r="A68" s="437">
        <v>4</v>
      </c>
      <c r="B68" s="438"/>
      <c r="C68" s="104"/>
      <c r="D68" s="175"/>
      <c r="E68" s="178"/>
      <c r="F68" s="439"/>
      <c r="G68" s="440"/>
      <c r="H68" s="440"/>
      <c r="I68" s="440"/>
      <c r="J68" s="441"/>
      <c r="K68" s="442"/>
      <c r="L68" s="442"/>
      <c r="M68" s="51"/>
      <c r="N68" s="443"/>
      <c r="O68" s="443"/>
      <c r="P68" s="446"/>
      <c r="Q68" s="446"/>
      <c r="R68" s="418"/>
      <c r="S68" s="418"/>
      <c r="T68" s="418"/>
      <c r="U68" s="418"/>
      <c r="V68" s="418"/>
      <c r="W68" s="418"/>
      <c r="X68" s="418"/>
      <c r="Y68" s="418"/>
      <c r="Z68" s="418"/>
      <c r="AA68" s="418"/>
      <c r="AB68" s="442"/>
      <c r="AC68" s="442"/>
      <c r="AD68" s="445"/>
      <c r="AF68" s="50"/>
    </row>
    <row r="69" spans="1:32" ht="25.5" customHeight="1">
      <c r="A69" s="437">
        <v>5</v>
      </c>
      <c r="B69" s="438"/>
      <c r="C69" s="104"/>
      <c r="D69" s="175"/>
      <c r="E69" s="178"/>
      <c r="F69" s="439"/>
      <c r="G69" s="440"/>
      <c r="H69" s="440"/>
      <c r="I69" s="440"/>
      <c r="J69" s="441"/>
      <c r="K69" s="442"/>
      <c r="L69" s="442"/>
      <c r="M69" s="51"/>
      <c r="N69" s="443"/>
      <c r="O69" s="443"/>
      <c r="P69" s="444"/>
      <c r="Q69" s="444"/>
      <c r="R69" s="418"/>
      <c r="S69" s="418"/>
      <c r="T69" s="418"/>
      <c r="U69" s="418"/>
      <c r="V69" s="418"/>
      <c r="W69" s="418"/>
      <c r="X69" s="418"/>
      <c r="Y69" s="418"/>
      <c r="Z69" s="418"/>
      <c r="AA69" s="418"/>
      <c r="AB69" s="442"/>
      <c r="AC69" s="442"/>
      <c r="AD69" s="445"/>
      <c r="AF69" s="50"/>
    </row>
    <row r="70" spans="1:32" ht="25.5" customHeight="1">
      <c r="A70" s="437">
        <v>6</v>
      </c>
      <c r="B70" s="438"/>
      <c r="C70" s="104"/>
      <c r="D70" s="175"/>
      <c r="E70" s="178"/>
      <c r="F70" s="439"/>
      <c r="G70" s="440"/>
      <c r="H70" s="440"/>
      <c r="I70" s="440"/>
      <c r="J70" s="441"/>
      <c r="K70" s="442"/>
      <c r="L70" s="442"/>
      <c r="M70" s="51"/>
      <c r="N70" s="443"/>
      <c r="O70" s="443"/>
      <c r="P70" s="444"/>
      <c r="Q70" s="444"/>
      <c r="R70" s="418"/>
      <c r="S70" s="418"/>
      <c r="T70" s="418"/>
      <c r="U70" s="418"/>
      <c r="V70" s="418"/>
      <c r="W70" s="418"/>
      <c r="X70" s="418"/>
      <c r="Y70" s="418"/>
      <c r="Z70" s="418"/>
      <c r="AA70" s="418"/>
      <c r="AB70" s="442"/>
      <c r="AC70" s="442"/>
      <c r="AD70" s="445"/>
      <c r="AF70" s="50"/>
    </row>
    <row r="71" spans="1:32" ht="25.5" customHeight="1">
      <c r="A71" s="437">
        <v>7</v>
      </c>
      <c r="B71" s="438"/>
      <c r="C71" s="104"/>
      <c r="D71" s="175"/>
      <c r="E71" s="178"/>
      <c r="F71" s="447"/>
      <c r="G71" s="442"/>
      <c r="H71" s="442"/>
      <c r="I71" s="442"/>
      <c r="J71" s="442"/>
      <c r="K71" s="442"/>
      <c r="L71" s="442"/>
      <c r="M71" s="51"/>
      <c r="N71" s="443"/>
      <c r="O71" s="443"/>
      <c r="P71" s="444"/>
      <c r="Q71" s="444"/>
      <c r="R71" s="418"/>
      <c r="S71" s="418"/>
      <c r="T71" s="418"/>
      <c r="U71" s="418"/>
      <c r="V71" s="418"/>
      <c r="W71" s="418"/>
      <c r="X71" s="418"/>
      <c r="Y71" s="418"/>
      <c r="Z71" s="418"/>
      <c r="AA71" s="418"/>
      <c r="AB71" s="442"/>
      <c r="AC71" s="442"/>
      <c r="AD71" s="445"/>
      <c r="AF71" s="50"/>
    </row>
    <row r="72" spans="1:32" ht="25.5" customHeight="1">
      <c r="A72" s="437">
        <v>8</v>
      </c>
      <c r="B72" s="438"/>
      <c r="C72" s="104"/>
      <c r="D72" s="175"/>
      <c r="E72" s="178"/>
      <c r="F72" s="447"/>
      <c r="G72" s="442"/>
      <c r="H72" s="442"/>
      <c r="I72" s="442"/>
      <c r="J72" s="442"/>
      <c r="K72" s="442"/>
      <c r="L72" s="442"/>
      <c r="M72" s="51"/>
      <c r="N72" s="443"/>
      <c r="O72" s="443"/>
      <c r="P72" s="444"/>
      <c r="Q72" s="444"/>
      <c r="R72" s="418"/>
      <c r="S72" s="418"/>
      <c r="T72" s="418"/>
      <c r="U72" s="418"/>
      <c r="V72" s="418"/>
      <c r="W72" s="418"/>
      <c r="X72" s="418"/>
      <c r="Y72" s="418"/>
      <c r="Z72" s="418"/>
      <c r="AA72" s="418"/>
      <c r="AB72" s="442"/>
      <c r="AC72" s="442"/>
      <c r="AD72" s="445"/>
      <c r="AF72" s="50"/>
    </row>
    <row r="73" spans="1:32" ht="25.5" customHeight="1">
      <c r="A73" s="437">
        <v>9</v>
      </c>
      <c r="B73" s="438"/>
      <c r="C73" s="104"/>
      <c r="D73" s="175"/>
      <c r="E73" s="178"/>
      <c r="F73" s="447"/>
      <c r="G73" s="442"/>
      <c r="H73" s="442"/>
      <c r="I73" s="442"/>
      <c r="J73" s="442"/>
      <c r="K73" s="442"/>
      <c r="L73" s="442"/>
      <c r="M73" s="51"/>
      <c r="N73" s="443"/>
      <c r="O73" s="443"/>
      <c r="P73" s="444"/>
      <c r="Q73" s="444"/>
      <c r="R73" s="418"/>
      <c r="S73" s="418"/>
      <c r="T73" s="418"/>
      <c r="U73" s="418"/>
      <c r="V73" s="418"/>
      <c r="W73" s="418"/>
      <c r="X73" s="418"/>
      <c r="Y73" s="418"/>
      <c r="Z73" s="418"/>
      <c r="AA73" s="418"/>
      <c r="AB73" s="442"/>
      <c r="AC73" s="442"/>
      <c r="AD73" s="445"/>
      <c r="AF73" s="50"/>
    </row>
    <row r="74" spans="1:32" ht="25.5" customHeight="1">
      <c r="A74" s="437">
        <v>10</v>
      </c>
      <c r="B74" s="438"/>
      <c r="C74" s="104"/>
      <c r="D74" s="175"/>
      <c r="E74" s="178"/>
      <c r="F74" s="447"/>
      <c r="G74" s="442"/>
      <c r="H74" s="442"/>
      <c r="I74" s="442"/>
      <c r="J74" s="442"/>
      <c r="K74" s="442"/>
      <c r="L74" s="442"/>
      <c r="M74" s="51"/>
      <c r="N74" s="443"/>
      <c r="O74" s="443"/>
      <c r="P74" s="444"/>
      <c r="Q74" s="444"/>
      <c r="R74" s="418"/>
      <c r="S74" s="418"/>
      <c r="T74" s="418"/>
      <c r="U74" s="418"/>
      <c r="V74" s="418"/>
      <c r="W74" s="418"/>
      <c r="X74" s="418"/>
      <c r="Y74" s="418"/>
      <c r="Z74" s="418"/>
      <c r="AA74" s="418"/>
      <c r="AB74" s="442"/>
      <c r="AC74" s="442"/>
      <c r="AD74" s="445"/>
      <c r="AF74" s="50"/>
    </row>
    <row r="75" spans="1:32" ht="26.25" customHeight="1" thickBot="1">
      <c r="A75" s="448" t="s">
        <v>292</v>
      </c>
      <c r="B75" s="448"/>
      <c r="C75" s="448"/>
      <c r="D75" s="448"/>
      <c r="E75" s="448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49" t="s">
        <v>134</v>
      </c>
      <c r="B76" s="450"/>
      <c r="C76" s="177" t="s">
        <v>2</v>
      </c>
      <c r="D76" s="177" t="s">
        <v>37</v>
      </c>
      <c r="E76" s="177" t="s">
        <v>128</v>
      </c>
      <c r="F76" s="450" t="s">
        <v>38</v>
      </c>
      <c r="G76" s="450"/>
      <c r="H76" s="450"/>
      <c r="I76" s="450"/>
      <c r="J76" s="450"/>
      <c r="K76" s="451" t="s">
        <v>58</v>
      </c>
      <c r="L76" s="452"/>
      <c r="M76" s="452"/>
      <c r="N76" s="452"/>
      <c r="O76" s="452"/>
      <c r="P76" s="452"/>
      <c r="Q76" s="452"/>
      <c r="R76" s="452"/>
      <c r="S76" s="453"/>
      <c r="T76" s="450" t="s">
        <v>49</v>
      </c>
      <c r="U76" s="450"/>
      <c r="V76" s="451" t="s">
        <v>50</v>
      </c>
      <c r="W76" s="453"/>
      <c r="X76" s="452" t="s">
        <v>51</v>
      </c>
      <c r="Y76" s="452"/>
      <c r="Z76" s="452"/>
      <c r="AA76" s="452"/>
      <c r="AB76" s="452"/>
      <c r="AC76" s="452"/>
      <c r="AD76" s="454"/>
      <c r="AF76" s="50"/>
    </row>
    <row r="77" spans="1:32" ht="33.75" customHeight="1">
      <c r="A77" s="463">
        <v>1</v>
      </c>
      <c r="B77" s="464"/>
      <c r="C77" s="176" t="s">
        <v>112</v>
      </c>
      <c r="D77" s="176"/>
      <c r="E77" s="65" t="s">
        <v>117</v>
      </c>
      <c r="F77" s="465" t="s">
        <v>116</v>
      </c>
      <c r="G77" s="466"/>
      <c r="H77" s="466"/>
      <c r="I77" s="466"/>
      <c r="J77" s="467"/>
      <c r="K77" s="468" t="s">
        <v>120</v>
      </c>
      <c r="L77" s="469"/>
      <c r="M77" s="469"/>
      <c r="N77" s="469"/>
      <c r="O77" s="469"/>
      <c r="P77" s="469"/>
      <c r="Q77" s="469"/>
      <c r="R77" s="469"/>
      <c r="S77" s="470"/>
      <c r="T77" s="471">
        <v>44118</v>
      </c>
      <c r="U77" s="472"/>
      <c r="V77" s="473"/>
      <c r="W77" s="473"/>
      <c r="X77" s="474"/>
      <c r="Y77" s="474"/>
      <c r="Z77" s="474"/>
      <c r="AA77" s="474"/>
      <c r="AB77" s="474"/>
      <c r="AC77" s="474"/>
      <c r="AD77" s="475"/>
      <c r="AF77" s="50"/>
    </row>
    <row r="78" spans="1:32" ht="30" customHeight="1">
      <c r="A78" s="455">
        <f>A77+1</f>
        <v>2</v>
      </c>
      <c r="B78" s="456"/>
      <c r="C78" s="175"/>
      <c r="D78" s="175"/>
      <c r="E78" s="32"/>
      <c r="F78" s="456"/>
      <c r="G78" s="456"/>
      <c r="H78" s="456"/>
      <c r="I78" s="456"/>
      <c r="J78" s="456"/>
      <c r="K78" s="457"/>
      <c r="L78" s="458"/>
      <c r="M78" s="458"/>
      <c r="N78" s="458"/>
      <c r="O78" s="458"/>
      <c r="P78" s="458"/>
      <c r="Q78" s="458"/>
      <c r="R78" s="458"/>
      <c r="S78" s="459"/>
      <c r="T78" s="460"/>
      <c r="U78" s="460"/>
      <c r="V78" s="460"/>
      <c r="W78" s="460"/>
      <c r="X78" s="461"/>
      <c r="Y78" s="461"/>
      <c r="Z78" s="461"/>
      <c r="AA78" s="461"/>
      <c r="AB78" s="461"/>
      <c r="AC78" s="461"/>
      <c r="AD78" s="462"/>
      <c r="AF78" s="50"/>
    </row>
    <row r="79" spans="1:32" ht="30" customHeight="1">
      <c r="A79" s="455">
        <f t="shared" ref="A79:A83" si="19">A78+1</f>
        <v>3</v>
      </c>
      <c r="B79" s="456"/>
      <c r="C79" s="175"/>
      <c r="D79" s="175"/>
      <c r="E79" s="32"/>
      <c r="F79" s="456"/>
      <c r="G79" s="456"/>
      <c r="H79" s="456"/>
      <c r="I79" s="456"/>
      <c r="J79" s="456"/>
      <c r="K79" s="457"/>
      <c r="L79" s="458"/>
      <c r="M79" s="458"/>
      <c r="N79" s="458"/>
      <c r="O79" s="458"/>
      <c r="P79" s="458"/>
      <c r="Q79" s="458"/>
      <c r="R79" s="458"/>
      <c r="S79" s="459"/>
      <c r="T79" s="460"/>
      <c r="U79" s="460"/>
      <c r="V79" s="460"/>
      <c r="W79" s="460"/>
      <c r="X79" s="461"/>
      <c r="Y79" s="461"/>
      <c r="Z79" s="461"/>
      <c r="AA79" s="461"/>
      <c r="AB79" s="461"/>
      <c r="AC79" s="461"/>
      <c r="AD79" s="462"/>
      <c r="AF79" s="50"/>
    </row>
    <row r="80" spans="1:32" ht="30" customHeight="1">
      <c r="A80" s="455">
        <f t="shared" si="19"/>
        <v>4</v>
      </c>
      <c r="B80" s="456"/>
      <c r="C80" s="175"/>
      <c r="D80" s="175"/>
      <c r="E80" s="32"/>
      <c r="F80" s="456"/>
      <c r="G80" s="456"/>
      <c r="H80" s="456"/>
      <c r="I80" s="456"/>
      <c r="J80" s="456"/>
      <c r="K80" s="457"/>
      <c r="L80" s="458"/>
      <c r="M80" s="458"/>
      <c r="N80" s="458"/>
      <c r="O80" s="458"/>
      <c r="P80" s="458"/>
      <c r="Q80" s="458"/>
      <c r="R80" s="458"/>
      <c r="S80" s="459"/>
      <c r="T80" s="460"/>
      <c r="U80" s="460"/>
      <c r="V80" s="460"/>
      <c r="W80" s="460"/>
      <c r="X80" s="461"/>
      <c r="Y80" s="461"/>
      <c r="Z80" s="461"/>
      <c r="AA80" s="461"/>
      <c r="AB80" s="461"/>
      <c r="AC80" s="461"/>
      <c r="AD80" s="462"/>
      <c r="AF80" s="50"/>
    </row>
    <row r="81" spans="1:32" ht="30" customHeight="1">
      <c r="A81" s="455">
        <f t="shared" si="19"/>
        <v>5</v>
      </c>
      <c r="B81" s="456"/>
      <c r="C81" s="175"/>
      <c r="D81" s="175"/>
      <c r="E81" s="32"/>
      <c r="F81" s="456"/>
      <c r="G81" s="456"/>
      <c r="H81" s="456"/>
      <c r="I81" s="456"/>
      <c r="J81" s="456"/>
      <c r="K81" s="457"/>
      <c r="L81" s="458"/>
      <c r="M81" s="458"/>
      <c r="N81" s="458"/>
      <c r="O81" s="458"/>
      <c r="P81" s="458"/>
      <c r="Q81" s="458"/>
      <c r="R81" s="458"/>
      <c r="S81" s="459"/>
      <c r="T81" s="460"/>
      <c r="U81" s="460"/>
      <c r="V81" s="460"/>
      <c r="W81" s="460"/>
      <c r="X81" s="461"/>
      <c r="Y81" s="461"/>
      <c r="Z81" s="461"/>
      <c r="AA81" s="461"/>
      <c r="AB81" s="461"/>
      <c r="AC81" s="461"/>
      <c r="AD81" s="462"/>
      <c r="AF81" s="50"/>
    </row>
    <row r="82" spans="1:32" ht="30" customHeight="1">
      <c r="A82" s="455">
        <f t="shared" si="19"/>
        <v>6</v>
      </c>
      <c r="B82" s="456"/>
      <c r="C82" s="175"/>
      <c r="D82" s="175"/>
      <c r="E82" s="32"/>
      <c r="F82" s="456"/>
      <c r="G82" s="456"/>
      <c r="H82" s="456"/>
      <c r="I82" s="456"/>
      <c r="J82" s="456"/>
      <c r="K82" s="457"/>
      <c r="L82" s="458"/>
      <c r="M82" s="458"/>
      <c r="N82" s="458"/>
      <c r="O82" s="458"/>
      <c r="P82" s="458"/>
      <c r="Q82" s="458"/>
      <c r="R82" s="458"/>
      <c r="S82" s="459"/>
      <c r="T82" s="460"/>
      <c r="U82" s="460"/>
      <c r="V82" s="460"/>
      <c r="W82" s="460"/>
      <c r="X82" s="461"/>
      <c r="Y82" s="461"/>
      <c r="Z82" s="461"/>
      <c r="AA82" s="461"/>
      <c r="AB82" s="461"/>
      <c r="AC82" s="461"/>
      <c r="AD82" s="462"/>
      <c r="AF82" s="50"/>
    </row>
    <row r="83" spans="1:32" ht="30" customHeight="1">
      <c r="A83" s="455">
        <f t="shared" si="19"/>
        <v>7</v>
      </c>
      <c r="B83" s="456"/>
      <c r="C83" s="175"/>
      <c r="D83" s="175"/>
      <c r="E83" s="32"/>
      <c r="F83" s="456"/>
      <c r="G83" s="456"/>
      <c r="H83" s="456"/>
      <c r="I83" s="456"/>
      <c r="J83" s="456"/>
      <c r="K83" s="457"/>
      <c r="L83" s="458"/>
      <c r="M83" s="458"/>
      <c r="N83" s="458"/>
      <c r="O83" s="458"/>
      <c r="P83" s="458"/>
      <c r="Q83" s="458"/>
      <c r="R83" s="458"/>
      <c r="S83" s="459"/>
      <c r="T83" s="460"/>
      <c r="U83" s="460"/>
      <c r="V83" s="460"/>
      <c r="W83" s="460"/>
      <c r="X83" s="461"/>
      <c r="Y83" s="461"/>
      <c r="Z83" s="461"/>
      <c r="AA83" s="461"/>
      <c r="AB83" s="461"/>
      <c r="AC83" s="461"/>
      <c r="AD83" s="462"/>
      <c r="AF83" s="50"/>
    </row>
    <row r="84" spans="1:32" ht="36" thickBot="1">
      <c r="A84" s="448" t="s">
        <v>293</v>
      </c>
      <c r="B84" s="448"/>
      <c r="C84" s="448"/>
      <c r="D84" s="448"/>
      <c r="E84" s="448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49" t="s">
        <v>111</v>
      </c>
      <c r="B85" s="450"/>
      <c r="C85" s="476" t="s">
        <v>52</v>
      </c>
      <c r="D85" s="476"/>
      <c r="E85" s="476" t="s">
        <v>53</v>
      </c>
      <c r="F85" s="476"/>
      <c r="G85" s="476"/>
      <c r="H85" s="476"/>
      <c r="I85" s="476"/>
      <c r="J85" s="476"/>
      <c r="K85" s="476" t="s">
        <v>54</v>
      </c>
      <c r="L85" s="476"/>
      <c r="M85" s="476"/>
      <c r="N85" s="476"/>
      <c r="O85" s="476"/>
      <c r="P85" s="476"/>
      <c r="Q85" s="476"/>
      <c r="R85" s="476"/>
      <c r="S85" s="476"/>
      <c r="T85" s="476" t="s">
        <v>55</v>
      </c>
      <c r="U85" s="476"/>
      <c r="V85" s="476" t="s">
        <v>56</v>
      </c>
      <c r="W85" s="476"/>
      <c r="X85" s="476"/>
      <c r="Y85" s="476" t="s">
        <v>51</v>
      </c>
      <c r="Z85" s="476"/>
      <c r="AA85" s="476"/>
      <c r="AB85" s="476"/>
      <c r="AC85" s="476"/>
      <c r="AD85" s="477"/>
      <c r="AF85" s="50"/>
    </row>
    <row r="86" spans="1:32" ht="30.75" customHeight="1">
      <c r="A86" s="463">
        <v>1</v>
      </c>
      <c r="B86" s="464"/>
      <c r="C86" s="478"/>
      <c r="D86" s="478"/>
      <c r="E86" s="478"/>
      <c r="F86" s="478"/>
      <c r="G86" s="478"/>
      <c r="H86" s="478"/>
      <c r="I86" s="478"/>
      <c r="J86" s="478"/>
      <c r="K86" s="478"/>
      <c r="L86" s="478"/>
      <c r="M86" s="478"/>
      <c r="N86" s="478"/>
      <c r="O86" s="478"/>
      <c r="P86" s="478"/>
      <c r="Q86" s="478"/>
      <c r="R86" s="478"/>
      <c r="S86" s="478"/>
      <c r="T86" s="478"/>
      <c r="U86" s="478"/>
      <c r="V86" s="479"/>
      <c r="W86" s="479"/>
      <c r="X86" s="479"/>
      <c r="Y86" s="480"/>
      <c r="Z86" s="480"/>
      <c r="AA86" s="480"/>
      <c r="AB86" s="480"/>
      <c r="AC86" s="480"/>
      <c r="AD86" s="481"/>
      <c r="AF86" s="50"/>
    </row>
    <row r="87" spans="1:32" ht="30.75" customHeight="1">
      <c r="A87" s="455">
        <v>2</v>
      </c>
      <c r="B87" s="456"/>
      <c r="C87" s="489"/>
      <c r="D87" s="489"/>
      <c r="E87" s="489"/>
      <c r="F87" s="489"/>
      <c r="G87" s="489"/>
      <c r="H87" s="489"/>
      <c r="I87" s="489"/>
      <c r="J87" s="489"/>
      <c r="K87" s="489"/>
      <c r="L87" s="489"/>
      <c r="M87" s="489"/>
      <c r="N87" s="489"/>
      <c r="O87" s="489"/>
      <c r="P87" s="489"/>
      <c r="Q87" s="489"/>
      <c r="R87" s="489"/>
      <c r="S87" s="489"/>
      <c r="T87" s="490"/>
      <c r="U87" s="490"/>
      <c r="V87" s="491"/>
      <c r="W87" s="491"/>
      <c r="X87" s="491"/>
      <c r="Y87" s="482"/>
      <c r="Z87" s="482"/>
      <c r="AA87" s="482"/>
      <c r="AB87" s="482"/>
      <c r="AC87" s="482"/>
      <c r="AD87" s="483"/>
      <c r="AF87" s="50"/>
    </row>
    <row r="88" spans="1:32" ht="30.75" customHeight="1" thickBot="1">
      <c r="A88" s="484">
        <v>3</v>
      </c>
      <c r="B88" s="485"/>
      <c r="C88" s="486"/>
      <c r="D88" s="486"/>
      <c r="E88" s="486"/>
      <c r="F88" s="486"/>
      <c r="G88" s="486"/>
      <c r="H88" s="486"/>
      <c r="I88" s="486"/>
      <c r="J88" s="486"/>
      <c r="K88" s="486"/>
      <c r="L88" s="486"/>
      <c r="M88" s="486"/>
      <c r="N88" s="486"/>
      <c r="O88" s="486"/>
      <c r="P88" s="486"/>
      <c r="Q88" s="486"/>
      <c r="R88" s="486"/>
      <c r="S88" s="486"/>
      <c r="T88" s="486"/>
      <c r="U88" s="486"/>
      <c r="V88" s="486"/>
      <c r="W88" s="486"/>
      <c r="X88" s="486"/>
      <c r="Y88" s="487"/>
      <c r="Z88" s="487"/>
      <c r="AA88" s="487"/>
      <c r="AB88" s="487"/>
      <c r="AC88" s="487"/>
      <c r="AD88" s="488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3A6C-7681-4045-A680-AFA97E89E6CF}">
  <dimension ref="A1:AF87"/>
  <sheetViews>
    <sheetView view="pageBreakPreview" zoomScale="70" zoomScaleNormal="72" zoomScaleSheetLayoutView="70" workbookViewId="0">
      <selection activeCell="F80" sqref="F80:J8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70" t="s">
        <v>294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5"/>
      <c r="T4" s="405"/>
      <c r="U4" s="405"/>
      <c r="V4" s="405"/>
      <c r="W4" s="406" t="s">
        <v>11</v>
      </c>
      <c r="X4" s="405"/>
      <c r="Y4" s="405"/>
      <c r="Z4" s="405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188" t="s">
        <v>17</v>
      </c>
      <c r="L5" s="188" t="s">
        <v>18</v>
      </c>
      <c r="M5" s="188" t="s">
        <v>19</v>
      </c>
      <c r="N5" s="18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125</v>
      </c>
      <c r="E6" s="53" t="s">
        <v>295</v>
      </c>
      <c r="F6" s="30" t="s">
        <v>206</v>
      </c>
      <c r="G6" s="12">
        <v>1</v>
      </c>
      <c r="H6" s="13">
        <v>24</v>
      </c>
      <c r="I6" s="7">
        <v>5300</v>
      </c>
      <c r="J6" s="14">
        <v>1764</v>
      </c>
      <c r="K6" s="15">
        <f>L6</f>
        <v>1764</v>
      </c>
      <c r="L6" s="15">
        <v>1764</v>
      </c>
      <c r="M6" s="15">
        <f t="shared" ref="M6:M21" si="0">L6-N6</f>
        <v>1764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9</v>
      </c>
      <c r="Q6" s="40">
        <f t="shared" ref="Q6:Q21" si="3">SUM(R6:AA6)</f>
        <v>15</v>
      </c>
      <c r="R6" s="7"/>
      <c r="S6" s="6">
        <v>4</v>
      </c>
      <c r="T6" s="16"/>
      <c r="U6" s="16"/>
      <c r="V6" s="17">
        <v>11</v>
      </c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0.375</v>
      </c>
      <c r="AD6" s="10">
        <f t="shared" ref="AD6:AD21" si="6">AC6*AB6*(1-O6)</f>
        <v>0.375</v>
      </c>
      <c r="AE6" s="36">
        <f t="shared" ref="AE6:AE21" si="7">$AD$22</f>
        <v>2.34375E-2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 t="s">
        <v>131</v>
      </c>
      <c r="E7" s="53" t="s">
        <v>139</v>
      </c>
      <c r="F7" s="12" t="s">
        <v>133</v>
      </c>
      <c r="G7" s="12">
        <v>1</v>
      </c>
      <c r="H7" s="13">
        <v>24</v>
      </c>
      <c r="I7" s="31">
        <v>50000</v>
      </c>
      <c r="J7" s="14">
        <v>5878</v>
      </c>
      <c r="K7" s="15">
        <f>L7+4913+5878</f>
        <v>10791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2.34375E-2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119</v>
      </c>
      <c r="D8" s="52" t="s">
        <v>147</v>
      </c>
      <c r="E8" s="53" t="s">
        <v>167</v>
      </c>
      <c r="F8" s="30" t="s">
        <v>211</v>
      </c>
      <c r="G8" s="33">
        <v>2</v>
      </c>
      <c r="H8" s="35">
        <v>24</v>
      </c>
      <c r="I8" s="7">
        <v>3000</v>
      </c>
      <c r="J8" s="5">
        <v>3314</v>
      </c>
      <c r="K8" s="15">
        <f>L8+3314</f>
        <v>3314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2.34375E-2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119</v>
      </c>
      <c r="D9" s="52" t="s">
        <v>115</v>
      </c>
      <c r="E9" s="53" t="s">
        <v>222</v>
      </c>
      <c r="F9" s="30" t="s">
        <v>236</v>
      </c>
      <c r="G9" s="12">
        <v>2</v>
      </c>
      <c r="H9" s="13">
        <v>24</v>
      </c>
      <c r="I9" s="7">
        <v>50000</v>
      </c>
      <c r="J9" s="14">
        <v>10270</v>
      </c>
      <c r="K9" s="15">
        <f>L9+7346+9814+10270</f>
        <v>27430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>
        <v>24</v>
      </c>
      <c r="W9" s="5"/>
      <c r="X9" s="16"/>
      <c r="Y9" s="16"/>
      <c r="Z9" s="16"/>
      <c r="AA9" s="18"/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2.34375E-2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119</v>
      </c>
      <c r="D10" s="52" t="s">
        <v>195</v>
      </c>
      <c r="E10" s="53" t="s">
        <v>262</v>
      </c>
      <c r="F10" s="30" t="s">
        <v>158</v>
      </c>
      <c r="G10" s="33">
        <v>2</v>
      </c>
      <c r="H10" s="35">
        <v>24</v>
      </c>
      <c r="I10" s="7">
        <v>50000</v>
      </c>
      <c r="J10" s="14">
        <v>3366</v>
      </c>
      <c r="K10" s="15">
        <f>L10+3366</f>
        <v>3366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2.34375E-2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263</v>
      </c>
      <c r="E11" s="53" t="s">
        <v>264</v>
      </c>
      <c r="F11" s="30" t="s">
        <v>206</v>
      </c>
      <c r="G11" s="33">
        <v>16</v>
      </c>
      <c r="H11" s="35">
        <v>24</v>
      </c>
      <c r="I11" s="7">
        <v>100000</v>
      </c>
      <c r="J11" s="14">
        <v>49500</v>
      </c>
      <c r="K11" s="15">
        <f>L11+49500</f>
        <v>49500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2.34375E-2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149</v>
      </c>
      <c r="F12" s="30" t="s">
        <v>142</v>
      </c>
      <c r="G12" s="12">
        <v>1</v>
      </c>
      <c r="H12" s="13">
        <v>22</v>
      </c>
      <c r="I12" s="31">
        <v>100000</v>
      </c>
      <c r="J12" s="5">
        <v>5014</v>
      </c>
      <c r="K12" s="15">
        <f>L12+3980+4963+4857+4991+5052+5074+5369+4402+4760+5003+4109+5018+5406+4902+5041+5019+5033+5053+4646+3593+3896+4100+5014</f>
        <v>109281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/>
      <c r="T12" s="16"/>
      <c r="U12" s="16"/>
      <c r="V12" s="17">
        <v>24</v>
      </c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2.34375E-2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34" t="s">
        <v>112</v>
      </c>
      <c r="D13" s="52" t="s">
        <v>224</v>
      </c>
      <c r="E13" s="53" t="s">
        <v>223</v>
      </c>
      <c r="F13" s="30" t="s">
        <v>142</v>
      </c>
      <c r="G13" s="12">
        <v>1</v>
      </c>
      <c r="H13" s="13">
        <v>24</v>
      </c>
      <c r="I13" s="31">
        <v>3500</v>
      </c>
      <c r="J13" s="14">
        <v>4652</v>
      </c>
      <c r="K13" s="15">
        <f>L13+269+4652</f>
        <v>4921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>
        <v>24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>AC13*AB13*(1-O13)</f>
        <v>0</v>
      </c>
      <c r="AE13" s="36">
        <f t="shared" si="7"/>
        <v>2.34375E-2</v>
      </c>
      <c r="AF13" s="84">
        <f t="shared" si="8"/>
        <v>8</v>
      </c>
    </row>
    <row r="14" spans="1:32" ht="27" customHeight="1">
      <c r="A14" s="105">
        <v>9</v>
      </c>
      <c r="B14" s="11" t="s">
        <v>156</v>
      </c>
      <c r="C14" s="34" t="s">
        <v>112</v>
      </c>
      <c r="D14" s="52" t="s">
        <v>115</v>
      </c>
      <c r="E14" s="53" t="s">
        <v>153</v>
      </c>
      <c r="F14" s="30" t="s">
        <v>144</v>
      </c>
      <c r="G14" s="33">
        <v>1</v>
      </c>
      <c r="H14" s="35">
        <v>50</v>
      </c>
      <c r="I14" s="7">
        <v>50</v>
      </c>
      <c r="J14" s="5"/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2.34375E-2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125</v>
      </c>
      <c r="E15" s="53" t="s">
        <v>150</v>
      </c>
      <c r="F15" s="12" t="s">
        <v>138</v>
      </c>
      <c r="G15" s="12">
        <v>1</v>
      </c>
      <c r="H15" s="13">
        <v>24</v>
      </c>
      <c r="I15" s="31">
        <v>6500</v>
      </c>
      <c r="J15" s="14">
        <v>5214</v>
      </c>
      <c r="K15" s="15">
        <f>L15+2059+5272+5214</f>
        <v>12545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2.34375E-2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195</v>
      </c>
      <c r="E16" s="53" t="s">
        <v>238</v>
      </c>
      <c r="F16" s="30" t="s">
        <v>213</v>
      </c>
      <c r="G16" s="12">
        <v>1</v>
      </c>
      <c r="H16" s="13">
        <v>24</v>
      </c>
      <c r="I16" s="7">
        <v>20000</v>
      </c>
      <c r="J16" s="14">
        <v>5924</v>
      </c>
      <c r="K16" s="15">
        <f>L16+2991+6138+5924</f>
        <v>15053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>
        <v>24</v>
      </c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2.34375E-2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112</v>
      </c>
      <c r="D17" s="52" t="s">
        <v>275</v>
      </c>
      <c r="E17" s="53" t="s">
        <v>276</v>
      </c>
      <c r="F17" s="30" t="s">
        <v>132</v>
      </c>
      <c r="G17" s="12">
        <v>1</v>
      </c>
      <c r="H17" s="13">
        <v>24</v>
      </c>
      <c r="I17" s="7">
        <v>5000</v>
      </c>
      <c r="J17" s="14">
        <v>2580</v>
      </c>
      <c r="K17" s="15">
        <f>L17+2580</f>
        <v>2580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>
        <v>24</v>
      </c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2.34375E-2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119</v>
      </c>
      <c r="D18" s="52" t="s">
        <v>146</v>
      </c>
      <c r="E18" s="53" t="s">
        <v>155</v>
      </c>
      <c r="F18" s="30" t="s">
        <v>142</v>
      </c>
      <c r="G18" s="33">
        <v>1</v>
      </c>
      <c r="H18" s="35">
        <v>24</v>
      </c>
      <c r="I18" s="7">
        <v>12000</v>
      </c>
      <c r="J18" s="14">
        <v>4029</v>
      </c>
      <c r="K18" s="15">
        <f>L18+5050+5888+4029</f>
        <v>14967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2.34375E-2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125</v>
      </c>
      <c r="E19" s="53" t="s">
        <v>225</v>
      </c>
      <c r="F19" s="30" t="s">
        <v>171</v>
      </c>
      <c r="G19" s="33">
        <v>1</v>
      </c>
      <c r="H19" s="35">
        <v>24</v>
      </c>
      <c r="I19" s="7">
        <v>2000</v>
      </c>
      <c r="J19" s="14">
        <v>2054</v>
      </c>
      <c r="K19" s="15">
        <f>L19+5363+2054</f>
        <v>7417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2.34375E-2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151</v>
      </c>
      <c r="F20" s="30" t="s">
        <v>142</v>
      </c>
      <c r="G20" s="12">
        <v>1</v>
      </c>
      <c r="H20" s="13">
        <v>24</v>
      </c>
      <c r="I20" s="7">
        <v>52000</v>
      </c>
      <c r="J20" s="14">
        <v>5347</v>
      </c>
      <c r="K20" s="15">
        <f>L20+2928+5476+5823+3267+3626+5491+5401+5798+4186+3247+5615+5568+5347</f>
        <v>61773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2.34375E-2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140</v>
      </c>
      <c r="F21" s="12" t="s">
        <v>114</v>
      </c>
      <c r="G21" s="12">
        <v>4</v>
      </c>
      <c r="H21" s="35">
        <v>20</v>
      </c>
      <c r="I21" s="7">
        <v>500000</v>
      </c>
      <c r="J21" s="14">
        <v>28200</v>
      </c>
      <c r="K21" s="15">
        <f>L21+29516+33412+34840+28200</f>
        <v>125968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2.34375E-2</v>
      </c>
      <c r="AF21" s="84">
        <f t="shared" si="8"/>
        <v>16</v>
      </c>
    </row>
    <row r="22" spans="1:32" ht="31.5" customHeight="1" thickBot="1">
      <c r="A22" s="384" t="s">
        <v>34</v>
      </c>
      <c r="B22" s="385"/>
      <c r="C22" s="385"/>
      <c r="D22" s="385"/>
      <c r="E22" s="385"/>
      <c r="F22" s="385"/>
      <c r="G22" s="385"/>
      <c r="H22" s="386"/>
      <c r="I22" s="22">
        <f t="shared" ref="I22:N22" si="9">SUM(I6:I21)</f>
        <v>959350</v>
      </c>
      <c r="J22" s="19">
        <f t="shared" si="9"/>
        <v>137106</v>
      </c>
      <c r="K22" s="20">
        <f t="shared" si="9"/>
        <v>450670</v>
      </c>
      <c r="L22" s="21">
        <f t="shared" si="9"/>
        <v>1764</v>
      </c>
      <c r="M22" s="20">
        <f t="shared" si="9"/>
        <v>1764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9</v>
      </c>
      <c r="Q22" s="43">
        <f t="shared" si="10"/>
        <v>375</v>
      </c>
      <c r="R22" s="23">
        <f t="shared" si="10"/>
        <v>24</v>
      </c>
      <c r="S22" s="24">
        <f t="shared" si="10"/>
        <v>52</v>
      </c>
      <c r="T22" s="24">
        <f t="shared" si="10"/>
        <v>0</v>
      </c>
      <c r="U22" s="24">
        <f t="shared" si="10"/>
        <v>0</v>
      </c>
      <c r="V22" s="25">
        <f t="shared" si="10"/>
        <v>179</v>
      </c>
      <c r="W22" s="26">
        <f t="shared" si="10"/>
        <v>96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24</v>
      </c>
      <c r="AB22" s="28">
        <f>AVERAGE(AB6:AB21)</f>
        <v>6.6666666666666666E-2</v>
      </c>
      <c r="AC22" s="4">
        <f>AVERAGE(AC6:AC21)</f>
        <v>2.34375E-2</v>
      </c>
      <c r="AD22" s="4">
        <f>AVERAGE(AD6:AD21)</f>
        <v>2.34375E-2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387" t="s">
        <v>45</v>
      </c>
      <c r="B49" s="387"/>
      <c r="C49" s="387"/>
      <c r="D49" s="387"/>
      <c r="E49" s="38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388" t="s">
        <v>296</v>
      </c>
      <c r="B50" s="389"/>
      <c r="C50" s="389"/>
      <c r="D50" s="389"/>
      <c r="E50" s="389"/>
      <c r="F50" s="389"/>
      <c r="G50" s="389"/>
      <c r="H50" s="389"/>
      <c r="I50" s="389"/>
      <c r="J50" s="389"/>
      <c r="K50" s="389"/>
      <c r="L50" s="389"/>
      <c r="M50" s="390"/>
      <c r="N50" s="391" t="s">
        <v>280</v>
      </c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  <c r="AA50" s="392"/>
      <c r="AB50" s="392"/>
      <c r="AC50" s="392"/>
      <c r="AD50" s="393"/>
    </row>
    <row r="51" spans="1:32" ht="27" customHeight="1">
      <c r="A51" s="394" t="s">
        <v>2</v>
      </c>
      <c r="B51" s="395"/>
      <c r="C51" s="189" t="s">
        <v>46</v>
      </c>
      <c r="D51" s="189" t="s">
        <v>47</v>
      </c>
      <c r="E51" s="189" t="s">
        <v>107</v>
      </c>
      <c r="F51" s="396" t="s">
        <v>106</v>
      </c>
      <c r="G51" s="397"/>
      <c r="H51" s="397"/>
      <c r="I51" s="397"/>
      <c r="J51" s="397"/>
      <c r="K51" s="397"/>
      <c r="L51" s="397"/>
      <c r="M51" s="398"/>
      <c r="N51" s="67" t="s">
        <v>110</v>
      </c>
      <c r="O51" s="189" t="s">
        <v>46</v>
      </c>
      <c r="P51" s="396" t="s">
        <v>47</v>
      </c>
      <c r="Q51" s="399"/>
      <c r="R51" s="396" t="s">
        <v>38</v>
      </c>
      <c r="S51" s="397"/>
      <c r="T51" s="397"/>
      <c r="U51" s="399"/>
      <c r="V51" s="396" t="s">
        <v>48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420" t="s">
        <v>112</v>
      </c>
      <c r="B52" s="421"/>
      <c r="C52" s="192" t="s">
        <v>255</v>
      </c>
      <c r="D52" s="192" t="s">
        <v>125</v>
      </c>
      <c r="E52" s="192" t="s">
        <v>295</v>
      </c>
      <c r="F52" s="412" t="s">
        <v>297</v>
      </c>
      <c r="G52" s="413"/>
      <c r="H52" s="413"/>
      <c r="I52" s="413"/>
      <c r="J52" s="413"/>
      <c r="K52" s="413"/>
      <c r="L52" s="413"/>
      <c r="M52" s="414"/>
      <c r="N52" s="191" t="s">
        <v>112</v>
      </c>
      <c r="O52" s="197" t="s">
        <v>143</v>
      </c>
      <c r="P52" s="415" t="s">
        <v>147</v>
      </c>
      <c r="Q52" s="416"/>
      <c r="R52" s="415" t="s">
        <v>283</v>
      </c>
      <c r="S52" s="417"/>
      <c r="T52" s="417"/>
      <c r="U52" s="416"/>
      <c r="V52" s="418" t="s">
        <v>130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10"/>
      <c r="B53" s="411"/>
      <c r="C53" s="190"/>
      <c r="D53" s="190"/>
      <c r="E53" s="192"/>
      <c r="F53" s="412"/>
      <c r="G53" s="413"/>
      <c r="H53" s="413"/>
      <c r="I53" s="413"/>
      <c r="J53" s="413"/>
      <c r="K53" s="413"/>
      <c r="L53" s="413"/>
      <c r="M53" s="414"/>
      <c r="N53" s="191" t="s">
        <v>119</v>
      </c>
      <c r="O53" s="197" t="s">
        <v>187</v>
      </c>
      <c r="P53" s="415" t="s">
        <v>195</v>
      </c>
      <c r="Q53" s="416"/>
      <c r="R53" s="415" t="s">
        <v>262</v>
      </c>
      <c r="S53" s="417"/>
      <c r="T53" s="417"/>
      <c r="U53" s="416"/>
      <c r="V53" s="418" t="s">
        <v>126</v>
      </c>
      <c r="W53" s="418"/>
      <c r="X53" s="418"/>
      <c r="Y53" s="418"/>
      <c r="Z53" s="418"/>
      <c r="AA53" s="418"/>
      <c r="AB53" s="418"/>
      <c r="AC53" s="418"/>
      <c r="AD53" s="419"/>
    </row>
    <row r="54" spans="1:32" ht="27" customHeight="1">
      <c r="A54" s="420"/>
      <c r="B54" s="421"/>
      <c r="C54" s="192"/>
      <c r="D54" s="192"/>
      <c r="E54" s="192"/>
      <c r="F54" s="412"/>
      <c r="G54" s="413"/>
      <c r="H54" s="413"/>
      <c r="I54" s="413"/>
      <c r="J54" s="413"/>
      <c r="K54" s="413"/>
      <c r="L54" s="413"/>
      <c r="M54" s="414"/>
      <c r="N54" s="191" t="s">
        <v>118</v>
      </c>
      <c r="O54" s="197" t="s">
        <v>207</v>
      </c>
      <c r="P54" s="415" t="s">
        <v>263</v>
      </c>
      <c r="Q54" s="416"/>
      <c r="R54" s="415" t="s">
        <v>264</v>
      </c>
      <c r="S54" s="417"/>
      <c r="T54" s="417"/>
      <c r="U54" s="416"/>
      <c r="V54" s="418" t="s">
        <v>126</v>
      </c>
      <c r="W54" s="418"/>
      <c r="X54" s="418"/>
      <c r="Y54" s="418"/>
      <c r="Z54" s="418"/>
      <c r="AA54" s="418"/>
      <c r="AB54" s="418"/>
      <c r="AC54" s="418"/>
      <c r="AD54" s="419"/>
    </row>
    <row r="55" spans="1:32" ht="27" customHeight="1">
      <c r="A55" s="410"/>
      <c r="B55" s="411"/>
      <c r="C55" s="190"/>
      <c r="D55" s="190"/>
      <c r="E55" s="190"/>
      <c r="F55" s="412"/>
      <c r="G55" s="413"/>
      <c r="H55" s="413"/>
      <c r="I55" s="413"/>
      <c r="J55" s="413"/>
      <c r="K55" s="413"/>
      <c r="L55" s="413"/>
      <c r="M55" s="414"/>
      <c r="N55" s="191" t="s">
        <v>119</v>
      </c>
      <c r="O55" s="197" t="s">
        <v>184</v>
      </c>
      <c r="P55" s="415" t="s">
        <v>115</v>
      </c>
      <c r="Q55" s="416"/>
      <c r="R55" s="415" t="s">
        <v>154</v>
      </c>
      <c r="S55" s="417"/>
      <c r="T55" s="417"/>
      <c r="U55" s="416"/>
      <c r="V55" s="418" t="s">
        <v>284</v>
      </c>
      <c r="W55" s="418"/>
      <c r="X55" s="418"/>
      <c r="Y55" s="418"/>
      <c r="Z55" s="418"/>
      <c r="AA55" s="418"/>
      <c r="AB55" s="418"/>
      <c r="AC55" s="418"/>
      <c r="AD55" s="419"/>
    </row>
    <row r="56" spans="1:32" ht="27" customHeight="1">
      <c r="A56" s="410"/>
      <c r="B56" s="411"/>
      <c r="C56" s="190"/>
      <c r="D56" s="190"/>
      <c r="E56" s="192"/>
      <c r="F56" s="412"/>
      <c r="G56" s="413"/>
      <c r="H56" s="413"/>
      <c r="I56" s="413"/>
      <c r="J56" s="413"/>
      <c r="K56" s="413"/>
      <c r="L56" s="413"/>
      <c r="M56" s="414"/>
      <c r="N56" s="191"/>
      <c r="O56" s="197"/>
      <c r="P56" s="415"/>
      <c r="Q56" s="416"/>
      <c r="R56" s="415"/>
      <c r="S56" s="417"/>
      <c r="T56" s="417"/>
      <c r="U56" s="416"/>
      <c r="V56" s="418"/>
      <c r="W56" s="418"/>
      <c r="X56" s="418"/>
      <c r="Y56" s="418"/>
      <c r="Z56" s="418"/>
      <c r="AA56" s="418"/>
      <c r="AB56" s="418"/>
      <c r="AC56" s="418"/>
      <c r="AD56" s="419"/>
    </row>
    <row r="57" spans="1:32" ht="27" customHeight="1">
      <c r="A57" s="410"/>
      <c r="B57" s="411"/>
      <c r="C57" s="190"/>
      <c r="D57" s="190"/>
      <c r="E57" s="192"/>
      <c r="F57" s="412"/>
      <c r="G57" s="413"/>
      <c r="H57" s="413"/>
      <c r="I57" s="413"/>
      <c r="J57" s="413"/>
      <c r="K57" s="413"/>
      <c r="L57" s="413"/>
      <c r="M57" s="414"/>
      <c r="N57" s="191"/>
      <c r="O57" s="197"/>
      <c r="P57" s="415"/>
      <c r="Q57" s="416"/>
      <c r="R57" s="415"/>
      <c r="S57" s="417"/>
      <c r="T57" s="417"/>
      <c r="U57" s="416"/>
      <c r="V57" s="418"/>
      <c r="W57" s="418"/>
      <c r="X57" s="418"/>
      <c r="Y57" s="418"/>
      <c r="Z57" s="418"/>
      <c r="AA57" s="418"/>
      <c r="AB57" s="418"/>
      <c r="AC57" s="418"/>
      <c r="AD57" s="419"/>
    </row>
    <row r="58" spans="1:32" ht="27" customHeight="1">
      <c r="A58" s="410"/>
      <c r="B58" s="411"/>
      <c r="C58" s="190"/>
      <c r="D58" s="190"/>
      <c r="E58" s="192"/>
      <c r="F58" s="412"/>
      <c r="G58" s="413"/>
      <c r="H58" s="413"/>
      <c r="I58" s="413"/>
      <c r="J58" s="413"/>
      <c r="K58" s="413"/>
      <c r="L58" s="413"/>
      <c r="M58" s="414"/>
      <c r="N58" s="191"/>
      <c r="O58" s="197"/>
      <c r="P58" s="415"/>
      <c r="Q58" s="416"/>
      <c r="R58" s="415"/>
      <c r="S58" s="417"/>
      <c r="T58" s="417"/>
      <c r="U58" s="416"/>
      <c r="V58" s="418"/>
      <c r="W58" s="418"/>
      <c r="X58" s="418"/>
      <c r="Y58" s="418"/>
      <c r="Z58" s="418"/>
      <c r="AA58" s="418"/>
      <c r="AB58" s="418"/>
      <c r="AC58" s="418"/>
      <c r="AD58" s="419"/>
    </row>
    <row r="59" spans="1:32" ht="27" customHeight="1">
      <c r="A59" s="420"/>
      <c r="B59" s="421"/>
      <c r="C59" s="192"/>
      <c r="D59" s="192"/>
      <c r="E59" s="192"/>
      <c r="F59" s="412"/>
      <c r="G59" s="413"/>
      <c r="H59" s="413"/>
      <c r="I59" s="413"/>
      <c r="J59" s="413"/>
      <c r="K59" s="413"/>
      <c r="L59" s="413"/>
      <c r="M59" s="414"/>
      <c r="N59" s="191"/>
      <c r="O59" s="197"/>
      <c r="P59" s="415"/>
      <c r="Q59" s="416"/>
      <c r="R59" s="421"/>
      <c r="S59" s="421"/>
      <c r="T59" s="421"/>
      <c r="U59" s="421"/>
      <c r="V59" s="418"/>
      <c r="W59" s="418"/>
      <c r="X59" s="418"/>
      <c r="Y59" s="418"/>
      <c r="Z59" s="418"/>
      <c r="AA59" s="418"/>
      <c r="AB59" s="418"/>
      <c r="AC59" s="418"/>
      <c r="AD59" s="419"/>
    </row>
    <row r="60" spans="1:32" ht="27" customHeight="1">
      <c r="A60" s="410"/>
      <c r="B60" s="411"/>
      <c r="C60" s="190"/>
      <c r="D60" s="190"/>
      <c r="E60" s="192"/>
      <c r="F60" s="412"/>
      <c r="G60" s="413"/>
      <c r="H60" s="413"/>
      <c r="I60" s="413"/>
      <c r="J60" s="413"/>
      <c r="K60" s="413"/>
      <c r="L60" s="413"/>
      <c r="M60" s="414"/>
      <c r="N60" s="191"/>
      <c r="O60" s="197"/>
      <c r="P60" s="421"/>
      <c r="Q60" s="421"/>
      <c r="R60" s="421"/>
      <c r="S60" s="421"/>
      <c r="T60" s="421"/>
      <c r="U60" s="421"/>
      <c r="V60" s="418"/>
      <c r="W60" s="418"/>
      <c r="X60" s="418"/>
      <c r="Y60" s="418"/>
      <c r="Z60" s="418"/>
      <c r="AA60" s="418"/>
      <c r="AB60" s="418"/>
      <c r="AC60" s="418"/>
      <c r="AD60" s="419"/>
      <c r="AF60" s="84">
        <f>8*3000</f>
        <v>24000</v>
      </c>
    </row>
    <row r="61" spans="1:32" ht="27" customHeight="1" thickBot="1">
      <c r="A61" s="422"/>
      <c r="B61" s="423"/>
      <c r="C61" s="193"/>
      <c r="D61" s="194"/>
      <c r="E61" s="194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30" t="s">
        <v>298</v>
      </c>
      <c r="B62" s="430"/>
      <c r="C62" s="430"/>
      <c r="D62" s="430"/>
      <c r="E62" s="43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31" t="s">
        <v>111</v>
      </c>
      <c r="B63" s="432"/>
      <c r="C63" s="195" t="s">
        <v>2</v>
      </c>
      <c r="D63" s="195" t="s">
        <v>37</v>
      </c>
      <c r="E63" s="195" t="s">
        <v>3</v>
      </c>
      <c r="F63" s="432" t="s">
        <v>109</v>
      </c>
      <c r="G63" s="432"/>
      <c r="H63" s="432"/>
      <c r="I63" s="432"/>
      <c r="J63" s="432"/>
      <c r="K63" s="432" t="s">
        <v>39</v>
      </c>
      <c r="L63" s="432"/>
      <c r="M63" s="195" t="s">
        <v>40</v>
      </c>
      <c r="N63" s="432" t="s">
        <v>41</v>
      </c>
      <c r="O63" s="432"/>
      <c r="P63" s="433" t="s">
        <v>42</v>
      </c>
      <c r="Q63" s="434"/>
      <c r="R63" s="433" t="s">
        <v>43</v>
      </c>
      <c r="S63" s="435"/>
      <c r="T63" s="435"/>
      <c r="U63" s="435"/>
      <c r="V63" s="435"/>
      <c r="W63" s="435"/>
      <c r="X63" s="435"/>
      <c r="Y63" s="435"/>
      <c r="Z63" s="435"/>
      <c r="AA63" s="434"/>
      <c r="AB63" s="432" t="s">
        <v>44</v>
      </c>
      <c r="AC63" s="432"/>
      <c r="AD63" s="436"/>
      <c r="AF63" s="84">
        <f>SUM(AF60:AF62)</f>
        <v>96000</v>
      </c>
    </row>
    <row r="64" spans="1:32" ht="25.5" customHeight="1">
      <c r="A64" s="437">
        <v>1</v>
      </c>
      <c r="B64" s="438"/>
      <c r="C64" s="104" t="s">
        <v>112</v>
      </c>
      <c r="D64" s="199"/>
      <c r="E64" s="196" t="s">
        <v>125</v>
      </c>
      <c r="F64" s="439" t="s">
        <v>295</v>
      </c>
      <c r="G64" s="440"/>
      <c r="H64" s="440"/>
      <c r="I64" s="440"/>
      <c r="J64" s="441"/>
      <c r="K64" s="442" t="s">
        <v>206</v>
      </c>
      <c r="L64" s="442"/>
      <c r="M64" s="51" t="s">
        <v>141</v>
      </c>
      <c r="N64" s="443" t="s">
        <v>255</v>
      </c>
      <c r="O64" s="443"/>
      <c r="P64" s="444">
        <v>50</v>
      </c>
      <c r="Q64" s="444"/>
      <c r="R64" s="418"/>
      <c r="S64" s="418"/>
      <c r="T64" s="418"/>
      <c r="U64" s="418"/>
      <c r="V64" s="418"/>
      <c r="W64" s="418"/>
      <c r="X64" s="418"/>
      <c r="Y64" s="418"/>
      <c r="Z64" s="418"/>
      <c r="AA64" s="418"/>
      <c r="AB64" s="442"/>
      <c r="AC64" s="442"/>
      <c r="AD64" s="445"/>
      <c r="AF64" s="50"/>
    </row>
    <row r="65" spans="1:32" ht="25.5" customHeight="1">
      <c r="A65" s="437">
        <v>2</v>
      </c>
      <c r="B65" s="438"/>
      <c r="C65" s="104"/>
      <c r="D65" s="199"/>
      <c r="E65" s="196"/>
      <c r="F65" s="439"/>
      <c r="G65" s="440"/>
      <c r="H65" s="440"/>
      <c r="I65" s="440"/>
      <c r="J65" s="441"/>
      <c r="K65" s="442"/>
      <c r="L65" s="442"/>
      <c r="M65" s="51"/>
      <c r="N65" s="443"/>
      <c r="O65" s="443"/>
      <c r="P65" s="444"/>
      <c r="Q65" s="444"/>
      <c r="R65" s="418"/>
      <c r="S65" s="418"/>
      <c r="T65" s="418"/>
      <c r="U65" s="418"/>
      <c r="V65" s="418"/>
      <c r="W65" s="418"/>
      <c r="X65" s="418"/>
      <c r="Y65" s="418"/>
      <c r="Z65" s="418"/>
      <c r="AA65" s="418"/>
      <c r="AB65" s="442"/>
      <c r="AC65" s="442"/>
      <c r="AD65" s="445"/>
      <c r="AF65" s="50"/>
    </row>
    <row r="66" spans="1:32" ht="25.5" customHeight="1">
      <c r="A66" s="437">
        <v>3</v>
      </c>
      <c r="B66" s="438"/>
      <c r="C66" s="104"/>
      <c r="D66" s="199"/>
      <c r="E66" s="196"/>
      <c r="F66" s="439"/>
      <c r="G66" s="440"/>
      <c r="H66" s="440"/>
      <c r="I66" s="440"/>
      <c r="J66" s="441"/>
      <c r="K66" s="442"/>
      <c r="L66" s="442"/>
      <c r="M66" s="51"/>
      <c r="N66" s="443"/>
      <c r="O66" s="443"/>
      <c r="P66" s="444"/>
      <c r="Q66" s="444"/>
      <c r="R66" s="418"/>
      <c r="S66" s="418"/>
      <c r="T66" s="418"/>
      <c r="U66" s="418"/>
      <c r="V66" s="418"/>
      <c r="W66" s="418"/>
      <c r="X66" s="418"/>
      <c r="Y66" s="418"/>
      <c r="Z66" s="418"/>
      <c r="AA66" s="418"/>
      <c r="AB66" s="442"/>
      <c r="AC66" s="442"/>
      <c r="AD66" s="445"/>
      <c r="AF66" s="50"/>
    </row>
    <row r="67" spans="1:32" ht="25.5" customHeight="1">
      <c r="A67" s="437">
        <v>4</v>
      </c>
      <c r="B67" s="438"/>
      <c r="C67" s="104"/>
      <c r="D67" s="199"/>
      <c r="E67" s="196"/>
      <c r="F67" s="439"/>
      <c r="G67" s="440"/>
      <c r="H67" s="440"/>
      <c r="I67" s="440"/>
      <c r="J67" s="441"/>
      <c r="K67" s="442"/>
      <c r="L67" s="442"/>
      <c r="M67" s="51"/>
      <c r="N67" s="443"/>
      <c r="O67" s="443"/>
      <c r="P67" s="446"/>
      <c r="Q67" s="446"/>
      <c r="R67" s="418"/>
      <c r="S67" s="418"/>
      <c r="T67" s="418"/>
      <c r="U67" s="418"/>
      <c r="V67" s="418"/>
      <c r="W67" s="418"/>
      <c r="X67" s="418"/>
      <c r="Y67" s="418"/>
      <c r="Z67" s="418"/>
      <c r="AA67" s="418"/>
      <c r="AB67" s="442"/>
      <c r="AC67" s="442"/>
      <c r="AD67" s="445"/>
      <c r="AF67" s="50"/>
    </row>
    <row r="68" spans="1:32" ht="25.5" customHeight="1">
      <c r="A68" s="437">
        <v>5</v>
      </c>
      <c r="B68" s="438"/>
      <c r="C68" s="104"/>
      <c r="D68" s="199"/>
      <c r="E68" s="196"/>
      <c r="F68" s="439"/>
      <c r="G68" s="440"/>
      <c r="H68" s="440"/>
      <c r="I68" s="440"/>
      <c r="J68" s="441"/>
      <c r="K68" s="442"/>
      <c r="L68" s="442"/>
      <c r="M68" s="51"/>
      <c r="N68" s="443"/>
      <c r="O68" s="443"/>
      <c r="P68" s="444"/>
      <c r="Q68" s="444"/>
      <c r="R68" s="418"/>
      <c r="S68" s="418"/>
      <c r="T68" s="418"/>
      <c r="U68" s="418"/>
      <c r="V68" s="418"/>
      <c r="W68" s="418"/>
      <c r="X68" s="418"/>
      <c r="Y68" s="418"/>
      <c r="Z68" s="418"/>
      <c r="AA68" s="418"/>
      <c r="AB68" s="442"/>
      <c r="AC68" s="442"/>
      <c r="AD68" s="445"/>
      <c r="AF68" s="50"/>
    </row>
    <row r="69" spans="1:32" ht="25.5" customHeight="1">
      <c r="A69" s="437">
        <v>6</v>
      </c>
      <c r="B69" s="438"/>
      <c r="C69" s="104"/>
      <c r="D69" s="199"/>
      <c r="E69" s="196"/>
      <c r="F69" s="439"/>
      <c r="G69" s="440"/>
      <c r="H69" s="440"/>
      <c r="I69" s="440"/>
      <c r="J69" s="441"/>
      <c r="K69" s="442"/>
      <c r="L69" s="442"/>
      <c r="M69" s="51"/>
      <c r="N69" s="443"/>
      <c r="O69" s="443"/>
      <c r="P69" s="444"/>
      <c r="Q69" s="444"/>
      <c r="R69" s="418"/>
      <c r="S69" s="418"/>
      <c r="T69" s="418"/>
      <c r="U69" s="418"/>
      <c r="V69" s="418"/>
      <c r="W69" s="418"/>
      <c r="X69" s="418"/>
      <c r="Y69" s="418"/>
      <c r="Z69" s="418"/>
      <c r="AA69" s="418"/>
      <c r="AB69" s="442"/>
      <c r="AC69" s="442"/>
      <c r="AD69" s="445"/>
      <c r="AF69" s="50"/>
    </row>
    <row r="70" spans="1:32" ht="25.5" customHeight="1">
      <c r="A70" s="437">
        <v>7</v>
      </c>
      <c r="B70" s="438"/>
      <c r="C70" s="104"/>
      <c r="D70" s="199"/>
      <c r="E70" s="196"/>
      <c r="F70" s="447"/>
      <c r="G70" s="442"/>
      <c r="H70" s="442"/>
      <c r="I70" s="442"/>
      <c r="J70" s="442"/>
      <c r="K70" s="442"/>
      <c r="L70" s="442"/>
      <c r="M70" s="51"/>
      <c r="N70" s="443"/>
      <c r="O70" s="443"/>
      <c r="P70" s="444"/>
      <c r="Q70" s="444"/>
      <c r="R70" s="418"/>
      <c r="S70" s="418"/>
      <c r="T70" s="418"/>
      <c r="U70" s="418"/>
      <c r="V70" s="418"/>
      <c r="W70" s="418"/>
      <c r="X70" s="418"/>
      <c r="Y70" s="418"/>
      <c r="Z70" s="418"/>
      <c r="AA70" s="418"/>
      <c r="AB70" s="442"/>
      <c r="AC70" s="442"/>
      <c r="AD70" s="445"/>
      <c r="AF70" s="50"/>
    </row>
    <row r="71" spans="1:32" ht="25.5" customHeight="1">
      <c r="A71" s="437">
        <v>8</v>
      </c>
      <c r="B71" s="438"/>
      <c r="C71" s="104"/>
      <c r="D71" s="199"/>
      <c r="E71" s="196"/>
      <c r="F71" s="447"/>
      <c r="G71" s="442"/>
      <c r="H71" s="442"/>
      <c r="I71" s="442"/>
      <c r="J71" s="442"/>
      <c r="K71" s="442"/>
      <c r="L71" s="442"/>
      <c r="M71" s="51"/>
      <c r="N71" s="443"/>
      <c r="O71" s="443"/>
      <c r="P71" s="444"/>
      <c r="Q71" s="444"/>
      <c r="R71" s="418"/>
      <c r="S71" s="418"/>
      <c r="T71" s="418"/>
      <c r="U71" s="418"/>
      <c r="V71" s="418"/>
      <c r="W71" s="418"/>
      <c r="X71" s="418"/>
      <c r="Y71" s="418"/>
      <c r="Z71" s="418"/>
      <c r="AA71" s="418"/>
      <c r="AB71" s="442"/>
      <c r="AC71" s="442"/>
      <c r="AD71" s="445"/>
      <c r="AF71" s="50"/>
    </row>
    <row r="72" spans="1:32" ht="25.5" customHeight="1">
      <c r="A72" s="437">
        <v>9</v>
      </c>
      <c r="B72" s="438"/>
      <c r="C72" s="104"/>
      <c r="D72" s="199"/>
      <c r="E72" s="196"/>
      <c r="F72" s="447"/>
      <c r="G72" s="442"/>
      <c r="H72" s="442"/>
      <c r="I72" s="442"/>
      <c r="J72" s="442"/>
      <c r="K72" s="442"/>
      <c r="L72" s="442"/>
      <c r="M72" s="51"/>
      <c r="N72" s="443"/>
      <c r="O72" s="443"/>
      <c r="P72" s="444"/>
      <c r="Q72" s="444"/>
      <c r="R72" s="418"/>
      <c r="S72" s="418"/>
      <c r="T72" s="418"/>
      <c r="U72" s="418"/>
      <c r="V72" s="418"/>
      <c r="W72" s="418"/>
      <c r="X72" s="418"/>
      <c r="Y72" s="418"/>
      <c r="Z72" s="418"/>
      <c r="AA72" s="418"/>
      <c r="AB72" s="442"/>
      <c r="AC72" s="442"/>
      <c r="AD72" s="445"/>
      <c r="AF72" s="50"/>
    </row>
    <row r="73" spans="1:32" ht="25.5" customHeight="1">
      <c r="A73" s="437">
        <v>10</v>
      </c>
      <c r="B73" s="438"/>
      <c r="C73" s="104"/>
      <c r="D73" s="199"/>
      <c r="E73" s="196"/>
      <c r="F73" s="447"/>
      <c r="G73" s="442"/>
      <c r="H73" s="442"/>
      <c r="I73" s="442"/>
      <c r="J73" s="442"/>
      <c r="K73" s="442"/>
      <c r="L73" s="442"/>
      <c r="M73" s="51"/>
      <c r="N73" s="443"/>
      <c r="O73" s="443"/>
      <c r="P73" s="444"/>
      <c r="Q73" s="444"/>
      <c r="R73" s="418"/>
      <c r="S73" s="418"/>
      <c r="T73" s="418"/>
      <c r="U73" s="418"/>
      <c r="V73" s="418"/>
      <c r="W73" s="418"/>
      <c r="X73" s="418"/>
      <c r="Y73" s="418"/>
      <c r="Z73" s="418"/>
      <c r="AA73" s="418"/>
      <c r="AB73" s="442"/>
      <c r="AC73" s="442"/>
      <c r="AD73" s="445"/>
      <c r="AF73" s="50"/>
    </row>
    <row r="74" spans="1:32" ht="26.25" customHeight="1" thickBot="1">
      <c r="A74" s="448" t="s">
        <v>299</v>
      </c>
      <c r="B74" s="448"/>
      <c r="C74" s="448"/>
      <c r="D74" s="448"/>
      <c r="E74" s="44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49" t="s">
        <v>134</v>
      </c>
      <c r="B75" s="450"/>
      <c r="C75" s="198" t="s">
        <v>2</v>
      </c>
      <c r="D75" s="198" t="s">
        <v>37</v>
      </c>
      <c r="E75" s="198" t="s">
        <v>128</v>
      </c>
      <c r="F75" s="450" t="s">
        <v>38</v>
      </c>
      <c r="G75" s="450"/>
      <c r="H75" s="450"/>
      <c r="I75" s="450"/>
      <c r="J75" s="450"/>
      <c r="K75" s="451" t="s">
        <v>58</v>
      </c>
      <c r="L75" s="452"/>
      <c r="M75" s="452"/>
      <c r="N75" s="452"/>
      <c r="O75" s="452"/>
      <c r="P75" s="452"/>
      <c r="Q75" s="452"/>
      <c r="R75" s="452"/>
      <c r="S75" s="453"/>
      <c r="T75" s="450" t="s">
        <v>49</v>
      </c>
      <c r="U75" s="450"/>
      <c r="V75" s="451" t="s">
        <v>50</v>
      </c>
      <c r="W75" s="453"/>
      <c r="X75" s="452" t="s">
        <v>51</v>
      </c>
      <c r="Y75" s="452"/>
      <c r="Z75" s="452"/>
      <c r="AA75" s="452"/>
      <c r="AB75" s="452"/>
      <c r="AC75" s="452"/>
      <c r="AD75" s="454"/>
      <c r="AF75" s="50"/>
    </row>
    <row r="76" spans="1:32" ht="33.75" customHeight="1">
      <c r="A76" s="463">
        <v>1</v>
      </c>
      <c r="B76" s="464"/>
      <c r="C76" s="200" t="s">
        <v>112</v>
      </c>
      <c r="D76" s="200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44118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55">
        <f>A76+1</f>
        <v>2</v>
      </c>
      <c r="B77" s="456"/>
      <c r="C77" s="199"/>
      <c r="D77" s="199"/>
      <c r="E77" s="32"/>
      <c r="F77" s="456"/>
      <c r="G77" s="456"/>
      <c r="H77" s="456"/>
      <c r="I77" s="456"/>
      <c r="J77" s="456"/>
      <c r="K77" s="457"/>
      <c r="L77" s="458"/>
      <c r="M77" s="458"/>
      <c r="N77" s="458"/>
      <c r="O77" s="458"/>
      <c r="P77" s="458"/>
      <c r="Q77" s="458"/>
      <c r="R77" s="458"/>
      <c r="S77" s="459"/>
      <c r="T77" s="460"/>
      <c r="U77" s="460"/>
      <c r="V77" s="460"/>
      <c r="W77" s="460"/>
      <c r="X77" s="461"/>
      <c r="Y77" s="461"/>
      <c r="Z77" s="461"/>
      <c r="AA77" s="461"/>
      <c r="AB77" s="461"/>
      <c r="AC77" s="461"/>
      <c r="AD77" s="462"/>
      <c r="AF77" s="50"/>
    </row>
    <row r="78" spans="1:32" ht="30" customHeight="1">
      <c r="A78" s="455">
        <f t="shared" ref="A78:A82" si="11">A77+1</f>
        <v>3</v>
      </c>
      <c r="B78" s="456"/>
      <c r="C78" s="199"/>
      <c r="D78" s="199"/>
      <c r="E78" s="32"/>
      <c r="F78" s="456"/>
      <c r="G78" s="456"/>
      <c r="H78" s="456"/>
      <c r="I78" s="456"/>
      <c r="J78" s="456"/>
      <c r="K78" s="457"/>
      <c r="L78" s="458"/>
      <c r="M78" s="458"/>
      <c r="N78" s="458"/>
      <c r="O78" s="458"/>
      <c r="P78" s="458"/>
      <c r="Q78" s="458"/>
      <c r="R78" s="458"/>
      <c r="S78" s="459"/>
      <c r="T78" s="460"/>
      <c r="U78" s="460"/>
      <c r="V78" s="460"/>
      <c r="W78" s="460"/>
      <c r="X78" s="461"/>
      <c r="Y78" s="461"/>
      <c r="Z78" s="461"/>
      <c r="AA78" s="461"/>
      <c r="AB78" s="461"/>
      <c r="AC78" s="461"/>
      <c r="AD78" s="462"/>
      <c r="AF78" s="50"/>
    </row>
    <row r="79" spans="1:32" ht="30" customHeight="1">
      <c r="A79" s="455">
        <f t="shared" si="11"/>
        <v>4</v>
      </c>
      <c r="B79" s="456"/>
      <c r="C79" s="199"/>
      <c r="D79" s="199"/>
      <c r="E79" s="32"/>
      <c r="F79" s="456"/>
      <c r="G79" s="456"/>
      <c r="H79" s="456"/>
      <c r="I79" s="456"/>
      <c r="J79" s="456"/>
      <c r="K79" s="457"/>
      <c r="L79" s="458"/>
      <c r="M79" s="458"/>
      <c r="N79" s="458"/>
      <c r="O79" s="458"/>
      <c r="P79" s="458"/>
      <c r="Q79" s="458"/>
      <c r="R79" s="458"/>
      <c r="S79" s="459"/>
      <c r="T79" s="460"/>
      <c r="U79" s="460"/>
      <c r="V79" s="460"/>
      <c r="W79" s="460"/>
      <c r="X79" s="461"/>
      <c r="Y79" s="461"/>
      <c r="Z79" s="461"/>
      <c r="AA79" s="461"/>
      <c r="AB79" s="461"/>
      <c r="AC79" s="461"/>
      <c r="AD79" s="462"/>
      <c r="AF79" s="50"/>
    </row>
    <row r="80" spans="1:32" ht="30" customHeight="1">
      <c r="A80" s="455">
        <f t="shared" si="11"/>
        <v>5</v>
      </c>
      <c r="B80" s="456"/>
      <c r="C80" s="199"/>
      <c r="D80" s="199"/>
      <c r="E80" s="32"/>
      <c r="F80" s="456"/>
      <c r="G80" s="456"/>
      <c r="H80" s="456"/>
      <c r="I80" s="456"/>
      <c r="J80" s="456"/>
      <c r="K80" s="457"/>
      <c r="L80" s="458"/>
      <c r="M80" s="458"/>
      <c r="N80" s="458"/>
      <c r="O80" s="458"/>
      <c r="P80" s="458"/>
      <c r="Q80" s="458"/>
      <c r="R80" s="458"/>
      <c r="S80" s="459"/>
      <c r="T80" s="460"/>
      <c r="U80" s="460"/>
      <c r="V80" s="460"/>
      <c r="W80" s="460"/>
      <c r="X80" s="461"/>
      <c r="Y80" s="461"/>
      <c r="Z80" s="461"/>
      <c r="AA80" s="461"/>
      <c r="AB80" s="461"/>
      <c r="AC80" s="461"/>
      <c r="AD80" s="462"/>
      <c r="AF80" s="50"/>
    </row>
    <row r="81" spans="1:32" ht="30" customHeight="1">
      <c r="A81" s="455">
        <f t="shared" si="11"/>
        <v>6</v>
      </c>
      <c r="B81" s="456"/>
      <c r="C81" s="199"/>
      <c r="D81" s="199"/>
      <c r="E81" s="32"/>
      <c r="F81" s="456"/>
      <c r="G81" s="456"/>
      <c r="H81" s="456"/>
      <c r="I81" s="456"/>
      <c r="J81" s="456"/>
      <c r="K81" s="457"/>
      <c r="L81" s="458"/>
      <c r="M81" s="458"/>
      <c r="N81" s="458"/>
      <c r="O81" s="458"/>
      <c r="P81" s="458"/>
      <c r="Q81" s="458"/>
      <c r="R81" s="458"/>
      <c r="S81" s="459"/>
      <c r="T81" s="460"/>
      <c r="U81" s="460"/>
      <c r="V81" s="460"/>
      <c r="W81" s="460"/>
      <c r="X81" s="461"/>
      <c r="Y81" s="461"/>
      <c r="Z81" s="461"/>
      <c r="AA81" s="461"/>
      <c r="AB81" s="461"/>
      <c r="AC81" s="461"/>
      <c r="AD81" s="462"/>
      <c r="AF81" s="50"/>
    </row>
    <row r="82" spans="1:32" ht="30" customHeight="1">
      <c r="A82" s="455">
        <f t="shared" si="11"/>
        <v>7</v>
      </c>
      <c r="B82" s="456"/>
      <c r="C82" s="199"/>
      <c r="D82" s="199"/>
      <c r="E82" s="32"/>
      <c r="F82" s="456"/>
      <c r="G82" s="456"/>
      <c r="H82" s="456"/>
      <c r="I82" s="456"/>
      <c r="J82" s="456"/>
      <c r="K82" s="457"/>
      <c r="L82" s="458"/>
      <c r="M82" s="458"/>
      <c r="N82" s="458"/>
      <c r="O82" s="458"/>
      <c r="P82" s="458"/>
      <c r="Q82" s="458"/>
      <c r="R82" s="458"/>
      <c r="S82" s="459"/>
      <c r="T82" s="460"/>
      <c r="U82" s="460"/>
      <c r="V82" s="460"/>
      <c r="W82" s="460"/>
      <c r="X82" s="461"/>
      <c r="Y82" s="461"/>
      <c r="Z82" s="461"/>
      <c r="AA82" s="461"/>
      <c r="AB82" s="461"/>
      <c r="AC82" s="461"/>
      <c r="AD82" s="462"/>
      <c r="AF82" s="50"/>
    </row>
    <row r="83" spans="1:32" ht="36" thickBot="1">
      <c r="A83" s="448" t="s">
        <v>300</v>
      </c>
      <c r="B83" s="448"/>
      <c r="C83" s="448"/>
      <c r="D83" s="448"/>
      <c r="E83" s="44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49" t="s">
        <v>111</v>
      </c>
      <c r="B84" s="450"/>
      <c r="C84" s="476" t="s">
        <v>52</v>
      </c>
      <c r="D84" s="476"/>
      <c r="E84" s="476" t="s">
        <v>53</v>
      </c>
      <c r="F84" s="476"/>
      <c r="G84" s="476"/>
      <c r="H84" s="476"/>
      <c r="I84" s="476"/>
      <c r="J84" s="476"/>
      <c r="K84" s="476" t="s">
        <v>54</v>
      </c>
      <c r="L84" s="476"/>
      <c r="M84" s="476"/>
      <c r="N84" s="476"/>
      <c r="O84" s="476"/>
      <c r="P84" s="476"/>
      <c r="Q84" s="476"/>
      <c r="R84" s="476"/>
      <c r="S84" s="476"/>
      <c r="T84" s="476" t="s">
        <v>55</v>
      </c>
      <c r="U84" s="476"/>
      <c r="V84" s="476" t="s">
        <v>56</v>
      </c>
      <c r="W84" s="476"/>
      <c r="X84" s="476"/>
      <c r="Y84" s="476" t="s">
        <v>51</v>
      </c>
      <c r="Z84" s="476"/>
      <c r="AA84" s="476"/>
      <c r="AB84" s="476"/>
      <c r="AC84" s="476"/>
      <c r="AD84" s="477"/>
      <c r="AF84" s="50"/>
    </row>
    <row r="85" spans="1:32" ht="30.75" customHeight="1">
      <c r="A85" s="463">
        <v>1</v>
      </c>
      <c r="B85" s="464"/>
      <c r="C85" s="478"/>
      <c r="D85" s="478"/>
      <c r="E85" s="478"/>
      <c r="F85" s="478"/>
      <c r="G85" s="478"/>
      <c r="H85" s="478"/>
      <c r="I85" s="478"/>
      <c r="J85" s="478"/>
      <c r="K85" s="478"/>
      <c r="L85" s="478"/>
      <c r="M85" s="478"/>
      <c r="N85" s="478"/>
      <c r="O85" s="478"/>
      <c r="P85" s="478"/>
      <c r="Q85" s="478"/>
      <c r="R85" s="478"/>
      <c r="S85" s="478"/>
      <c r="T85" s="478"/>
      <c r="U85" s="478"/>
      <c r="V85" s="479"/>
      <c r="W85" s="479"/>
      <c r="X85" s="479"/>
      <c r="Y85" s="480"/>
      <c r="Z85" s="480"/>
      <c r="AA85" s="480"/>
      <c r="AB85" s="480"/>
      <c r="AC85" s="480"/>
      <c r="AD85" s="481"/>
      <c r="AF85" s="50"/>
    </row>
    <row r="86" spans="1:32" ht="30.75" customHeight="1">
      <c r="A86" s="455">
        <v>2</v>
      </c>
      <c r="B86" s="456"/>
      <c r="C86" s="489"/>
      <c r="D86" s="489"/>
      <c r="E86" s="489"/>
      <c r="F86" s="489"/>
      <c r="G86" s="489"/>
      <c r="H86" s="489"/>
      <c r="I86" s="489"/>
      <c r="J86" s="489"/>
      <c r="K86" s="489"/>
      <c r="L86" s="489"/>
      <c r="M86" s="489"/>
      <c r="N86" s="489"/>
      <c r="O86" s="489"/>
      <c r="P86" s="489"/>
      <c r="Q86" s="489"/>
      <c r="R86" s="489"/>
      <c r="S86" s="489"/>
      <c r="T86" s="490"/>
      <c r="U86" s="490"/>
      <c r="V86" s="491"/>
      <c r="W86" s="491"/>
      <c r="X86" s="491"/>
      <c r="Y86" s="482"/>
      <c r="Z86" s="482"/>
      <c r="AA86" s="482"/>
      <c r="AB86" s="482"/>
      <c r="AC86" s="482"/>
      <c r="AD86" s="483"/>
      <c r="AF86" s="50"/>
    </row>
    <row r="87" spans="1:32" ht="30.75" customHeight="1" thickBot="1">
      <c r="A87" s="484">
        <v>3</v>
      </c>
      <c r="B87" s="485"/>
      <c r="C87" s="486"/>
      <c r="D87" s="486"/>
      <c r="E87" s="486"/>
      <c r="F87" s="486"/>
      <c r="G87" s="486"/>
      <c r="H87" s="486"/>
      <c r="I87" s="486"/>
      <c r="J87" s="486"/>
      <c r="K87" s="486"/>
      <c r="L87" s="486"/>
      <c r="M87" s="486"/>
      <c r="N87" s="486"/>
      <c r="O87" s="486"/>
      <c r="P87" s="486"/>
      <c r="Q87" s="486"/>
      <c r="R87" s="486"/>
      <c r="S87" s="486"/>
      <c r="T87" s="486"/>
      <c r="U87" s="486"/>
      <c r="V87" s="486"/>
      <c r="W87" s="486"/>
      <c r="X87" s="486"/>
      <c r="Y87" s="487"/>
      <c r="Z87" s="487"/>
      <c r="AA87" s="487"/>
      <c r="AB87" s="487"/>
      <c r="AC87" s="487"/>
      <c r="AD87" s="488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AC72-12BF-4B65-BBE1-F6B62C53048B}">
  <dimension ref="A1:AF87"/>
  <sheetViews>
    <sheetView view="pageBreakPreview" zoomScale="70" zoomScaleNormal="72" zoomScaleSheetLayoutView="70" workbookViewId="0">
      <selection activeCell="F71" sqref="F71:J7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70" t="s">
        <v>301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5"/>
      <c r="T4" s="405"/>
      <c r="U4" s="405"/>
      <c r="V4" s="405"/>
      <c r="W4" s="406" t="s">
        <v>11</v>
      </c>
      <c r="X4" s="405"/>
      <c r="Y4" s="405"/>
      <c r="Z4" s="405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188" t="s">
        <v>17</v>
      </c>
      <c r="L5" s="188" t="s">
        <v>18</v>
      </c>
      <c r="M5" s="188" t="s">
        <v>19</v>
      </c>
      <c r="N5" s="18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125</v>
      </c>
      <c r="E6" s="53" t="s">
        <v>295</v>
      </c>
      <c r="F6" s="30" t="s">
        <v>206</v>
      </c>
      <c r="G6" s="12">
        <v>1</v>
      </c>
      <c r="H6" s="13">
        <v>24</v>
      </c>
      <c r="I6" s="7">
        <v>5300</v>
      </c>
      <c r="J6" s="14">
        <v>3833</v>
      </c>
      <c r="K6" s="15">
        <f>L6+1764</f>
        <v>5597</v>
      </c>
      <c r="L6" s="15">
        <f>878+2955</f>
        <v>3833</v>
      </c>
      <c r="M6" s="15">
        <f t="shared" ref="M6:M21" si="0">L6-N6</f>
        <v>3833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18</v>
      </c>
      <c r="Q6" s="40">
        <f t="shared" ref="Q6:Q21" si="3">SUM(R6:AA6)</f>
        <v>6</v>
      </c>
      <c r="R6" s="7"/>
      <c r="S6" s="6"/>
      <c r="T6" s="16"/>
      <c r="U6" s="16"/>
      <c r="V6" s="17"/>
      <c r="W6" s="5">
        <v>6</v>
      </c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0.75</v>
      </c>
      <c r="AD6" s="10">
        <f t="shared" ref="AD6:AD21" si="6">AC6*AB6*(1-O6)</f>
        <v>0.75</v>
      </c>
      <c r="AE6" s="36">
        <f t="shared" ref="AE6:AE21" si="7">$AD$22</f>
        <v>0.5546875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 t="s">
        <v>131</v>
      </c>
      <c r="E7" s="53" t="s">
        <v>139</v>
      </c>
      <c r="F7" s="12" t="s">
        <v>133</v>
      </c>
      <c r="G7" s="12">
        <v>1</v>
      </c>
      <c r="H7" s="13">
        <v>24</v>
      </c>
      <c r="I7" s="31">
        <v>50000</v>
      </c>
      <c r="J7" s="14">
        <v>5650</v>
      </c>
      <c r="K7" s="15">
        <f>L7+4913+5878</f>
        <v>16441</v>
      </c>
      <c r="L7" s="15">
        <f>2988+2662</f>
        <v>5650</v>
      </c>
      <c r="M7" s="15">
        <f t="shared" si="0"/>
        <v>5650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0.5546875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112</v>
      </c>
      <c r="D8" s="52" t="s">
        <v>147</v>
      </c>
      <c r="E8" s="53" t="s">
        <v>283</v>
      </c>
      <c r="F8" s="30" t="s">
        <v>168</v>
      </c>
      <c r="G8" s="33">
        <v>2</v>
      </c>
      <c r="H8" s="35">
        <v>24</v>
      </c>
      <c r="I8" s="7">
        <v>5000</v>
      </c>
      <c r="J8" s="5">
        <v>5716</v>
      </c>
      <c r="K8" s="15">
        <f>L8</f>
        <v>5716</v>
      </c>
      <c r="L8" s="15">
        <f>2308*2+550*2</f>
        <v>5716</v>
      </c>
      <c r="M8" s="15">
        <f t="shared" si="0"/>
        <v>5716</v>
      </c>
      <c r="N8" s="15">
        <v>0</v>
      </c>
      <c r="O8" s="58">
        <f t="shared" si="1"/>
        <v>0</v>
      </c>
      <c r="P8" s="39">
        <f t="shared" si="2"/>
        <v>14</v>
      </c>
      <c r="Q8" s="40">
        <f t="shared" si="3"/>
        <v>10</v>
      </c>
      <c r="R8" s="7"/>
      <c r="S8" s="6">
        <v>10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0.58333333333333337</v>
      </c>
      <c r="AD8" s="10">
        <f t="shared" si="6"/>
        <v>0.58333333333333337</v>
      </c>
      <c r="AE8" s="36">
        <f t="shared" si="7"/>
        <v>0.5546875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119</v>
      </c>
      <c r="D9" s="52" t="s">
        <v>115</v>
      </c>
      <c r="E9" s="53" t="s">
        <v>222</v>
      </c>
      <c r="F9" s="30" t="s">
        <v>236</v>
      </c>
      <c r="G9" s="12">
        <v>2</v>
      </c>
      <c r="H9" s="13">
        <v>24</v>
      </c>
      <c r="I9" s="7">
        <v>50000</v>
      </c>
      <c r="J9" s="14">
        <v>9750</v>
      </c>
      <c r="K9" s="15">
        <f>L9+7346+9814+10270</f>
        <v>37180</v>
      </c>
      <c r="L9" s="15">
        <f>2530*2+2345*2</f>
        <v>9750</v>
      </c>
      <c r="M9" s="15">
        <f t="shared" si="0"/>
        <v>9750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0.5546875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119</v>
      </c>
      <c r="D10" s="52" t="s">
        <v>195</v>
      </c>
      <c r="E10" s="53" t="s">
        <v>262</v>
      </c>
      <c r="F10" s="30" t="s">
        <v>158</v>
      </c>
      <c r="G10" s="33">
        <v>2</v>
      </c>
      <c r="H10" s="35">
        <v>24</v>
      </c>
      <c r="I10" s="7">
        <v>50000</v>
      </c>
      <c r="J10" s="14">
        <v>3366</v>
      </c>
      <c r="K10" s="15">
        <f>L10+3366</f>
        <v>3366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0.5546875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263</v>
      </c>
      <c r="E11" s="53" t="s">
        <v>264</v>
      </c>
      <c r="F11" s="30" t="s">
        <v>206</v>
      </c>
      <c r="G11" s="33">
        <v>16</v>
      </c>
      <c r="H11" s="35">
        <v>24</v>
      </c>
      <c r="I11" s="7">
        <v>100000</v>
      </c>
      <c r="J11" s="14">
        <v>67990</v>
      </c>
      <c r="K11" s="15">
        <f>L11+49500</f>
        <v>117490</v>
      </c>
      <c r="L11" s="15">
        <f>2980*10+3819*10</f>
        <v>67990</v>
      </c>
      <c r="M11" s="15">
        <f t="shared" si="0"/>
        <v>67990</v>
      </c>
      <c r="N11" s="15">
        <v>0</v>
      </c>
      <c r="O11" s="58">
        <f t="shared" si="1"/>
        <v>0</v>
      </c>
      <c r="P11" s="39">
        <f t="shared" si="2"/>
        <v>21</v>
      </c>
      <c r="Q11" s="40">
        <f t="shared" si="3"/>
        <v>3</v>
      </c>
      <c r="R11" s="7">
        <v>3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0.875</v>
      </c>
      <c r="AD11" s="10">
        <f t="shared" si="6"/>
        <v>0.875</v>
      </c>
      <c r="AE11" s="36">
        <f t="shared" si="7"/>
        <v>0.5546875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149</v>
      </c>
      <c r="F12" s="30" t="s">
        <v>142</v>
      </c>
      <c r="G12" s="12">
        <v>1</v>
      </c>
      <c r="H12" s="13">
        <v>22</v>
      </c>
      <c r="I12" s="31">
        <v>100000</v>
      </c>
      <c r="J12" s="5">
        <v>4829</v>
      </c>
      <c r="K12" s="15">
        <f>L12+3980+4963+4857+4991+5052+5074+5369+4402+4760+5003+4109+5018+5406+4902+5041+5019+5033+5053+4646+3593+3896+4100+5014</f>
        <v>114110</v>
      </c>
      <c r="L12" s="15">
        <f>2500+2329</f>
        <v>4829</v>
      </c>
      <c r="M12" s="15">
        <f t="shared" si="0"/>
        <v>4829</v>
      </c>
      <c r="N12" s="15">
        <v>0</v>
      </c>
      <c r="O12" s="58">
        <f t="shared" si="1"/>
        <v>0</v>
      </c>
      <c r="P12" s="39">
        <f t="shared" si="2"/>
        <v>22</v>
      </c>
      <c r="Q12" s="40">
        <f t="shared" si="3"/>
        <v>2</v>
      </c>
      <c r="R12" s="7"/>
      <c r="S12" s="6"/>
      <c r="T12" s="16"/>
      <c r="U12" s="16"/>
      <c r="V12" s="17">
        <v>2</v>
      </c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0.91666666666666663</v>
      </c>
      <c r="AD12" s="10">
        <f t="shared" si="6"/>
        <v>0.91666666666666663</v>
      </c>
      <c r="AE12" s="36">
        <f t="shared" si="7"/>
        <v>0.5546875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119</v>
      </c>
      <c r="D13" s="52" t="s">
        <v>195</v>
      </c>
      <c r="E13" s="53" t="s">
        <v>262</v>
      </c>
      <c r="F13" s="30" t="s">
        <v>158</v>
      </c>
      <c r="G13" s="33">
        <v>2</v>
      </c>
      <c r="H13" s="35">
        <v>24</v>
      </c>
      <c r="I13" s="7">
        <v>50000</v>
      </c>
      <c r="J13" s="14">
        <v>8798</v>
      </c>
      <c r="K13" s="15">
        <f>L13+3366</f>
        <v>12164</v>
      </c>
      <c r="L13" s="15">
        <f>3073*2+1326*2</f>
        <v>8798</v>
      </c>
      <c r="M13" s="15">
        <f t="shared" ref="M13" si="9">L13-N13</f>
        <v>8798</v>
      </c>
      <c r="N13" s="15">
        <v>0</v>
      </c>
      <c r="O13" s="58">
        <f t="shared" ref="O13" si="10">IF(L13=0,"0",N13/L13)</f>
        <v>0</v>
      </c>
      <c r="P13" s="39">
        <f t="shared" ref="P13" si="11">IF(L13=0,"0",(24-Q13))</f>
        <v>19</v>
      </c>
      <c r="Q13" s="40">
        <f t="shared" ref="Q13" si="12">SUM(R13:AA13)</f>
        <v>5</v>
      </c>
      <c r="R13" s="7"/>
      <c r="S13" s="6">
        <v>5</v>
      </c>
      <c r="T13" s="16"/>
      <c r="U13" s="16"/>
      <c r="V13" s="17"/>
      <c r="W13" s="5"/>
      <c r="X13" s="16"/>
      <c r="Y13" s="16"/>
      <c r="Z13" s="16"/>
      <c r="AA13" s="18"/>
      <c r="AB13" s="8">
        <f t="shared" ref="AB13" si="13">IF(J13=0,"0",(L13/J13))</f>
        <v>1</v>
      </c>
      <c r="AC13" s="9">
        <f t="shared" ref="AC13" si="14">IF(P13=0,"0",(P13/24))</f>
        <v>0.79166666666666663</v>
      </c>
      <c r="AD13" s="10">
        <f t="shared" ref="AD13" si="15">AC13*AB13*(1-O13)</f>
        <v>0.79166666666666663</v>
      </c>
      <c r="AE13" s="36">
        <f t="shared" si="7"/>
        <v>0.5546875</v>
      </c>
      <c r="AF13" s="84">
        <f t="shared" ref="AF13" si="16">A13</f>
        <v>8</v>
      </c>
    </row>
    <row r="14" spans="1:32" ht="27" customHeight="1">
      <c r="A14" s="105">
        <v>9</v>
      </c>
      <c r="B14" s="11" t="s">
        <v>156</v>
      </c>
      <c r="C14" s="34" t="s">
        <v>112</v>
      </c>
      <c r="D14" s="52" t="s">
        <v>115</v>
      </c>
      <c r="E14" s="53" t="s">
        <v>153</v>
      </c>
      <c r="F14" s="30" t="s">
        <v>144</v>
      </c>
      <c r="G14" s="33">
        <v>1</v>
      </c>
      <c r="H14" s="35">
        <v>50</v>
      </c>
      <c r="I14" s="7">
        <v>50</v>
      </c>
      <c r="J14" s="5"/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0.5546875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125</v>
      </c>
      <c r="E15" s="53" t="s">
        <v>150</v>
      </c>
      <c r="F15" s="12" t="s">
        <v>138</v>
      </c>
      <c r="G15" s="12">
        <v>1</v>
      </c>
      <c r="H15" s="13">
        <v>24</v>
      </c>
      <c r="I15" s="31">
        <v>6500</v>
      </c>
      <c r="J15" s="14">
        <v>5214</v>
      </c>
      <c r="K15" s="15">
        <f>L15+2059+5272+5214</f>
        <v>12545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0.5546875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195</v>
      </c>
      <c r="E16" s="53" t="s">
        <v>238</v>
      </c>
      <c r="F16" s="30" t="s">
        <v>213</v>
      </c>
      <c r="G16" s="12">
        <v>1</v>
      </c>
      <c r="H16" s="13">
        <v>24</v>
      </c>
      <c r="I16" s="7">
        <v>20000</v>
      </c>
      <c r="J16" s="14">
        <v>2900</v>
      </c>
      <c r="K16" s="15">
        <f>L16+2991+6138+5924</f>
        <v>17953</v>
      </c>
      <c r="L16" s="15">
        <f>2625+275</f>
        <v>2900</v>
      </c>
      <c r="M16" s="15">
        <f t="shared" si="0"/>
        <v>2900</v>
      </c>
      <c r="N16" s="15">
        <v>0</v>
      </c>
      <c r="O16" s="58">
        <f t="shared" si="1"/>
        <v>0</v>
      </c>
      <c r="P16" s="39">
        <f t="shared" si="2"/>
        <v>14</v>
      </c>
      <c r="Q16" s="40">
        <f t="shared" si="3"/>
        <v>10</v>
      </c>
      <c r="R16" s="7"/>
      <c r="S16" s="6"/>
      <c r="T16" s="16"/>
      <c r="U16" s="16"/>
      <c r="V16" s="17"/>
      <c r="W16" s="5">
        <v>10</v>
      </c>
      <c r="X16" s="16"/>
      <c r="Y16" s="16"/>
      <c r="Z16" s="16"/>
      <c r="AA16" s="18"/>
      <c r="AB16" s="8">
        <f t="shared" si="4"/>
        <v>1</v>
      </c>
      <c r="AC16" s="9">
        <f t="shared" si="5"/>
        <v>0.58333333333333337</v>
      </c>
      <c r="AD16" s="10">
        <f t="shared" si="6"/>
        <v>0.58333333333333337</v>
      </c>
      <c r="AE16" s="36">
        <f t="shared" si="7"/>
        <v>0.5546875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112</v>
      </c>
      <c r="D17" s="52" t="s">
        <v>275</v>
      </c>
      <c r="E17" s="53" t="s">
        <v>276</v>
      </c>
      <c r="F17" s="30" t="s">
        <v>132</v>
      </c>
      <c r="G17" s="12">
        <v>1</v>
      </c>
      <c r="H17" s="13">
        <v>24</v>
      </c>
      <c r="I17" s="7">
        <v>5000</v>
      </c>
      <c r="J17" s="14">
        <v>5758</v>
      </c>
      <c r="K17" s="15">
        <f>L17+2580</f>
        <v>8338</v>
      </c>
      <c r="L17" s="15">
        <f>3100+2658</f>
        <v>5758</v>
      </c>
      <c r="M17" s="15">
        <f t="shared" si="0"/>
        <v>5758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0.5546875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119</v>
      </c>
      <c r="D18" s="52" t="s">
        <v>115</v>
      </c>
      <c r="E18" s="53" t="s">
        <v>154</v>
      </c>
      <c r="F18" s="30" t="s">
        <v>142</v>
      </c>
      <c r="G18" s="33">
        <v>1</v>
      </c>
      <c r="H18" s="35">
        <v>24</v>
      </c>
      <c r="I18" s="7">
        <v>1500</v>
      </c>
      <c r="J18" s="14">
        <v>2103</v>
      </c>
      <c r="K18" s="15">
        <f>L18</f>
        <v>2103</v>
      </c>
      <c r="L18" s="15">
        <f>1817+286</f>
        <v>2103</v>
      </c>
      <c r="M18" s="15">
        <f t="shared" si="0"/>
        <v>2103</v>
      </c>
      <c r="N18" s="15">
        <v>0</v>
      </c>
      <c r="O18" s="58">
        <f t="shared" si="1"/>
        <v>0</v>
      </c>
      <c r="P18" s="39">
        <f t="shared" si="2"/>
        <v>11</v>
      </c>
      <c r="Q18" s="40">
        <f t="shared" si="3"/>
        <v>13</v>
      </c>
      <c r="R18" s="7"/>
      <c r="S18" s="6"/>
      <c r="T18" s="16"/>
      <c r="U18" s="16"/>
      <c r="V18" s="17"/>
      <c r="W18" s="5">
        <v>13</v>
      </c>
      <c r="X18" s="16"/>
      <c r="Y18" s="16"/>
      <c r="Z18" s="16"/>
      <c r="AA18" s="18"/>
      <c r="AB18" s="8">
        <f t="shared" si="4"/>
        <v>1</v>
      </c>
      <c r="AC18" s="9">
        <f t="shared" si="5"/>
        <v>0.45833333333333331</v>
      </c>
      <c r="AD18" s="10">
        <f t="shared" si="6"/>
        <v>0.45833333333333331</v>
      </c>
      <c r="AE18" s="36">
        <f t="shared" si="7"/>
        <v>0.5546875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125</v>
      </c>
      <c r="E19" s="53" t="s">
        <v>225</v>
      </c>
      <c r="F19" s="30" t="s">
        <v>171</v>
      </c>
      <c r="G19" s="33">
        <v>1</v>
      </c>
      <c r="H19" s="35">
        <v>24</v>
      </c>
      <c r="I19" s="7">
        <v>2000</v>
      </c>
      <c r="J19" s="14">
        <v>2054</v>
      </c>
      <c r="K19" s="15">
        <f>L19+5363+2054</f>
        <v>7417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0.5546875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151</v>
      </c>
      <c r="F20" s="30" t="s">
        <v>142</v>
      </c>
      <c r="G20" s="12">
        <v>1</v>
      </c>
      <c r="H20" s="13">
        <v>24</v>
      </c>
      <c r="I20" s="7">
        <v>52000</v>
      </c>
      <c r="J20" s="14">
        <v>2499</v>
      </c>
      <c r="K20" s="15">
        <f>L20+2928+5476+5823+3267+3626+5491+5401+5798+4186+3247+5615+5568+5347</f>
        <v>64272</v>
      </c>
      <c r="L20" s="15">
        <f>2499</f>
        <v>2499</v>
      </c>
      <c r="M20" s="15">
        <f t="shared" si="0"/>
        <v>2499</v>
      </c>
      <c r="N20" s="15">
        <v>0</v>
      </c>
      <c r="O20" s="58">
        <f t="shared" si="1"/>
        <v>0</v>
      </c>
      <c r="P20" s="39">
        <f t="shared" si="2"/>
        <v>12</v>
      </c>
      <c r="Q20" s="40">
        <f t="shared" si="3"/>
        <v>12</v>
      </c>
      <c r="R20" s="7"/>
      <c r="S20" s="6">
        <v>12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0.5</v>
      </c>
      <c r="AD20" s="10">
        <f t="shared" si="6"/>
        <v>0.5</v>
      </c>
      <c r="AE20" s="36">
        <f t="shared" si="7"/>
        <v>0.5546875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140</v>
      </c>
      <c r="F21" s="12" t="s">
        <v>114</v>
      </c>
      <c r="G21" s="12">
        <v>4</v>
      </c>
      <c r="H21" s="35">
        <v>20</v>
      </c>
      <c r="I21" s="7">
        <v>500000</v>
      </c>
      <c r="J21" s="14">
        <v>28768</v>
      </c>
      <c r="K21" s="15">
        <f>L21+29516+33412+34840+28200</f>
        <v>154736</v>
      </c>
      <c r="L21" s="15">
        <f>7192*4</f>
        <v>28768</v>
      </c>
      <c r="M21" s="15">
        <f t="shared" si="0"/>
        <v>28768</v>
      </c>
      <c r="N21" s="15">
        <v>0</v>
      </c>
      <c r="O21" s="58">
        <f t="shared" si="1"/>
        <v>0</v>
      </c>
      <c r="P21" s="39">
        <f t="shared" si="2"/>
        <v>10</v>
      </c>
      <c r="Q21" s="40">
        <f t="shared" si="3"/>
        <v>14</v>
      </c>
      <c r="R21" s="7"/>
      <c r="S21" s="6"/>
      <c r="T21" s="16"/>
      <c r="U21" s="16"/>
      <c r="V21" s="17">
        <v>14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0.41666666666666669</v>
      </c>
      <c r="AD21" s="10">
        <f t="shared" si="6"/>
        <v>0.41666666666666669</v>
      </c>
      <c r="AE21" s="36">
        <f t="shared" si="7"/>
        <v>0.5546875</v>
      </c>
      <c r="AF21" s="84">
        <f t="shared" si="8"/>
        <v>16</v>
      </c>
    </row>
    <row r="22" spans="1:32" ht="31.5" customHeight="1" thickBot="1">
      <c r="A22" s="384" t="s">
        <v>34</v>
      </c>
      <c r="B22" s="385"/>
      <c r="C22" s="385"/>
      <c r="D22" s="385"/>
      <c r="E22" s="385"/>
      <c r="F22" s="385"/>
      <c r="G22" s="385"/>
      <c r="H22" s="386"/>
      <c r="I22" s="22">
        <f t="shared" ref="I22:N22" si="17">SUM(I6:I21)</f>
        <v>997350</v>
      </c>
      <c r="J22" s="19">
        <f t="shared" si="17"/>
        <v>159228</v>
      </c>
      <c r="K22" s="20">
        <f t="shared" si="17"/>
        <v>579428</v>
      </c>
      <c r="L22" s="21">
        <f t="shared" si="17"/>
        <v>148594</v>
      </c>
      <c r="M22" s="20">
        <f t="shared" si="17"/>
        <v>148594</v>
      </c>
      <c r="N22" s="21">
        <f t="shared" si="17"/>
        <v>0</v>
      </c>
      <c r="O22" s="41">
        <f t="shared" si="1"/>
        <v>0</v>
      </c>
      <c r="P22" s="42">
        <f t="shared" ref="P22:AA22" si="18">SUM(P6:P21)</f>
        <v>213</v>
      </c>
      <c r="Q22" s="43">
        <f t="shared" si="18"/>
        <v>171</v>
      </c>
      <c r="R22" s="23">
        <f t="shared" si="18"/>
        <v>3</v>
      </c>
      <c r="S22" s="24">
        <f t="shared" si="18"/>
        <v>51</v>
      </c>
      <c r="T22" s="24">
        <f t="shared" si="18"/>
        <v>0</v>
      </c>
      <c r="U22" s="24">
        <f t="shared" si="18"/>
        <v>0</v>
      </c>
      <c r="V22" s="25">
        <f t="shared" si="18"/>
        <v>16</v>
      </c>
      <c r="W22" s="26">
        <f t="shared" si="18"/>
        <v>77</v>
      </c>
      <c r="X22" s="27">
        <f t="shared" si="18"/>
        <v>0</v>
      </c>
      <c r="Y22" s="27">
        <f t="shared" si="18"/>
        <v>0</v>
      </c>
      <c r="Z22" s="27">
        <f t="shared" si="18"/>
        <v>0</v>
      </c>
      <c r="AA22" s="27">
        <f t="shared" si="18"/>
        <v>24</v>
      </c>
      <c r="AB22" s="28">
        <f>AVERAGE(AB6:AB21)</f>
        <v>0.8</v>
      </c>
      <c r="AC22" s="4">
        <f>AVERAGE(AC6:AC21)</f>
        <v>0.5546875</v>
      </c>
      <c r="AD22" s="4">
        <f>AVERAGE(AD6:AD21)</f>
        <v>0.5546875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387" t="s">
        <v>45</v>
      </c>
      <c r="B49" s="387"/>
      <c r="C49" s="387"/>
      <c r="D49" s="387"/>
      <c r="E49" s="38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388" t="s">
        <v>302</v>
      </c>
      <c r="B50" s="389"/>
      <c r="C50" s="389"/>
      <c r="D50" s="389"/>
      <c r="E50" s="389"/>
      <c r="F50" s="389"/>
      <c r="G50" s="389"/>
      <c r="H50" s="389"/>
      <c r="I50" s="389"/>
      <c r="J50" s="389"/>
      <c r="K50" s="389"/>
      <c r="L50" s="389"/>
      <c r="M50" s="390"/>
      <c r="N50" s="391" t="s">
        <v>320</v>
      </c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  <c r="AA50" s="392"/>
      <c r="AB50" s="392"/>
      <c r="AC50" s="392"/>
      <c r="AD50" s="393"/>
    </row>
    <row r="51" spans="1:32" ht="27" customHeight="1">
      <c r="A51" s="394" t="s">
        <v>2</v>
      </c>
      <c r="B51" s="395"/>
      <c r="C51" s="189" t="s">
        <v>46</v>
      </c>
      <c r="D51" s="189" t="s">
        <v>47</v>
      </c>
      <c r="E51" s="189" t="s">
        <v>107</v>
      </c>
      <c r="F51" s="396" t="s">
        <v>106</v>
      </c>
      <c r="G51" s="397"/>
      <c r="H51" s="397"/>
      <c r="I51" s="397"/>
      <c r="J51" s="397"/>
      <c r="K51" s="397"/>
      <c r="L51" s="397"/>
      <c r="M51" s="398"/>
      <c r="N51" s="67" t="s">
        <v>110</v>
      </c>
      <c r="O51" s="189" t="s">
        <v>46</v>
      </c>
      <c r="P51" s="396" t="s">
        <v>47</v>
      </c>
      <c r="Q51" s="399"/>
      <c r="R51" s="396" t="s">
        <v>38</v>
      </c>
      <c r="S51" s="397"/>
      <c r="T51" s="397"/>
      <c r="U51" s="399"/>
      <c r="V51" s="396" t="s">
        <v>48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420" t="s">
        <v>112</v>
      </c>
      <c r="B52" s="421"/>
      <c r="C52" s="192" t="s">
        <v>143</v>
      </c>
      <c r="D52" s="192" t="s">
        <v>147</v>
      </c>
      <c r="E52" s="192" t="s">
        <v>283</v>
      </c>
      <c r="F52" s="412" t="s">
        <v>303</v>
      </c>
      <c r="G52" s="413"/>
      <c r="H52" s="413"/>
      <c r="I52" s="413"/>
      <c r="J52" s="413"/>
      <c r="K52" s="413"/>
      <c r="L52" s="413"/>
      <c r="M52" s="414"/>
      <c r="N52" s="191" t="s">
        <v>121</v>
      </c>
      <c r="O52" s="197" t="s">
        <v>143</v>
      </c>
      <c r="P52" s="415" t="s">
        <v>115</v>
      </c>
      <c r="Q52" s="416"/>
      <c r="R52" s="415" t="s">
        <v>321</v>
      </c>
      <c r="S52" s="417"/>
      <c r="T52" s="417"/>
      <c r="U52" s="416"/>
      <c r="V52" s="418" t="s">
        <v>130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10" t="s">
        <v>304</v>
      </c>
      <c r="B53" s="411"/>
      <c r="C53" s="190" t="s">
        <v>305</v>
      </c>
      <c r="D53" s="190" t="s">
        <v>306</v>
      </c>
      <c r="E53" s="192" t="s">
        <v>307</v>
      </c>
      <c r="F53" s="412" t="s">
        <v>308</v>
      </c>
      <c r="G53" s="413"/>
      <c r="H53" s="413"/>
      <c r="I53" s="413"/>
      <c r="J53" s="413"/>
      <c r="K53" s="413"/>
      <c r="L53" s="413"/>
      <c r="M53" s="414"/>
      <c r="N53" s="191" t="s">
        <v>304</v>
      </c>
      <c r="O53" s="197" t="s">
        <v>314</v>
      </c>
      <c r="P53" s="415" t="s">
        <v>115</v>
      </c>
      <c r="Q53" s="416"/>
      <c r="R53" s="415" t="s">
        <v>322</v>
      </c>
      <c r="S53" s="417"/>
      <c r="T53" s="417"/>
      <c r="U53" s="416"/>
      <c r="V53" s="418" t="s">
        <v>323</v>
      </c>
      <c r="W53" s="418"/>
      <c r="X53" s="418"/>
      <c r="Y53" s="418"/>
      <c r="Z53" s="418"/>
      <c r="AA53" s="418"/>
      <c r="AB53" s="418"/>
      <c r="AC53" s="418"/>
      <c r="AD53" s="419"/>
    </row>
    <row r="54" spans="1:32" ht="27" customHeight="1">
      <c r="A54" s="420" t="s">
        <v>309</v>
      </c>
      <c r="B54" s="421"/>
      <c r="C54" s="192" t="s">
        <v>310</v>
      </c>
      <c r="D54" s="192" t="s">
        <v>311</v>
      </c>
      <c r="E54" s="192" t="s">
        <v>312</v>
      </c>
      <c r="F54" s="412" t="s">
        <v>313</v>
      </c>
      <c r="G54" s="413"/>
      <c r="H54" s="413"/>
      <c r="I54" s="413"/>
      <c r="J54" s="413"/>
      <c r="K54" s="413"/>
      <c r="L54" s="413"/>
      <c r="M54" s="414"/>
      <c r="N54" s="191" t="s">
        <v>324</v>
      </c>
      <c r="O54" s="197" t="s">
        <v>317</v>
      </c>
      <c r="P54" s="415" t="s">
        <v>115</v>
      </c>
      <c r="Q54" s="416"/>
      <c r="R54" s="415" t="s">
        <v>318</v>
      </c>
      <c r="S54" s="417"/>
      <c r="T54" s="417"/>
      <c r="U54" s="416"/>
      <c r="V54" s="418" t="s">
        <v>313</v>
      </c>
      <c r="W54" s="418"/>
      <c r="X54" s="418"/>
      <c r="Y54" s="418"/>
      <c r="Z54" s="418"/>
      <c r="AA54" s="418"/>
      <c r="AB54" s="418"/>
      <c r="AC54" s="418"/>
      <c r="AD54" s="419"/>
    </row>
    <row r="55" spans="1:32" ht="27" customHeight="1">
      <c r="A55" s="410" t="s">
        <v>309</v>
      </c>
      <c r="B55" s="411"/>
      <c r="C55" s="190" t="s">
        <v>314</v>
      </c>
      <c r="D55" s="190" t="s">
        <v>315</v>
      </c>
      <c r="E55" s="190" t="s">
        <v>316</v>
      </c>
      <c r="F55" s="412" t="s">
        <v>130</v>
      </c>
      <c r="G55" s="413"/>
      <c r="H55" s="413"/>
      <c r="I55" s="413"/>
      <c r="J55" s="413"/>
      <c r="K55" s="413"/>
      <c r="L55" s="413"/>
      <c r="M55" s="414"/>
      <c r="N55" s="191"/>
      <c r="O55" s="197"/>
      <c r="P55" s="415"/>
      <c r="Q55" s="416"/>
      <c r="R55" s="415"/>
      <c r="S55" s="417"/>
      <c r="T55" s="417"/>
      <c r="U55" s="416"/>
      <c r="V55" s="418"/>
      <c r="W55" s="418"/>
      <c r="X55" s="418"/>
      <c r="Y55" s="418"/>
      <c r="Z55" s="418"/>
      <c r="AA55" s="418"/>
      <c r="AB55" s="418"/>
      <c r="AC55" s="418"/>
      <c r="AD55" s="419"/>
    </row>
    <row r="56" spans="1:32" ht="27" customHeight="1">
      <c r="A56" s="410" t="s">
        <v>112</v>
      </c>
      <c r="B56" s="411"/>
      <c r="C56" s="190" t="s">
        <v>317</v>
      </c>
      <c r="D56" s="190" t="s">
        <v>315</v>
      </c>
      <c r="E56" s="192" t="s">
        <v>318</v>
      </c>
      <c r="F56" s="412" t="s">
        <v>319</v>
      </c>
      <c r="G56" s="413"/>
      <c r="H56" s="413"/>
      <c r="I56" s="413"/>
      <c r="J56" s="413"/>
      <c r="K56" s="413"/>
      <c r="L56" s="413"/>
      <c r="M56" s="414"/>
      <c r="N56" s="191"/>
      <c r="O56" s="197"/>
      <c r="P56" s="415"/>
      <c r="Q56" s="416"/>
      <c r="R56" s="415"/>
      <c r="S56" s="417"/>
      <c r="T56" s="417"/>
      <c r="U56" s="416"/>
      <c r="V56" s="418"/>
      <c r="W56" s="418"/>
      <c r="X56" s="418"/>
      <c r="Y56" s="418"/>
      <c r="Z56" s="418"/>
      <c r="AA56" s="418"/>
      <c r="AB56" s="418"/>
      <c r="AC56" s="418"/>
      <c r="AD56" s="419"/>
    </row>
    <row r="57" spans="1:32" ht="27" customHeight="1">
      <c r="A57" s="410"/>
      <c r="B57" s="411"/>
      <c r="C57" s="190"/>
      <c r="D57" s="190"/>
      <c r="E57" s="192"/>
      <c r="F57" s="412"/>
      <c r="G57" s="413"/>
      <c r="H57" s="413"/>
      <c r="I57" s="413"/>
      <c r="J57" s="413"/>
      <c r="K57" s="413"/>
      <c r="L57" s="413"/>
      <c r="M57" s="414"/>
      <c r="N57" s="191"/>
      <c r="O57" s="197"/>
      <c r="P57" s="415"/>
      <c r="Q57" s="416"/>
      <c r="R57" s="415"/>
      <c r="S57" s="417"/>
      <c r="T57" s="417"/>
      <c r="U57" s="416"/>
      <c r="V57" s="418"/>
      <c r="W57" s="418"/>
      <c r="X57" s="418"/>
      <c r="Y57" s="418"/>
      <c r="Z57" s="418"/>
      <c r="AA57" s="418"/>
      <c r="AB57" s="418"/>
      <c r="AC57" s="418"/>
      <c r="AD57" s="419"/>
    </row>
    <row r="58" spans="1:32" ht="27" customHeight="1">
      <c r="A58" s="410"/>
      <c r="B58" s="411"/>
      <c r="C58" s="190"/>
      <c r="D58" s="190"/>
      <c r="E58" s="192"/>
      <c r="F58" s="412"/>
      <c r="G58" s="413"/>
      <c r="H58" s="413"/>
      <c r="I58" s="413"/>
      <c r="J58" s="413"/>
      <c r="K58" s="413"/>
      <c r="L58" s="413"/>
      <c r="M58" s="414"/>
      <c r="N58" s="191"/>
      <c r="O58" s="197"/>
      <c r="P58" s="415"/>
      <c r="Q58" s="416"/>
      <c r="R58" s="415"/>
      <c r="S58" s="417"/>
      <c r="T58" s="417"/>
      <c r="U58" s="416"/>
      <c r="V58" s="418"/>
      <c r="W58" s="418"/>
      <c r="X58" s="418"/>
      <c r="Y58" s="418"/>
      <c r="Z58" s="418"/>
      <c r="AA58" s="418"/>
      <c r="AB58" s="418"/>
      <c r="AC58" s="418"/>
      <c r="AD58" s="419"/>
    </row>
    <row r="59" spans="1:32" ht="27" customHeight="1">
      <c r="A59" s="420"/>
      <c r="B59" s="421"/>
      <c r="C59" s="192"/>
      <c r="D59" s="192"/>
      <c r="E59" s="192"/>
      <c r="F59" s="412"/>
      <c r="G59" s="413"/>
      <c r="H59" s="413"/>
      <c r="I59" s="413"/>
      <c r="J59" s="413"/>
      <c r="K59" s="413"/>
      <c r="L59" s="413"/>
      <c r="M59" s="414"/>
      <c r="N59" s="191"/>
      <c r="O59" s="197"/>
      <c r="P59" s="415"/>
      <c r="Q59" s="416"/>
      <c r="R59" s="421"/>
      <c r="S59" s="421"/>
      <c r="T59" s="421"/>
      <c r="U59" s="421"/>
      <c r="V59" s="418"/>
      <c r="W59" s="418"/>
      <c r="X59" s="418"/>
      <c r="Y59" s="418"/>
      <c r="Z59" s="418"/>
      <c r="AA59" s="418"/>
      <c r="AB59" s="418"/>
      <c r="AC59" s="418"/>
      <c r="AD59" s="419"/>
    </row>
    <row r="60" spans="1:32" ht="27" customHeight="1">
      <c r="A60" s="410"/>
      <c r="B60" s="411"/>
      <c r="C60" s="190"/>
      <c r="D60" s="190"/>
      <c r="E60" s="192"/>
      <c r="F60" s="412"/>
      <c r="G60" s="413"/>
      <c r="H60" s="413"/>
      <c r="I60" s="413"/>
      <c r="J60" s="413"/>
      <c r="K60" s="413"/>
      <c r="L60" s="413"/>
      <c r="M60" s="414"/>
      <c r="N60" s="191"/>
      <c r="O60" s="197"/>
      <c r="P60" s="421"/>
      <c r="Q60" s="421"/>
      <c r="R60" s="421"/>
      <c r="S60" s="421"/>
      <c r="T60" s="421"/>
      <c r="U60" s="421"/>
      <c r="V60" s="418"/>
      <c r="W60" s="418"/>
      <c r="X60" s="418"/>
      <c r="Y60" s="418"/>
      <c r="Z60" s="418"/>
      <c r="AA60" s="418"/>
      <c r="AB60" s="418"/>
      <c r="AC60" s="418"/>
      <c r="AD60" s="419"/>
      <c r="AF60" s="84">
        <f>8*3000</f>
        <v>24000</v>
      </c>
    </row>
    <row r="61" spans="1:32" ht="27" customHeight="1" thickBot="1">
      <c r="A61" s="422"/>
      <c r="B61" s="423"/>
      <c r="C61" s="193"/>
      <c r="D61" s="194"/>
      <c r="E61" s="194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30" t="s">
        <v>325</v>
      </c>
      <c r="B62" s="430"/>
      <c r="C62" s="430"/>
      <c r="D62" s="430"/>
      <c r="E62" s="43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31" t="s">
        <v>111</v>
      </c>
      <c r="B63" s="432"/>
      <c r="C63" s="195" t="s">
        <v>2</v>
      </c>
      <c r="D63" s="195" t="s">
        <v>37</v>
      </c>
      <c r="E63" s="195" t="s">
        <v>3</v>
      </c>
      <c r="F63" s="432" t="s">
        <v>109</v>
      </c>
      <c r="G63" s="432"/>
      <c r="H63" s="432"/>
      <c r="I63" s="432"/>
      <c r="J63" s="432"/>
      <c r="K63" s="432" t="s">
        <v>39</v>
      </c>
      <c r="L63" s="432"/>
      <c r="M63" s="195" t="s">
        <v>40</v>
      </c>
      <c r="N63" s="432" t="s">
        <v>41</v>
      </c>
      <c r="O63" s="432"/>
      <c r="P63" s="433" t="s">
        <v>42</v>
      </c>
      <c r="Q63" s="434"/>
      <c r="R63" s="433" t="s">
        <v>43</v>
      </c>
      <c r="S63" s="435"/>
      <c r="T63" s="435"/>
      <c r="U63" s="435"/>
      <c r="V63" s="435"/>
      <c r="W63" s="435"/>
      <c r="X63" s="435"/>
      <c r="Y63" s="435"/>
      <c r="Z63" s="435"/>
      <c r="AA63" s="434"/>
      <c r="AB63" s="432" t="s">
        <v>44</v>
      </c>
      <c r="AC63" s="432"/>
      <c r="AD63" s="436"/>
      <c r="AF63" s="84">
        <f>SUM(AF60:AF62)</f>
        <v>96000</v>
      </c>
    </row>
    <row r="64" spans="1:32" ht="25.5" customHeight="1">
      <c r="A64" s="437">
        <v>1</v>
      </c>
      <c r="B64" s="438"/>
      <c r="C64" s="104" t="s">
        <v>227</v>
      </c>
      <c r="D64" s="199"/>
      <c r="E64" s="196" t="s">
        <v>115</v>
      </c>
      <c r="F64" s="439" t="s">
        <v>326</v>
      </c>
      <c r="G64" s="440"/>
      <c r="H64" s="440"/>
      <c r="I64" s="440"/>
      <c r="J64" s="441"/>
      <c r="K64" s="442" t="s">
        <v>287</v>
      </c>
      <c r="L64" s="442"/>
      <c r="M64" s="51" t="s">
        <v>288</v>
      </c>
      <c r="N64" s="443" t="s">
        <v>135</v>
      </c>
      <c r="O64" s="443"/>
      <c r="P64" s="444">
        <v>50</v>
      </c>
      <c r="Q64" s="444"/>
      <c r="R64" s="418"/>
      <c r="S64" s="418"/>
      <c r="T64" s="418"/>
      <c r="U64" s="418"/>
      <c r="V64" s="418"/>
      <c r="W64" s="418"/>
      <c r="X64" s="418"/>
      <c r="Y64" s="418"/>
      <c r="Z64" s="418"/>
      <c r="AA64" s="418"/>
      <c r="AB64" s="442"/>
      <c r="AC64" s="442"/>
      <c r="AD64" s="445"/>
      <c r="AF64" s="50"/>
    </row>
    <row r="65" spans="1:32" ht="25.5" customHeight="1">
      <c r="A65" s="437">
        <v>2</v>
      </c>
      <c r="B65" s="438"/>
      <c r="C65" s="104" t="s">
        <v>304</v>
      </c>
      <c r="D65" s="199"/>
      <c r="E65" s="196" t="s">
        <v>311</v>
      </c>
      <c r="F65" s="439" t="s">
        <v>327</v>
      </c>
      <c r="G65" s="440"/>
      <c r="H65" s="440"/>
      <c r="I65" s="440"/>
      <c r="J65" s="441"/>
      <c r="K65" s="442" t="s">
        <v>328</v>
      </c>
      <c r="L65" s="442"/>
      <c r="M65" s="51" t="s">
        <v>329</v>
      </c>
      <c r="N65" s="443" t="s">
        <v>330</v>
      </c>
      <c r="O65" s="443"/>
      <c r="P65" s="444">
        <v>50</v>
      </c>
      <c r="Q65" s="444"/>
      <c r="R65" s="418" t="s">
        <v>331</v>
      </c>
      <c r="S65" s="418"/>
      <c r="T65" s="418"/>
      <c r="U65" s="418"/>
      <c r="V65" s="418"/>
      <c r="W65" s="418"/>
      <c r="X65" s="418"/>
      <c r="Y65" s="418"/>
      <c r="Z65" s="418"/>
      <c r="AA65" s="418"/>
      <c r="AB65" s="442"/>
      <c r="AC65" s="442"/>
      <c r="AD65" s="445"/>
      <c r="AF65" s="50"/>
    </row>
    <row r="66" spans="1:32" ht="25.5" customHeight="1">
      <c r="A66" s="437">
        <v>3</v>
      </c>
      <c r="B66" s="438"/>
      <c r="C66" s="104" t="s">
        <v>309</v>
      </c>
      <c r="D66" s="199"/>
      <c r="E66" s="196" t="s">
        <v>333</v>
      </c>
      <c r="F66" s="439" t="s">
        <v>332</v>
      </c>
      <c r="G66" s="440"/>
      <c r="H66" s="440"/>
      <c r="I66" s="440"/>
      <c r="J66" s="441"/>
      <c r="K66" s="442" t="s">
        <v>334</v>
      </c>
      <c r="L66" s="442"/>
      <c r="M66" s="51" t="s">
        <v>329</v>
      </c>
      <c r="N66" s="443" t="s">
        <v>335</v>
      </c>
      <c r="O66" s="443"/>
      <c r="P66" s="444">
        <v>200</v>
      </c>
      <c r="Q66" s="444"/>
      <c r="R66" s="418"/>
      <c r="S66" s="418"/>
      <c r="T66" s="418"/>
      <c r="U66" s="418"/>
      <c r="V66" s="418"/>
      <c r="W66" s="418"/>
      <c r="X66" s="418"/>
      <c r="Y66" s="418"/>
      <c r="Z66" s="418"/>
      <c r="AA66" s="418"/>
      <c r="AB66" s="442"/>
      <c r="AC66" s="442"/>
      <c r="AD66" s="445"/>
      <c r="AF66" s="50"/>
    </row>
    <row r="67" spans="1:32" ht="25.5" customHeight="1">
      <c r="A67" s="437">
        <v>4</v>
      </c>
      <c r="B67" s="438"/>
      <c r="C67" s="104"/>
      <c r="D67" s="199"/>
      <c r="E67" s="196"/>
      <c r="F67" s="439"/>
      <c r="G67" s="440"/>
      <c r="H67" s="440"/>
      <c r="I67" s="440"/>
      <c r="J67" s="441"/>
      <c r="K67" s="442"/>
      <c r="L67" s="442"/>
      <c r="M67" s="51"/>
      <c r="N67" s="443"/>
      <c r="O67" s="443"/>
      <c r="P67" s="446"/>
      <c r="Q67" s="446"/>
      <c r="R67" s="418"/>
      <c r="S67" s="418"/>
      <c r="T67" s="418"/>
      <c r="U67" s="418"/>
      <c r="V67" s="418"/>
      <c r="W67" s="418"/>
      <c r="X67" s="418"/>
      <c r="Y67" s="418"/>
      <c r="Z67" s="418"/>
      <c r="AA67" s="418"/>
      <c r="AB67" s="442"/>
      <c r="AC67" s="442"/>
      <c r="AD67" s="445"/>
      <c r="AF67" s="50"/>
    </row>
    <row r="68" spans="1:32" ht="25.5" customHeight="1">
      <c r="A68" s="437">
        <v>5</v>
      </c>
      <c r="B68" s="438"/>
      <c r="C68" s="104"/>
      <c r="D68" s="199"/>
      <c r="E68" s="196"/>
      <c r="F68" s="439"/>
      <c r="G68" s="440"/>
      <c r="H68" s="440"/>
      <c r="I68" s="440"/>
      <c r="J68" s="441"/>
      <c r="K68" s="442"/>
      <c r="L68" s="442"/>
      <c r="M68" s="51"/>
      <c r="N68" s="443"/>
      <c r="O68" s="443"/>
      <c r="P68" s="444"/>
      <c r="Q68" s="444"/>
      <c r="R68" s="418"/>
      <c r="S68" s="418"/>
      <c r="T68" s="418"/>
      <c r="U68" s="418"/>
      <c r="V68" s="418"/>
      <c r="W68" s="418"/>
      <c r="X68" s="418"/>
      <c r="Y68" s="418"/>
      <c r="Z68" s="418"/>
      <c r="AA68" s="418"/>
      <c r="AB68" s="442"/>
      <c r="AC68" s="442"/>
      <c r="AD68" s="445"/>
      <c r="AF68" s="50"/>
    </row>
    <row r="69" spans="1:32" ht="25.5" customHeight="1">
      <c r="A69" s="437">
        <v>6</v>
      </c>
      <c r="B69" s="438"/>
      <c r="C69" s="104"/>
      <c r="D69" s="199"/>
      <c r="E69" s="196"/>
      <c r="F69" s="439"/>
      <c r="G69" s="440"/>
      <c r="H69" s="440"/>
      <c r="I69" s="440"/>
      <c r="J69" s="441"/>
      <c r="K69" s="442"/>
      <c r="L69" s="442"/>
      <c r="M69" s="51"/>
      <c r="N69" s="443"/>
      <c r="O69" s="443"/>
      <c r="P69" s="444"/>
      <c r="Q69" s="444"/>
      <c r="R69" s="418"/>
      <c r="S69" s="418"/>
      <c r="T69" s="418"/>
      <c r="U69" s="418"/>
      <c r="V69" s="418"/>
      <c r="W69" s="418"/>
      <c r="X69" s="418"/>
      <c r="Y69" s="418"/>
      <c r="Z69" s="418"/>
      <c r="AA69" s="418"/>
      <c r="AB69" s="442"/>
      <c r="AC69" s="442"/>
      <c r="AD69" s="445"/>
      <c r="AF69" s="50"/>
    </row>
    <row r="70" spans="1:32" ht="25.5" customHeight="1">
      <c r="A70" s="437">
        <v>7</v>
      </c>
      <c r="B70" s="438"/>
      <c r="C70" s="104"/>
      <c r="D70" s="199"/>
      <c r="E70" s="196"/>
      <c r="F70" s="447"/>
      <c r="G70" s="442"/>
      <c r="H70" s="442"/>
      <c r="I70" s="442"/>
      <c r="J70" s="442"/>
      <c r="K70" s="442"/>
      <c r="L70" s="442"/>
      <c r="M70" s="51"/>
      <c r="N70" s="443"/>
      <c r="O70" s="443"/>
      <c r="P70" s="444"/>
      <c r="Q70" s="444"/>
      <c r="R70" s="418"/>
      <c r="S70" s="418"/>
      <c r="T70" s="418"/>
      <c r="U70" s="418"/>
      <c r="V70" s="418"/>
      <c r="W70" s="418"/>
      <c r="X70" s="418"/>
      <c r="Y70" s="418"/>
      <c r="Z70" s="418"/>
      <c r="AA70" s="418"/>
      <c r="AB70" s="442"/>
      <c r="AC70" s="442"/>
      <c r="AD70" s="445"/>
      <c r="AF70" s="50"/>
    </row>
    <row r="71" spans="1:32" ht="25.5" customHeight="1">
      <c r="A71" s="437">
        <v>8</v>
      </c>
      <c r="B71" s="438"/>
      <c r="C71" s="104"/>
      <c r="D71" s="199"/>
      <c r="E71" s="196"/>
      <c r="F71" s="447"/>
      <c r="G71" s="442"/>
      <c r="H71" s="442"/>
      <c r="I71" s="442"/>
      <c r="J71" s="442"/>
      <c r="K71" s="442"/>
      <c r="L71" s="442"/>
      <c r="M71" s="51"/>
      <c r="N71" s="443"/>
      <c r="O71" s="443"/>
      <c r="P71" s="444"/>
      <c r="Q71" s="444"/>
      <c r="R71" s="418"/>
      <c r="S71" s="418"/>
      <c r="T71" s="418"/>
      <c r="U71" s="418"/>
      <c r="V71" s="418"/>
      <c r="W71" s="418"/>
      <c r="X71" s="418"/>
      <c r="Y71" s="418"/>
      <c r="Z71" s="418"/>
      <c r="AA71" s="418"/>
      <c r="AB71" s="442"/>
      <c r="AC71" s="442"/>
      <c r="AD71" s="445"/>
      <c r="AF71" s="50"/>
    </row>
    <row r="72" spans="1:32" ht="25.5" customHeight="1">
      <c r="A72" s="437">
        <v>9</v>
      </c>
      <c r="B72" s="438"/>
      <c r="C72" s="104"/>
      <c r="D72" s="199"/>
      <c r="E72" s="196"/>
      <c r="F72" s="447"/>
      <c r="G72" s="442"/>
      <c r="H72" s="442"/>
      <c r="I72" s="442"/>
      <c r="J72" s="442"/>
      <c r="K72" s="442"/>
      <c r="L72" s="442"/>
      <c r="M72" s="51"/>
      <c r="N72" s="443"/>
      <c r="O72" s="443"/>
      <c r="P72" s="444"/>
      <c r="Q72" s="444"/>
      <c r="R72" s="418"/>
      <c r="S72" s="418"/>
      <c r="T72" s="418"/>
      <c r="U72" s="418"/>
      <c r="V72" s="418"/>
      <c r="W72" s="418"/>
      <c r="X72" s="418"/>
      <c r="Y72" s="418"/>
      <c r="Z72" s="418"/>
      <c r="AA72" s="418"/>
      <c r="AB72" s="442"/>
      <c r="AC72" s="442"/>
      <c r="AD72" s="445"/>
      <c r="AF72" s="50"/>
    </row>
    <row r="73" spans="1:32" ht="25.5" customHeight="1">
      <c r="A73" s="437">
        <v>10</v>
      </c>
      <c r="B73" s="438"/>
      <c r="C73" s="104"/>
      <c r="D73" s="199"/>
      <c r="E73" s="196"/>
      <c r="F73" s="447"/>
      <c r="G73" s="442"/>
      <c r="H73" s="442"/>
      <c r="I73" s="442"/>
      <c r="J73" s="442"/>
      <c r="K73" s="442"/>
      <c r="L73" s="442"/>
      <c r="M73" s="51"/>
      <c r="N73" s="443"/>
      <c r="O73" s="443"/>
      <c r="P73" s="444"/>
      <c r="Q73" s="444"/>
      <c r="R73" s="418"/>
      <c r="S73" s="418"/>
      <c r="T73" s="418"/>
      <c r="U73" s="418"/>
      <c r="V73" s="418"/>
      <c r="W73" s="418"/>
      <c r="X73" s="418"/>
      <c r="Y73" s="418"/>
      <c r="Z73" s="418"/>
      <c r="AA73" s="418"/>
      <c r="AB73" s="442"/>
      <c r="AC73" s="442"/>
      <c r="AD73" s="445"/>
      <c r="AF73" s="50"/>
    </row>
    <row r="74" spans="1:32" ht="26.25" customHeight="1" thickBot="1">
      <c r="A74" s="448" t="s">
        <v>336</v>
      </c>
      <c r="B74" s="448"/>
      <c r="C74" s="448"/>
      <c r="D74" s="448"/>
      <c r="E74" s="44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49" t="s">
        <v>134</v>
      </c>
      <c r="B75" s="450"/>
      <c r="C75" s="198" t="s">
        <v>2</v>
      </c>
      <c r="D75" s="198" t="s">
        <v>37</v>
      </c>
      <c r="E75" s="198" t="s">
        <v>128</v>
      </c>
      <c r="F75" s="450" t="s">
        <v>38</v>
      </c>
      <c r="G75" s="450"/>
      <c r="H75" s="450"/>
      <c r="I75" s="450"/>
      <c r="J75" s="450"/>
      <c r="K75" s="451" t="s">
        <v>58</v>
      </c>
      <c r="L75" s="452"/>
      <c r="M75" s="452"/>
      <c r="N75" s="452"/>
      <c r="O75" s="452"/>
      <c r="P75" s="452"/>
      <c r="Q75" s="452"/>
      <c r="R75" s="452"/>
      <c r="S75" s="453"/>
      <c r="T75" s="450" t="s">
        <v>49</v>
      </c>
      <c r="U75" s="450"/>
      <c r="V75" s="451" t="s">
        <v>50</v>
      </c>
      <c r="W75" s="453"/>
      <c r="X75" s="452" t="s">
        <v>51</v>
      </c>
      <c r="Y75" s="452"/>
      <c r="Z75" s="452"/>
      <c r="AA75" s="452"/>
      <c r="AB75" s="452"/>
      <c r="AC75" s="452"/>
      <c r="AD75" s="454"/>
      <c r="AF75" s="50"/>
    </row>
    <row r="76" spans="1:32" ht="33.75" customHeight="1">
      <c r="A76" s="463">
        <v>1</v>
      </c>
      <c r="B76" s="464"/>
      <c r="C76" s="200" t="s">
        <v>112</v>
      </c>
      <c r="D76" s="200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44118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55">
        <f>A76+1</f>
        <v>2</v>
      </c>
      <c r="B77" s="456"/>
      <c r="C77" s="199"/>
      <c r="D77" s="199"/>
      <c r="E77" s="32"/>
      <c r="F77" s="456"/>
      <c r="G77" s="456"/>
      <c r="H77" s="456"/>
      <c r="I77" s="456"/>
      <c r="J77" s="456"/>
      <c r="K77" s="457"/>
      <c r="L77" s="458"/>
      <c r="M77" s="458"/>
      <c r="N77" s="458"/>
      <c r="O77" s="458"/>
      <c r="P77" s="458"/>
      <c r="Q77" s="458"/>
      <c r="R77" s="458"/>
      <c r="S77" s="459"/>
      <c r="T77" s="460"/>
      <c r="U77" s="460"/>
      <c r="V77" s="460"/>
      <c r="W77" s="460"/>
      <c r="X77" s="461"/>
      <c r="Y77" s="461"/>
      <c r="Z77" s="461"/>
      <c r="AA77" s="461"/>
      <c r="AB77" s="461"/>
      <c r="AC77" s="461"/>
      <c r="AD77" s="462"/>
      <c r="AF77" s="50"/>
    </row>
    <row r="78" spans="1:32" ht="30" customHeight="1">
      <c r="A78" s="455">
        <f t="shared" ref="A78:A82" si="19">A77+1</f>
        <v>3</v>
      </c>
      <c r="B78" s="456"/>
      <c r="C78" s="199"/>
      <c r="D78" s="199"/>
      <c r="E78" s="32"/>
      <c r="F78" s="456"/>
      <c r="G78" s="456"/>
      <c r="H78" s="456"/>
      <c r="I78" s="456"/>
      <c r="J78" s="456"/>
      <c r="K78" s="457"/>
      <c r="L78" s="458"/>
      <c r="M78" s="458"/>
      <c r="N78" s="458"/>
      <c r="O78" s="458"/>
      <c r="P78" s="458"/>
      <c r="Q78" s="458"/>
      <c r="R78" s="458"/>
      <c r="S78" s="459"/>
      <c r="T78" s="460"/>
      <c r="U78" s="460"/>
      <c r="V78" s="460"/>
      <c r="W78" s="460"/>
      <c r="X78" s="461"/>
      <c r="Y78" s="461"/>
      <c r="Z78" s="461"/>
      <c r="AA78" s="461"/>
      <c r="AB78" s="461"/>
      <c r="AC78" s="461"/>
      <c r="AD78" s="462"/>
      <c r="AF78" s="50"/>
    </row>
    <row r="79" spans="1:32" ht="30" customHeight="1">
      <c r="A79" s="455">
        <f t="shared" si="19"/>
        <v>4</v>
      </c>
      <c r="B79" s="456"/>
      <c r="C79" s="199"/>
      <c r="D79" s="199"/>
      <c r="E79" s="32"/>
      <c r="F79" s="456"/>
      <c r="G79" s="456"/>
      <c r="H79" s="456"/>
      <c r="I79" s="456"/>
      <c r="J79" s="456"/>
      <c r="K79" s="457"/>
      <c r="L79" s="458"/>
      <c r="M79" s="458"/>
      <c r="N79" s="458"/>
      <c r="O79" s="458"/>
      <c r="P79" s="458"/>
      <c r="Q79" s="458"/>
      <c r="R79" s="458"/>
      <c r="S79" s="459"/>
      <c r="T79" s="460"/>
      <c r="U79" s="460"/>
      <c r="V79" s="460"/>
      <c r="W79" s="460"/>
      <c r="X79" s="461"/>
      <c r="Y79" s="461"/>
      <c r="Z79" s="461"/>
      <c r="AA79" s="461"/>
      <c r="AB79" s="461"/>
      <c r="AC79" s="461"/>
      <c r="AD79" s="462"/>
      <c r="AF79" s="50"/>
    </row>
    <row r="80" spans="1:32" ht="30" customHeight="1">
      <c r="A80" s="455">
        <f t="shared" si="19"/>
        <v>5</v>
      </c>
      <c r="B80" s="456"/>
      <c r="C80" s="199"/>
      <c r="D80" s="199"/>
      <c r="E80" s="32"/>
      <c r="F80" s="456"/>
      <c r="G80" s="456"/>
      <c r="H80" s="456"/>
      <c r="I80" s="456"/>
      <c r="J80" s="456"/>
      <c r="K80" s="457"/>
      <c r="L80" s="458"/>
      <c r="M80" s="458"/>
      <c r="N80" s="458"/>
      <c r="O80" s="458"/>
      <c r="P80" s="458"/>
      <c r="Q80" s="458"/>
      <c r="R80" s="458"/>
      <c r="S80" s="459"/>
      <c r="T80" s="460"/>
      <c r="U80" s="460"/>
      <c r="V80" s="460"/>
      <c r="W80" s="460"/>
      <c r="X80" s="461"/>
      <c r="Y80" s="461"/>
      <c r="Z80" s="461"/>
      <c r="AA80" s="461"/>
      <c r="AB80" s="461"/>
      <c r="AC80" s="461"/>
      <c r="AD80" s="462"/>
      <c r="AF80" s="50"/>
    </row>
    <row r="81" spans="1:32" ht="30" customHeight="1">
      <c r="A81" s="455">
        <f t="shared" si="19"/>
        <v>6</v>
      </c>
      <c r="B81" s="456"/>
      <c r="C81" s="199"/>
      <c r="D81" s="199"/>
      <c r="E81" s="32"/>
      <c r="F81" s="456"/>
      <c r="G81" s="456"/>
      <c r="H81" s="456"/>
      <c r="I81" s="456"/>
      <c r="J81" s="456"/>
      <c r="K81" s="457"/>
      <c r="L81" s="458"/>
      <c r="M81" s="458"/>
      <c r="N81" s="458"/>
      <c r="O81" s="458"/>
      <c r="P81" s="458"/>
      <c r="Q81" s="458"/>
      <c r="R81" s="458"/>
      <c r="S81" s="459"/>
      <c r="T81" s="460"/>
      <c r="U81" s="460"/>
      <c r="V81" s="460"/>
      <c r="W81" s="460"/>
      <c r="X81" s="461"/>
      <c r="Y81" s="461"/>
      <c r="Z81" s="461"/>
      <c r="AA81" s="461"/>
      <c r="AB81" s="461"/>
      <c r="AC81" s="461"/>
      <c r="AD81" s="462"/>
      <c r="AF81" s="50"/>
    </row>
    <row r="82" spans="1:32" ht="30" customHeight="1">
      <c r="A82" s="455">
        <f t="shared" si="19"/>
        <v>7</v>
      </c>
      <c r="B82" s="456"/>
      <c r="C82" s="199"/>
      <c r="D82" s="199"/>
      <c r="E82" s="32"/>
      <c r="F82" s="456"/>
      <c r="G82" s="456"/>
      <c r="H82" s="456"/>
      <c r="I82" s="456"/>
      <c r="J82" s="456"/>
      <c r="K82" s="457"/>
      <c r="L82" s="458"/>
      <c r="M82" s="458"/>
      <c r="N82" s="458"/>
      <c r="O82" s="458"/>
      <c r="P82" s="458"/>
      <c r="Q82" s="458"/>
      <c r="R82" s="458"/>
      <c r="S82" s="459"/>
      <c r="T82" s="460"/>
      <c r="U82" s="460"/>
      <c r="V82" s="460"/>
      <c r="W82" s="460"/>
      <c r="X82" s="461"/>
      <c r="Y82" s="461"/>
      <c r="Z82" s="461"/>
      <c r="AA82" s="461"/>
      <c r="AB82" s="461"/>
      <c r="AC82" s="461"/>
      <c r="AD82" s="462"/>
      <c r="AF82" s="50"/>
    </row>
    <row r="83" spans="1:32" ht="36" thickBot="1">
      <c r="A83" s="448" t="s">
        <v>337</v>
      </c>
      <c r="B83" s="448"/>
      <c r="C83" s="448"/>
      <c r="D83" s="448"/>
      <c r="E83" s="44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49" t="s">
        <v>111</v>
      </c>
      <c r="B84" s="450"/>
      <c r="C84" s="476" t="s">
        <v>52</v>
      </c>
      <c r="D84" s="476"/>
      <c r="E84" s="476" t="s">
        <v>53</v>
      </c>
      <c r="F84" s="476"/>
      <c r="G84" s="476"/>
      <c r="H84" s="476"/>
      <c r="I84" s="476"/>
      <c r="J84" s="476"/>
      <c r="K84" s="476" t="s">
        <v>54</v>
      </c>
      <c r="L84" s="476"/>
      <c r="M84" s="476"/>
      <c r="N84" s="476"/>
      <c r="O84" s="476"/>
      <c r="P84" s="476"/>
      <c r="Q84" s="476"/>
      <c r="R84" s="476"/>
      <c r="S84" s="476"/>
      <c r="T84" s="476" t="s">
        <v>55</v>
      </c>
      <c r="U84" s="476"/>
      <c r="V84" s="476" t="s">
        <v>56</v>
      </c>
      <c r="W84" s="476"/>
      <c r="X84" s="476"/>
      <c r="Y84" s="476" t="s">
        <v>51</v>
      </c>
      <c r="Z84" s="476"/>
      <c r="AA84" s="476"/>
      <c r="AB84" s="476"/>
      <c r="AC84" s="476"/>
      <c r="AD84" s="477"/>
      <c r="AF84" s="50"/>
    </row>
    <row r="85" spans="1:32" ht="30.75" customHeight="1">
      <c r="A85" s="463">
        <v>1</v>
      </c>
      <c r="B85" s="464"/>
      <c r="C85" s="478"/>
      <c r="D85" s="478"/>
      <c r="E85" s="478"/>
      <c r="F85" s="478"/>
      <c r="G85" s="478"/>
      <c r="H85" s="478"/>
      <c r="I85" s="478"/>
      <c r="J85" s="478"/>
      <c r="K85" s="478"/>
      <c r="L85" s="478"/>
      <c r="M85" s="478"/>
      <c r="N85" s="478"/>
      <c r="O85" s="478"/>
      <c r="P85" s="478"/>
      <c r="Q85" s="478"/>
      <c r="R85" s="478"/>
      <c r="S85" s="478"/>
      <c r="T85" s="478"/>
      <c r="U85" s="478"/>
      <c r="V85" s="479"/>
      <c r="W85" s="479"/>
      <c r="X85" s="479"/>
      <c r="Y85" s="480"/>
      <c r="Z85" s="480"/>
      <c r="AA85" s="480"/>
      <c r="AB85" s="480"/>
      <c r="AC85" s="480"/>
      <c r="AD85" s="481"/>
      <c r="AF85" s="50"/>
    </row>
    <row r="86" spans="1:32" ht="30.75" customHeight="1">
      <c r="A86" s="455">
        <v>2</v>
      </c>
      <c r="B86" s="456"/>
      <c r="C86" s="489"/>
      <c r="D86" s="489"/>
      <c r="E86" s="489"/>
      <c r="F86" s="489"/>
      <c r="G86" s="489"/>
      <c r="H86" s="489"/>
      <c r="I86" s="489"/>
      <c r="J86" s="489"/>
      <c r="K86" s="489"/>
      <c r="L86" s="489"/>
      <c r="M86" s="489"/>
      <c r="N86" s="489"/>
      <c r="O86" s="489"/>
      <c r="P86" s="489"/>
      <c r="Q86" s="489"/>
      <c r="R86" s="489"/>
      <c r="S86" s="489"/>
      <c r="T86" s="490"/>
      <c r="U86" s="490"/>
      <c r="V86" s="491"/>
      <c r="W86" s="491"/>
      <c r="X86" s="491"/>
      <c r="Y86" s="482"/>
      <c r="Z86" s="482"/>
      <c r="AA86" s="482"/>
      <c r="AB86" s="482"/>
      <c r="AC86" s="482"/>
      <c r="AD86" s="483"/>
      <c r="AF86" s="50"/>
    </row>
    <row r="87" spans="1:32" ht="30.75" customHeight="1" thickBot="1">
      <c r="A87" s="484">
        <v>3</v>
      </c>
      <c r="B87" s="485"/>
      <c r="C87" s="486"/>
      <c r="D87" s="486"/>
      <c r="E87" s="486"/>
      <c r="F87" s="486"/>
      <c r="G87" s="486"/>
      <c r="H87" s="486"/>
      <c r="I87" s="486"/>
      <c r="J87" s="486"/>
      <c r="K87" s="486"/>
      <c r="L87" s="486"/>
      <c r="M87" s="486"/>
      <c r="N87" s="486"/>
      <c r="O87" s="486"/>
      <c r="P87" s="486"/>
      <c r="Q87" s="486"/>
      <c r="R87" s="486"/>
      <c r="S87" s="486"/>
      <c r="T87" s="486"/>
      <c r="U87" s="486"/>
      <c r="V87" s="486"/>
      <c r="W87" s="486"/>
      <c r="X87" s="486"/>
      <c r="Y87" s="487"/>
      <c r="Z87" s="487"/>
      <c r="AA87" s="487"/>
      <c r="AB87" s="487"/>
      <c r="AC87" s="487"/>
      <c r="AD87" s="488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2E1C-94AD-4C0A-B499-78344D8B9FCA}">
  <dimension ref="A1:AF87"/>
  <sheetViews>
    <sheetView view="pageBreakPreview" topLeftCell="A25" zoomScale="70" zoomScaleNormal="72" zoomScaleSheetLayoutView="70" workbookViewId="0">
      <selection activeCell="F71" sqref="F71:J7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70" t="s">
        <v>338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5"/>
      <c r="T4" s="405"/>
      <c r="U4" s="405"/>
      <c r="V4" s="405"/>
      <c r="W4" s="406" t="s">
        <v>11</v>
      </c>
      <c r="X4" s="405"/>
      <c r="Y4" s="405"/>
      <c r="Z4" s="405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201" t="s">
        <v>17</v>
      </c>
      <c r="L5" s="201" t="s">
        <v>18</v>
      </c>
      <c r="M5" s="201" t="s">
        <v>19</v>
      </c>
      <c r="N5" s="20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125</v>
      </c>
      <c r="E6" s="53" t="s">
        <v>339</v>
      </c>
      <c r="F6" s="30" t="s">
        <v>206</v>
      </c>
      <c r="G6" s="12">
        <v>1</v>
      </c>
      <c r="H6" s="13">
        <v>24</v>
      </c>
      <c r="I6" s="7">
        <v>55000</v>
      </c>
      <c r="J6" s="14">
        <v>3674</v>
      </c>
      <c r="K6" s="15">
        <f>L6</f>
        <v>3674</v>
      </c>
      <c r="L6" s="15">
        <f>100+3574</f>
        <v>3674</v>
      </c>
      <c r="M6" s="15">
        <f t="shared" ref="M6:M21" si="0">L6-N6</f>
        <v>3674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15</v>
      </c>
      <c r="Q6" s="40">
        <f t="shared" ref="Q6:Q21" si="3">SUM(R6:AA6)</f>
        <v>9</v>
      </c>
      <c r="R6" s="7"/>
      <c r="S6" s="6">
        <v>9</v>
      </c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0.625</v>
      </c>
      <c r="AD6" s="10">
        <f t="shared" ref="AD6:AD21" si="6">AC6*AB6*(1-O6)</f>
        <v>0.625</v>
      </c>
      <c r="AE6" s="36">
        <f t="shared" ref="AE6:AE21" si="7">$AD$22</f>
        <v>0.49218750000000006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 t="s">
        <v>131</v>
      </c>
      <c r="E7" s="53" t="s">
        <v>139</v>
      </c>
      <c r="F7" s="12" t="s">
        <v>133</v>
      </c>
      <c r="G7" s="12">
        <v>1</v>
      </c>
      <c r="H7" s="13">
        <v>24</v>
      </c>
      <c r="I7" s="31">
        <v>50000</v>
      </c>
      <c r="J7" s="14">
        <v>6007</v>
      </c>
      <c r="K7" s="15">
        <f>L7+4913+5878+5650</f>
        <v>22448</v>
      </c>
      <c r="L7" s="15">
        <f>2963+3044</f>
        <v>6007</v>
      </c>
      <c r="M7" s="15">
        <f t="shared" si="0"/>
        <v>6007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0.49218750000000006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/>
      <c r="E8" s="53" t="s">
        <v>321</v>
      </c>
      <c r="F8" s="30" t="s">
        <v>340</v>
      </c>
      <c r="G8" s="33">
        <v>1</v>
      </c>
      <c r="H8" s="35">
        <v>24</v>
      </c>
      <c r="I8" s="7">
        <v>50500</v>
      </c>
      <c r="J8" s="5">
        <v>4349</v>
      </c>
      <c r="K8" s="15">
        <f>L8</f>
        <v>4349</v>
      </c>
      <c r="L8" s="15">
        <f>1613+2736</f>
        <v>4349</v>
      </c>
      <c r="M8" s="15">
        <f t="shared" si="0"/>
        <v>4349</v>
      </c>
      <c r="N8" s="15">
        <v>0</v>
      </c>
      <c r="O8" s="58">
        <f t="shared" si="1"/>
        <v>0</v>
      </c>
      <c r="P8" s="39">
        <f t="shared" si="2"/>
        <v>20</v>
      </c>
      <c r="Q8" s="40">
        <f t="shared" si="3"/>
        <v>4</v>
      </c>
      <c r="R8" s="7"/>
      <c r="S8" s="6">
        <v>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0.83333333333333337</v>
      </c>
      <c r="AD8" s="10">
        <f t="shared" si="6"/>
        <v>0.83333333333333337</v>
      </c>
      <c r="AE8" s="36">
        <f t="shared" si="7"/>
        <v>0.49218750000000006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119</v>
      </c>
      <c r="D9" s="52" t="s">
        <v>115</v>
      </c>
      <c r="E9" s="53" t="s">
        <v>222</v>
      </c>
      <c r="F9" s="30" t="s">
        <v>236</v>
      </c>
      <c r="G9" s="12">
        <v>2</v>
      </c>
      <c r="H9" s="13">
        <v>24</v>
      </c>
      <c r="I9" s="7">
        <v>50000</v>
      </c>
      <c r="J9" s="14">
        <v>10304</v>
      </c>
      <c r="K9" s="15">
        <f>L9+7346+9814+10270+9750</f>
        <v>47484</v>
      </c>
      <c r="L9" s="15">
        <f>2610*2+2542*2</f>
        <v>10304</v>
      </c>
      <c r="M9" s="15">
        <f t="shared" si="0"/>
        <v>10304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0.49218750000000006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119</v>
      </c>
      <c r="D10" s="52" t="s">
        <v>195</v>
      </c>
      <c r="E10" s="53" t="s">
        <v>262</v>
      </c>
      <c r="F10" s="30" t="s">
        <v>158</v>
      </c>
      <c r="G10" s="33">
        <v>2</v>
      </c>
      <c r="H10" s="35">
        <v>24</v>
      </c>
      <c r="I10" s="7">
        <v>50000</v>
      </c>
      <c r="J10" s="14">
        <v>3366</v>
      </c>
      <c r="K10" s="15">
        <f>L10+3366</f>
        <v>3366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0.49218750000000006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263</v>
      </c>
      <c r="E11" s="53" t="s">
        <v>264</v>
      </c>
      <c r="F11" s="30" t="s">
        <v>206</v>
      </c>
      <c r="G11" s="33">
        <v>16</v>
      </c>
      <c r="H11" s="35">
        <v>24</v>
      </c>
      <c r="I11" s="7">
        <v>100000</v>
      </c>
      <c r="J11" s="14">
        <v>67990</v>
      </c>
      <c r="K11" s="15">
        <f>L11+49500+67990</f>
        <v>117490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0.49218750000000006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149</v>
      </c>
      <c r="F12" s="30" t="s">
        <v>142</v>
      </c>
      <c r="G12" s="12">
        <v>1</v>
      </c>
      <c r="H12" s="13">
        <v>22</v>
      </c>
      <c r="I12" s="31">
        <v>100000</v>
      </c>
      <c r="J12" s="5">
        <v>4852</v>
      </c>
      <c r="K12" s="15">
        <f>L12+3980+4963+4857+4991+5052+5074+5369+4402+4760+5003+4109+5018+5406+4902+5041+5019+5033+5053+4646+3593+3896+4100+5014+4829</f>
        <v>118962</v>
      </c>
      <c r="L12" s="15">
        <f>2531+2321</f>
        <v>4852</v>
      </c>
      <c r="M12" s="15">
        <f t="shared" si="0"/>
        <v>4852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0.49218750000000006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119</v>
      </c>
      <c r="D13" s="52" t="s">
        <v>195</v>
      </c>
      <c r="E13" s="53" t="s">
        <v>262</v>
      </c>
      <c r="F13" s="30" t="s">
        <v>158</v>
      </c>
      <c r="G13" s="33">
        <v>2</v>
      </c>
      <c r="H13" s="35">
        <v>24</v>
      </c>
      <c r="I13" s="7">
        <v>50000</v>
      </c>
      <c r="J13" s="14">
        <v>12320</v>
      </c>
      <c r="K13" s="15">
        <f>L13+3366+8798</f>
        <v>24484</v>
      </c>
      <c r="L13" s="15">
        <f>3106*2+3054*2</f>
        <v>12320</v>
      </c>
      <c r="M13" s="15">
        <f t="shared" si="0"/>
        <v>12320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0.49218750000000006</v>
      </c>
      <c r="AF13" s="84">
        <f t="shared" si="8"/>
        <v>8</v>
      </c>
    </row>
    <row r="14" spans="1:32" ht="27" customHeight="1">
      <c r="A14" s="105">
        <v>9</v>
      </c>
      <c r="B14" s="11" t="s">
        <v>156</v>
      </c>
      <c r="C14" s="34" t="s">
        <v>112</v>
      </c>
      <c r="D14" s="52" t="s">
        <v>115</v>
      </c>
      <c r="E14" s="53" t="s">
        <v>153</v>
      </c>
      <c r="F14" s="30" t="s">
        <v>144</v>
      </c>
      <c r="G14" s="33">
        <v>1</v>
      </c>
      <c r="H14" s="35">
        <v>50</v>
      </c>
      <c r="I14" s="7">
        <v>50</v>
      </c>
      <c r="J14" s="5"/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0.49218750000000006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125</v>
      </c>
      <c r="E15" s="53" t="s">
        <v>150</v>
      </c>
      <c r="F15" s="12" t="s">
        <v>138</v>
      </c>
      <c r="G15" s="12">
        <v>1</v>
      </c>
      <c r="H15" s="13">
        <v>24</v>
      </c>
      <c r="I15" s="31">
        <v>6500</v>
      </c>
      <c r="J15" s="14">
        <v>5214</v>
      </c>
      <c r="K15" s="15">
        <f>L15+2059+5272+5214</f>
        <v>12545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0.49218750000000006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195</v>
      </c>
      <c r="E16" s="53" t="s">
        <v>238</v>
      </c>
      <c r="F16" s="30" t="s">
        <v>213</v>
      </c>
      <c r="G16" s="12">
        <v>1</v>
      </c>
      <c r="H16" s="13">
        <v>24</v>
      </c>
      <c r="I16" s="7">
        <v>20000</v>
      </c>
      <c r="J16" s="14">
        <v>2900</v>
      </c>
      <c r="K16" s="15">
        <f>L16+2991+6138+5924+2900</f>
        <v>17953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10</v>
      </c>
      <c r="R16" s="7"/>
      <c r="S16" s="6"/>
      <c r="T16" s="16"/>
      <c r="U16" s="16"/>
      <c r="V16" s="17"/>
      <c r="W16" s="5">
        <v>10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0.49218750000000006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112</v>
      </c>
      <c r="D17" s="52" t="s">
        <v>275</v>
      </c>
      <c r="E17" s="53" t="s">
        <v>276</v>
      </c>
      <c r="F17" s="30" t="s">
        <v>132</v>
      </c>
      <c r="G17" s="12">
        <v>1</v>
      </c>
      <c r="H17" s="13">
        <v>24</v>
      </c>
      <c r="I17" s="7">
        <v>5000</v>
      </c>
      <c r="J17" s="14">
        <v>815</v>
      </c>
      <c r="K17" s="15">
        <f>L17+2580+5758</f>
        <v>9153</v>
      </c>
      <c r="L17" s="15">
        <v>815</v>
      </c>
      <c r="M17" s="15">
        <f t="shared" si="0"/>
        <v>815</v>
      </c>
      <c r="N17" s="15">
        <v>0</v>
      </c>
      <c r="O17" s="58">
        <f t="shared" si="1"/>
        <v>0</v>
      </c>
      <c r="P17" s="39">
        <f t="shared" si="2"/>
        <v>4</v>
      </c>
      <c r="Q17" s="40">
        <f t="shared" si="3"/>
        <v>20</v>
      </c>
      <c r="R17" s="7"/>
      <c r="S17" s="6"/>
      <c r="T17" s="16"/>
      <c r="U17" s="16"/>
      <c r="V17" s="17"/>
      <c r="W17" s="5">
        <v>20</v>
      </c>
      <c r="X17" s="16"/>
      <c r="Y17" s="16"/>
      <c r="Z17" s="16"/>
      <c r="AA17" s="18"/>
      <c r="AB17" s="8">
        <f t="shared" si="4"/>
        <v>1</v>
      </c>
      <c r="AC17" s="9">
        <f t="shared" si="5"/>
        <v>0.16666666666666666</v>
      </c>
      <c r="AD17" s="10">
        <f t="shared" si="6"/>
        <v>0.16666666666666666</v>
      </c>
      <c r="AE17" s="36">
        <f t="shared" si="7"/>
        <v>0.49218750000000006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182</v>
      </c>
      <c r="F18" s="30" t="s">
        <v>169</v>
      </c>
      <c r="G18" s="33">
        <v>1</v>
      </c>
      <c r="H18" s="35">
        <v>24</v>
      </c>
      <c r="I18" s="7">
        <v>4000</v>
      </c>
      <c r="J18" s="14">
        <v>5561</v>
      </c>
      <c r="K18" s="15">
        <f>L18</f>
        <v>5561</v>
      </c>
      <c r="L18" s="15">
        <f>2440+3121</f>
        <v>5561</v>
      </c>
      <c r="M18" s="15">
        <f t="shared" si="0"/>
        <v>5561</v>
      </c>
      <c r="N18" s="15">
        <v>0</v>
      </c>
      <c r="O18" s="58">
        <f t="shared" si="1"/>
        <v>0</v>
      </c>
      <c r="P18" s="39">
        <f t="shared" si="2"/>
        <v>23</v>
      </c>
      <c r="Q18" s="40">
        <f t="shared" si="3"/>
        <v>1</v>
      </c>
      <c r="R18" s="7"/>
      <c r="S18" s="6">
        <v>1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0.95833333333333337</v>
      </c>
      <c r="AD18" s="10">
        <f t="shared" si="6"/>
        <v>0.95833333333333337</v>
      </c>
      <c r="AE18" s="36">
        <f t="shared" si="7"/>
        <v>0.49218750000000006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125</v>
      </c>
      <c r="E19" s="53" t="s">
        <v>225</v>
      </c>
      <c r="F19" s="30" t="s">
        <v>171</v>
      </c>
      <c r="G19" s="33">
        <v>1</v>
      </c>
      <c r="H19" s="35">
        <v>24</v>
      </c>
      <c r="I19" s="7">
        <v>2000</v>
      </c>
      <c r="J19" s="14">
        <v>2054</v>
      </c>
      <c r="K19" s="15">
        <f>L19+5363+2054</f>
        <v>7417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0.49218750000000006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151</v>
      </c>
      <c r="F20" s="30" t="s">
        <v>142</v>
      </c>
      <c r="G20" s="12">
        <v>1</v>
      </c>
      <c r="H20" s="13">
        <v>24</v>
      </c>
      <c r="I20" s="7">
        <v>17100</v>
      </c>
      <c r="J20" s="14">
        <v>3838</v>
      </c>
      <c r="K20" s="15">
        <f>L20</f>
        <v>3838</v>
      </c>
      <c r="L20" s="15">
        <f>1086+2752</f>
        <v>3838</v>
      </c>
      <c r="M20" s="15">
        <f t="shared" si="0"/>
        <v>3838</v>
      </c>
      <c r="N20" s="15">
        <v>0</v>
      </c>
      <c r="O20" s="58">
        <f t="shared" si="1"/>
        <v>0</v>
      </c>
      <c r="P20" s="39">
        <f t="shared" si="2"/>
        <v>19</v>
      </c>
      <c r="Q20" s="40">
        <f t="shared" si="3"/>
        <v>5</v>
      </c>
      <c r="R20" s="7"/>
      <c r="S20" s="6">
        <v>5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0.79166666666666663</v>
      </c>
      <c r="AD20" s="10">
        <f t="shared" si="6"/>
        <v>0.79166666666666663</v>
      </c>
      <c r="AE20" s="36">
        <f t="shared" si="7"/>
        <v>0.49218750000000006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140</v>
      </c>
      <c r="F21" s="12" t="s">
        <v>114</v>
      </c>
      <c r="G21" s="12">
        <v>4</v>
      </c>
      <c r="H21" s="35">
        <v>20</v>
      </c>
      <c r="I21" s="7">
        <v>500000</v>
      </c>
      <c r="J21" s="14">
        <v>36912</v>
      </c>
      <c r="K21" s="15">
        <f>L21+29516+33412+34840+28200+28768</f>
        <v>191648</v>
      </c>
      <c r="L21" s="15">
        <f>9228*4</f>
        <v>36912</v>
      </c>
      <c r="M21" s="15">
        <f t="shared" si="0"/>
        <v>36912</v>
      </c>
      <c r="N21" s="15">
        <v>0</v>
      </c>
      <c r="O21" s="58">
        <f t="shared" si="1"/>
        <v>0</v>
      </c>
      <c r="P21" s="39">
        <f t="shared" si="2"/>
        <v>12</v>
      </c>
      <c r="Q21" s="40">
        <f t="shared" si="3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</v>
      </c>
      <c r="AD21" s="10">
        <f t="shared" si="6"/>
        <v>0.5</v>
      </c>
      <c r="AE21" s="36">
        <f t="shared" si="7"/>
        <v>0.49218750000000006</v>
      </c>
      <c r="AF21" s="84">
        <f t="shared" si="8"/>
        <v>16</v>
      </c>
    </row>
    <row r="22" spans="1:32" ht="31.5" customHeight="1" thickBot="1">
      <c r="A22" s="384" t="s">
        <v>34</v>
      </c>
      <c r="B22" s="385"/>
      <c r="C22" s="385"/>
      <c r="D22" s="385"/>
      <c r="E22" s="385"/>
      <c r="F22" s="385"/>
      <c r="G22" s="385"/>
      <c r="H22" s="386"/>
      <c r="I22" s="22">
        <f t="shared" ref="I22:N22" si="9">SUM(I6:I21)</f>
        <v>1060150</v>
      </c>
      <c r="J22" s="19">
        <f t="shared" si="9"/>
        <v>170156</v>
      </c>
      <c r="K22" s="20">
        <f t="shared" si="9"/>
        <v>590372</v>
      </c>
      <c r="L22" s="21">
        <f t="shared" si="9"/>
        <v>88632</v>
      </c>
      <c r="M22" s="20">
        <f t="shared" si="9"/>
        <v>88632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189</v>
      </c>
      <c r="Q22" s="43">
        <f t="shared" si="10"/>
        <v>181</v>
      </c>
      <c r="R22" s="23">
        <f t="shared" si="10"/>
        <v>24</v>
      </c>
      <c r="S22" s="24">
        <f t="shared" si="10"/>
        <v>43</v>
      </c>
      <c r="T22" s="24">
        <f t="shared" si="10"/>
        <v>0</v>
      </c>
      <c r="U22" s="24">
        <f t="shared" si="10"/>
        <v>0</v>
      </c>
      <c r="V22" s="25">
        <f t="shared" si="10"/>
        <v>12</v>
      </c>
      <c r="W22" s="26">
        <f t="shared" si="10"/>
        <v>78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24</v>
      </c>
      <c r="AB22" s="28">
        <f>AVERAGE(AB6:AB21)</f>
        <v>0.66666666666666663</v>
      </c>
      <c r="AC22" s="4">
        <f>AVERAGE(AC6:AC21)</f>
        <v>0.49218750000000006</v>
      </c>
      <c r="AD22" s="4">
        <f>AVERAGE(AD6:AD21)</f>
        <v>0.49218750000000006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387" t="s">
        <v>45</v>
      </c>
      <c r="B49" s="387"/>
      <c r="C49" s="387"/>
      <c r="D49" s="387"/>
      <c r="E49" s="38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388" t="s">
        <v>341</v>
      </c>
      <c r="B50" s="389"/>
      <c r="C50" s="389"/>
      <c r="D50" s="389"/>
      <c r="E50" s="389"/>
      <c r="F50" s="389"/>
      <c r="G50" s="389"/>
      <c r="H50" s="389"/>
      <c r="I50" s="389"/>
      <c r="J50" s="389"/>
      <c r="K50" s="389"/>
      <c r="L50" s="389"/>
      <c r="M50" s="390"/>
      <c r="N50" s="391" t="s">
        <v>345</v>
      </c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  <c r="AA50" s="392"/>
      <c r="AB50" s="392"/>
      <c r="AC50" s="392"/>
      <c r="AD50" s="393"/>
    </row>
    <row r="51" spans="1:32" ht="27" customHeight="1">
      <c r="A51" s="394" t="s">
        <v>2</v>
      </c>
      <c r="B51" s="395"/>
      <c r="C51" s="202" t="s">
        <v>46</v>
      </c>
      <c r="D51" s="202" t="s">
        <v>47</v>
      </c>
      <c r="E51" s="202" t="s">
        <v>107</v>
      </c>
      <c r="F51" s="396" t="s">
        <v>106</v>
      </c>
      <c r="G51" s="397"/>
      <c r="H51" s="397"/>
      <c r="I51" s="397"/>
      <c r="J51" s="397"/>
      <c r="K51" s="397"/>
      <c r="L51" s="397"/>
      <c r="M51" s="398"/>
      <c r="N51" s="67" t="s">
        <v>110</v>
      </c>
      <c r="O51" s="202" t="s">
        <v>46</v>
      </c>
      <c r="P51" s="396" t="s">
        <v>47</v>
      </c>
      <c r="Q51" s="399"/>
      <c r="R51" s="396" t="s">
        <v>38</v>
      </c>
      <c r="S51" s="397"/>
      <c r="T51" s="397"/>
      <c r="U51" s="399"/>
      <c r="V51" s="396" t="s">
        <v>48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420" t="s">
        <v>121</v>
      </c>
      <c r="B52" s="421"/>
      <c r="C52" s="205" t="s">
        <v>143</v>
      </c>
      <c r="D52" s="205"/>
      <c r="E52" s="205" t="s">
        <v>321</v>
      </c>
      <c r="F52" s="412" t="s">
        <v>342</v>
      </c>
      <c r="G52" s="413"/>
      <c r="H52" s="413"/>
      <c r="I52" s="413"/>
      <c r="J52" s="413"/>
      <c r="K52" s="413"/>
      <c r="L52" s="413"/>
      <c r="M52" s="414"/>
      <c r="N52" s="204" t="s">
        <v>119</v>
      </c>
      <c r="O52" s="210" t="s">
        <v>187</v>
      </c>
      <c r="P52" s="415" t="s">
        <v>202</v>
      </c>
      <c r="Q52" s="416"/>
      <c r="R52" s="415" t="s">
        <v>346</v>
      </c>
      <c r="S52" s="417"/>
      <c r="T52" s="417"/>
      <c r="U52" s="416"/>
      <c r="V52" s="418" t="s">
        <v>130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10" t="s">
        <v>112</v>
      </c>
      <c r="B53" s="411"/>
      <c r="C53" s="203" t="s">
        <v>255</v>
      </c>
      <c r="D53" s="203" t="s">
        <v>125</v>
      </c>
      <c r="E53" s="205" t="s">
        <v>339</v>
      </c>
      <c r="F53" s="412" t="s">
        <v>343</v>
      </c>
      <c r="G53" s="413"/>
      <c r="H53" s="413"/>
      <c r="I53" s="413"/>
      <c r="J53" s="413"/>
      <c r="K53" s="413"/>
      <c r="L53" s="413"/>
      <c r="M53" s="414"/>
      <c r="N53" s="204" t="s">
        <v>112</v>
      </c>
      <c r="O53" s="210" t="s">
        <v>219</v>
      </c>
      <c r="P53" s="415" t="s">
        <v>115</v>
      </c>
      <c r="Q53" s="416"/>
      <c r="R53" s="415" t="s">
        <v>347</v>
      </c>
      <c r="S53" s="417"/>
      <c r="T53" s="417"/>
      <c r="U53" s="416"/>
      <c r="V53" s="418" t="s">
        <v>130</v>
      </c>
      <c r="W53" s="418"/>
      <c r="X53" s="418"/>
      <c r="Y53" s="418"/>
      <c r="Z53" s="418"/>
      <c r="AA53" s="418"/>
      <c r="AB53" s="418"/>
      <c r="AC53" s="418"/>
      <c r="AD53" s="419"/>
    </row>
    <row r="54" spans="1:32" ht="27" customHeight="1">
      <c r="A54" s="420" t="s">
        <v>118</v>
      </c>
      <c r="B54" s="421"/>
      <c r="C54" s="205" t="s">
        <v>184</v>
      </c>
      <c r="D54" s="205" t="s">
        <v>115</v>
      </c>
      <c r="E54" s="205" t="s">
        <v>182</v>
      </c>
      <c r="F54" s="412" t="s">
        <v>344</v>
      </c>
      <c r="G54" s="413"/>
      <c r="H54" s="413"/>
      <c r="I54" s="413"/>
      <c r="J54" s="413"/>
      <c r="K54" s="413"/>
      <c r="L54" s="413"/>
      <c r="M54" s="414"/>
      <c r="N54" s="204" t="s">
        <v>112</v>
      </c>
      <c r="O54" s="210" t="s">
        <v>145</v>
      </c>
      <c r="P54" s="415" t="s">
        <v>147</v>
      </c>
      <c r="Q54" s="416"/>
      <c r="R54" s="415" t="s">
        <v>348</v>
      </c>
      <c r="S54" s="417"/>
      <c r="T54" s="417"/>
      <c r="U54" s="416"/>
      <c r="V54" s="418" t="s">
        <v>130</v>
      </c>
      <c r="W54" s="418"/>
      <c r="X54" s="418"/>
      <c r="Y54" s="418"/>
      <c r="Z54" s="418"/>
      <c r="AA54" s="418"/>
      <c r="AB54" s="418"/>
      <c r="AC54" s="418"/>
      <c r="AD54" s="419"/>
    </row>
    <row r="55" spans="1:32" ht="27" customHeight="1">
      <c r="A55" s="410" t="s">
        <v>112</v>
      </c>
      <c r="B55" s="411"/>
      <c r="C55" s="203" t="s">
        <v>199</v>
      </c>
      <c r="D55" s="203" t="s">
        <v>115</v>
      </c>
      <c r="E55" s="203" t="s">
        <v>197</v>
      </c>
      <c r="F55" s="412" t="s">
        <v>126</v>
      </c>
      <c r="G55" s="413"/>
      <c r="H55" s="413"/>
      <c r="I55" s="413"/>
      <c r="J55" s="413"/>
      <c r="K55" s="413"/>
      <c r="L55" s="413"/>
      <c r="M55" s="414"/>
      <c r="N55" s="204" t="s">
        <v>112</v>
      </c>
      <c r="O55" s="210" t="s">
        <v>184</v>
      </c>
      <c r="P55" s="415" t="s">
        <v>195</v>
      </c>
      <c r="Q55" s="416"/>
      <c r="R55" s="415" t="s">
        <v>349</v>
      </c>
      <c r="S55" s="417"/>
      <c r="T55" s="417"/>
      <c r="U55" s="416"/>
      <c r="V55" s="418" t="s">
        <v>130</v>
      </c>
      <c r="W55" s="418"/>
      <c r="X55" s="418"/>
      <c r="Y55" s="418"/>
      <c r="Z55" s="418"/>
      <c r="AA55" s="418"/>
      <c r="AB55" s="418"/>
      <c r="AC55" s="418"/>
      <c r="AD55" s="419"/>
    </row>
    <row r="56" spans="1:32" ht="27" customHeight="1">
      <c r="A56" s="410"/>
      <c r="B56" s="411"/>
      <c r="C56" s="203"/>
      <c r="D56" s="203"/>
      <c r="E56" s="205"/>
      <c r="F56" s="412"/>
      <c r="G56" s="413"/>
      <c r="H56" s="413"/>
      <c r="I56" s="413"/>
      <c r="J56" s="413"/>
      <c r="K56" s="413"/>
      <c r="L56" s="413"/>
      <c r="M56" s="414"/>
      <c r="N56" s="204" t="s">
        <v>112</v>
      </c>
      <c r="O56" s="210" t="s">
        <v>135</v>
      </c>
      <c r="P56" s="415" t="s">
        <v>224</v>
      </c>
      <c r="Q56" s="416"/>
      <c r="R56" s="415" t="s">
        <v>350</v>
      </c>
      <c r="S56" s="417"/>
      <c r="T56" s="417"/>
      <c r="U56" s="416"/>
      <c r="V56" s="418" t="s">
        <v>130</v>
      </c>
      <c r="W56" s="418"/>
      <c r="X56" s="418"/>
      <c r="Y56" s="418"/>
      <c r="Z56" s="418"/>
      <c r="AA56" s="418"/>
      <c r="AB56" s="418"/>
      <c r="AC56" s="418"/>
      <c r="AD56" s="419"/>
    </row>
    <row r="57" spans="1:32" ht="27" customHeight="1">
      <c r="A57" s="410"/>
      <c r="B57" s="411"/>
      <c r="C57" s="203"/>
      <c r="D57" s="203"/>
      <c r="E57" s="205"/>
      <c r="F57" s="412"/>
      <c r="G57" s="413"/>
      <c r="H57" s="413"/>
      <c r="I57" s="413"/>
      <c r="J57" s="413"/>
      <c r="K57" s="413"/>
      <c r="L57" s="413"/>
      <c r="M57" s="414"/>
      <c r="N57" s="204"/>
      <c r="O57" s="210"/>
      <c r="P57" s="415"/>
      <c r="Q57" s="416"/>
      <c r="R57" s="415"/>
      <c r="S57" s="417"/>
      <c r="T57" s="417"/>
      <c r="U57" s="416"/>
      <c r="V57" s="418"/>
      <c r="W57" s="418"/>
      <c r="X57" s="418"/>
      <c r="Y57" s="418"/>
      <c r="Z57" s="418"/>
      <c r="AA57" s="418"/>
      <c r="AB57" s="418"/>
      <c r="AC57" s="418"/>
      <c r="AD57" s="419"/>
    </row>
    <row r="58" spans="1:32" ht="27" customHeight="1">
      <c r="A58" s="410"/>
      <c r="B58" s="411"/>
      <c r="C58" s="203"/>
      <c r="D58" s="203"/>
      <c r="E58" s="205"/>
      <c r="F58" s="412"/>
      <c r="G58" s="413"/>
      <c r="H58" s="413"/>
      <c r="I58" s="413"/>
      <c r="J58" s="413"/>
      <c r="K58" s="413"/>
      <c r="L58" s="413"/>
      <c r="M58" s="414"/>
      <c r="N58" s="204"/>
      <c r="O58" s="210"/>
      <c r="P58" s="415"/>
      <c r="Q58" s="416"/>
      <c r="R58" s="415"/>
      <c r="S58" s="417"/>
      <c r="T58" s="417"/>
      <c r="U58" s="416"/>
      <c r="V58" s="418"/>
      <c r="W58" s="418"/>
      <c r="X58" s="418"/>
      <c r="Y58" s="418"/>
      <c r="Z58" s="418"/>
      <c r="AA58" s="418"/>
      <c r="AB58" s="418"/>
      <c r="AC58" s="418"/>
      <c r="AD58" s="419"/>
    </row>
    <row r="59" spans="1:32" ht="27" customHeight="1">
      <c r="A59" s="420"/>
      <c r="B59" s="421"/>
      <c r="C59" s="205"/>
      <c r="D59" s="205"/>
      <c r="E59" s="205"/>
      <c r="F59" s="412"/>
      <c r="G59" s="413"/>
      <c r="H59" s="413"/>
      <c r="I59" s="413"/>
      <c r="J59" s="413"/>
      <c r="K59" s="413"/>
      <c r="L59" s="413"/>
      <c r="M59" s="414"/>
      <c r="N59" s="204"/>
      <c r="O59" s="210"/>
      <c r="P59" s="415"/>
      <c r="Q59" s="416"/>
      <c r="R59" s="421"/>
      <c r="S59" s="421"/>
      <c r="T59" s="421"/>
      <c r="U59" s="421"/>
      <c r="V59" s="418"/>
      <c r="W59" s="418"/>
      <c r="X59" s="418"/>
      <c r="Y59" s="418"/>
      <c r="Z59" s="418"/>
      <c r="AA59" s="418"/>
      <c r="AB59" s="418"/>
      <c r="AC59" s="418"/>
      <c r="AD59" s="419"/>
    </row>
    <row r="60" spans="1:32" ht="27" customHeight="1">
      <c r="A60" s="410"/>
      <c r="B60" s="411"/>
      <c r="C60" s="203"/>
      <c r="D60" s="203"/>
      <c r="E60" s="205"/>
      <c r="F60" s="412"/>
      <c r="G60" s="413"/>
      <c r="H60" s="413"/>
      <c r="I60" s="413"/>
      <c r="J60" s="413"/>
      <c r="K60" s="413"/>
      <c r="L60" s="413"/>
      <c r="M60" s="414"/>
      <c r="N60" s="204"/>
      <c r="O60" s="210"/>
      <c r="P60" s="421"/>
      <c r="Q60" s="421"/>
      <c r="R60" s="421"/>
      <c r="S60" s="421"/>
      <c r="T60" s="421"/>
      <c r="U60" s="421"/>
      <c r="V60" s="418"/>
      <c r="W60" s="418"/>
      <c r="X60" s="418"/>
      <c r="Y60" s="418"/>
      <c r="Z60" s="418"/>
      <c r="AA60" s="418"/>
      <c r="AB60" s="418"/>
      <c r="AC60" s="418"/>
      <c r="AD60" s="419"/>
      <c r="AF60" s="84">
        <f>8*3000</f>
        <v>24000</v>
      </c>
    </row>
    <row r="61" spans="1:32" ht="27" customHeight="1" thickBot="1">
      <c r="A61" s="422"/>
      <c r="B61" s="423"/>
      <c r="C61" s="206"/>
      <c r="D61" s="207"/>
      <c r="E61" s="207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30" t="s">
        <v>351</v>
      </c>
      <c r="B62" s="430"/>
      <c r="C62" s="430"/>
      <c r="D62" s="430"/>
      <c r="E62" s="43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31" t="s">
        <v>111</v>
      </c>
      <c r="B63" s="432"/>
      <c r="C63" s="208" t="s">
        <v>2</v>
      </c>
      <c r="D63" s="208" t="s">
        <v>37</v>
      </c>
      <c r="E63" s="208" t="s">
        <v>3</v>
      </c>
      <c r="F63" s="432" t="s">
        <v>109</v>
      </c>
      <c r="G63" s="432"/>
      <c r="H63" s="432"/>
      <c r="I63" s="432"/>
      <c r="J63" s="432"/>
      <c r="K63" s="432" t="s">
        <v>39</v>
      </c>
      <c r="L63" s="432"/>
      <c r="M63" s="208" t="s">
        <v>40</v>
      </c>
      <c r="N63" s="432" t="s">
        <v>41</v>
      </c>
      <c r="O63" s="432"/>
      <c r="P63" s="433" t="s">
        <v>42</v>
      </c>
      <c r="Q63" s="434"/>
      <c r="R63" s="433" t="s">
        <v>43</v>
      </c>
      <c r="S63" s="435"/>
      <c r="T63" s="435"/>
      <c r="U63" s="435"/>
      <c r="V63" s="435"/>
      <c r="W63" s="435"/>
      <c r="X63" s="435"/>
      <c r="Y63" s="435"/>
      <c r="Z63" s="435"/>
      <c r="AA63" s="434"/>
      <c r="AB63" s="432" t="s">
        <v>44</v>
      </c>
      <c r="AC63" s="432"/>
      <c r="AD63" s="436"/>
      <c r="AF63" s="84">
        <f>SUM(AF60:AF62)</f>
        <v>96000</v>
      </c>
    </row>
    <row r="64" spans="1:32" ht="25.5" customHeight="1">
      <c r="A64" s="437">
        <v>1</v>
      </c>
      <c r="B64" s="438"/>
      <c r="C64" s="104" t="s">
        <v>112</v>
      </c>
      <c r="D64" s="212"/>
      <c r="E64" s="209" t="s">
        <v>125</v>
      </c>
      <c r="F64" s="439" t="s">
        <v>339</v>
      </c>
      <c r="G64" s="440"/>
      <c r="H64" s="440"/>
      <c r="I64" s="440"/>
      <c r="J64" s="441"/>
      <c r="K64" s="442" t="s">
        <v>206</v>
      </c>
      <c r="L64" s="442"/>
      <c r="M64" s="51" t="s">
        <v>141</v>
      </c>
      <c r="N64" s="443" t="s">
        <v>255</v>
      </c>
      <c r="O64" s="443"/>
      <c r="P64" s="444">
        <v>50</v>
      </c>
      <c r="Q64" s="444"/>
      <c r="R64" s="418" t="s">
        <v>352</v>
      </c>
      <c r="S64" s="418"/>
      <c r="T64" s="418"/>
      <c r="U64" s="418"/>
      <c r="V64" s="418"/>
      <c r="W64" s="418"/>
      <c r="X64" s="418"/>
      <c r="Y64" s="418"/>
      <c r="Z64" s="418"/>
      <c r="AA64" s="418"/>
      <c r="AB64" s="442"/>
      <c r="AC64" s="442"/>
      <c r="AD64" s="445"/>
      <c r="AF64" s="50"/>
    </row>
    <row r="65" spans="1:32" ht="25.5" customHeight="1">
      <c r="A65" s="437">
        <v>2</v>
      </c>
      <c r="B65" s="438"/>
      <c r="C65" s="104" t="s">
        <v>112</v>
      </c>
      <c r="D65" s="212"/>
      <c r="E65" s="209" t="s">
        <v>125</v>
      </c>
      <c r="F65" s="439" t="s">
        <v>353</v>
      </c>
      <c r="G65" s="440"/>
      <c r="H65" s="440"/>
      <c r="I65" s="440"/>
      <c r="J65" s="441"/>
      <c r="K65" s="442" t="s">
        <v>206</v>
      </c>
      <c r="L65" s="442"/>
      <c r="M65" s="51" t="s">
        <v>141</v>
      </c>
      <c r="N65" s="443" t="s">
        <v>335</v>
      </c>
      <c r="O65" s="443"/>
      <c r="P65" s="444">
        <v>200</v>
      </c>
      <c r="Q65" s="444"/>
      <c r="R65" s="418" t="s">
        <v>352</v>
      </c>
      <c r="S65" s="418"/>
      <c r="T65" s="418"/>
      <c r="U65" s="418"/>
      <c r="V65" s="418"/>
      <c r="W65" s="418"/>
      <c r="X65" s="418"/>
      <c r="Y65" s="418"/>
      <c r="Z65" s="418"/>
      <c r="AA65" s="418"/>
      <c r="AB65" s="442"/>
      <c r="AC65" s="442"/>
      <c r="AD65" s="445"/>
      <c r="AF65" s="50"/>
    </row>
    <row r="66" spans="1:32" ht="25.5" customHeight="1">
      <c r="A66" s="437">
        <v>3</v>
      </c>
      <c r="B66" s="438"/>
      <c r="C66" s="104" t="s">
        <v>121</v>
      </c>
      <c r="D66" s="212"/>
      <c r="E66" s="209"/>
      <c r="F66" s="439" t="s">
        <v>354</v>
      </c>
      <c r="G66" s="440"/>
      <c r="H66" s="440"/>
      <c r="I66" s="440"/>
      <c r="J66" s="441"/>
      <c r="K66" s="442" t="s">
        <v>142</v>
      </c>
      <c r="L66" s="442"/>
      <c r="M66" s="51" t="s">
        <v>358</v>
      </c>
      <c r="N66" s="443" t="s">
        <v>145</v>
      </c>
      <c r="O66" s="443"/>
      <c r="P66" s="444">
        <v>50</v>
      </c>
      <c r="Q66" s="444"/>
      <c r="R66" s="418"/>
      <c r="S66" s="418"/>
      <c r="T66" s="418"/>
      <c r="U66" s="418"/>
      <c r="V66" s="418"/>
      <c r="W66" s="418"/>
      <c r="X66" s="418"/>
      <c r="Y66" s="418"/>
      <c r="Z66" s="418"/>
      <c r="AA66" s="418"/>
      <c r="AB66" s="442"/>
      <c r="AC66" s="442"/>
      <c r="AD66" s="445"/>
      <c r="AF66" s="50"/>
    </row>
    <row r="67" spans="1:32" ht="25.5" customHeight="1">
      <c r="A67" s="437">
        <v>4</v>
      </c>
      <c r="B67" s="438"/>
      <c r="C67" s="104" t="s">
        <v>121</v>
      </c>
      <c r="D67" s="212"/>
      <c r="E67" s="209"/>
      <c r="F67" s="439" t="s">
        <v>355</v>
      </c>
      <c r="G67" s="440"/>
      <c r="H67" s="440"/>
      <c r="I67" s="440"/>
      <c r="J67" s="441"/>
      <c r="K67" s="442" t="s">
        <v>138</v>
      </c>
      <c r="L67" s="442"/>
      <c r="M67" s="51" t="s">
        <v>358</v>
      </c>
      <c r="N67" s="443" t="s">
        <v>230</v>
      </c>
      <c r="O67" s="443"/>
      <c r="P67" s="444">
        <v>50</v>
      </c>
      <c r="Q67" s="444"/>
      <c r="R67" s="418"/>
      <c r="S67" s="418"/>
      <c r="T67" s="418"/>
      <c r="U67" s="418"/>
      <c r="V67" s="418"/>
      <c r="W67" s="418"/>
      <c r="X67" s="418"/>
      <c r="Y67" s="418"/>
      <c r="Z67" s="418"/>
      <c r="AA67" s="418"/>
      <c r="AB67" s="442"/>
      <c r="AC67" s="442"/>
      <c r="AD67" s="445"/>
      <c r="AF67" s="50"/>
    </row>
    <row r="68" spans="1:32" ht="25.5" customHeight="1">
      <c r="A68" s="437">
        <v>5</v>
      </c>
      <c r="B68" s="438"/>
      <c r="C68" s="104" t="s">
        <v>121</v>
      </c>
      <c r="D68" s="212"/>
      <c r="E68" s="209"/>
      <c r="F68" s="439" t="s">
        <v>357</v>
      </c>
      <c r="G68" s="440"/>
      <c r="H68" s="440"/>
      <c r="I68" s="440"/>
      <c r="J68" s="441"/>
      <c r="K68" s="442" t="s">
        <v>340</v>
      </c>
      <c r="L68" s="442"/>
      <c r="M68" s="51" t="s">
        <v>358</v>
      </c>
      <c r="N68" s="443" t="s">
        <v>184</v>
      </c>
      <c r="O68" s="443"/>
      <c r="P68" s="444">
        <v>50</v>
      </c>
      <c r="Q68" s="444"/>
      <c r="R68" s="418" t="s">
        <v>352</v>
      </c>
      <c r="S68" s="418"/>
      <c r="T68" s="418"/>
      <c r="U68" s="418"/>
      <c r="V68" s="418"/>
      <c r="W68" s="418"/>
      <c r="X68" s="418"/>
      <c r="Y68" s="418"/>
      <c r="Z68" s="418"/>
      <c r="AA68" s="418"/>
      <c r="AB68" s="442"/>
      <c r="AC68" s="442"/>
      <c r="AD68" s="445"/>
      <c r="AF68" s="50"/>
    </row>
    <row r="69" spans="1:32" ht="25.5" customHeight="1">
      <c r="A69" s="437">
        <v>6</v>
      </c>
      <c r="B69" s="438"/>
      <c r="C69" s="104" t="s">
        <v>119</v>
      </c>
      <c r="D69" s="212"/>
      <c r="E69" s="209"/>
      <c r="F69" s="439" t="s">
        <v>356</v>
      </c>
      <c r="G69" s="440"/>
      <c r="H69" s="440"/>
      <c r="I69" s="440"/>
      <c r="J69" s="441"/>
      <c r="K69" s="442" t="s">
        <v>236</v>
      </c>
      <c r="L69" s="442"/>
      <c r="M69" s="51" t="s">
        <v>141</v>
      </c>
      <c r="N69" s="443" t="s">
        <v>184</v>
      </c>
      <c r="O69" s="443"/>
      <c r="P69" s="444">
        <v>200</v>
      </c>
      <c r="Q69" s="444"/>
      <c r="R69" s="418"/>
      <c r="S69" s="418"/>
      <c r="T69" s="418"/>
      <c r="U69" s="418"/>
      <c r="V69" s="418"/>
      <c r="W69" s="418"/>
      <c r="X69" s="418"/>
      <c r="Y69" s="418"/>
      <c r="Z69" s="418"/>
      <c r="AA69" s="418"/>
      <c r="AB69" s="442"/>
      <c r="AC69" s="442"/>
      <c r="AD69" s="445"/>
      <c r="AF69" s="50"/>
    </row>
    <row r="70" spans="1:32" ht="25.5" customHeight="1">
      <c r="A70" s="437">
        <v>7</v>
      </c>
      <c r="B70" s="438"/>
      <c r="C70" s="104"/>
      <c r="D70" s="212"/>
      <c r="E70" s="209"/>
      <c r="F70" s="447"/>
      <c r="G70" s="442"/>
      <c r="H70" s="442"/>
      <c r="I70" s="442"/>
      <c r="J70" s="442"/>
      <c r="K70" s="442"/>
      <c r="L70" s="442"/>
      <c r="M70" s="51"/>
      <c r="N70" s="443"/>
      <c r="O70" s="443"/>
      <c r="P70" s="444"/>
      <c r="Q70" s="444"/>
      <c r="R70" s="418"/>
      <c r="S70" s="418"/>
      <c r="T70" s="418"/>
      <c r="U70" s="418"/>
      <c r="V70" s="418"/>
      <c r="W70" s="418"/>
      <c r="X70" s="418"/>
      <c r="Y70" s="418"/>
      <c r="Z70" s="418"/>
      <c r="AA70" s="418"/>
      <c r="AB70" s="442"/>
      <c r="AC70" s="442"/>
      <c r="AD70" s="445"/>
      <c r="AF70" s="50"/>
    </row>
    <row r="71" spans="1:32" ht="25.5" customHeight="1">
      <c r="A71" s="437">
        <v>8</v>
      </c>
      <c r="B71" s="438"/>
      <c r="C71" s="104"/>
      <c r="D71" s="212"/>
      <c r="E71" s="209"/>
      <c r="F71" s="447"/>
      <c r="G71" s="442"/>
      <c r="H71" s="442"/>
      <c r="I71" s="442"/>
      <c r="J71" s="442"/>
      <c r="K71" s="442"/>
      <c r="L71" s="442"/>
      <c r="M71" s="51"/>
      <c r="N71" s="443"/>
      <c r="O71" s="443"/>
      <c r="P71" s="444"/>
      <c r="Q71" s="444"/>
      <c r="R71" s="418"/>
      <c r="S71" s="418"/>
      <c r="T71" s="418"/>
      <c r="U71" s="418"/>
      <c r="V71" s="418"/>
      <c r="W71" s="418"/>
      <c r="X71" s="418"/>
      <c r="Y71" s="418"/>
      <c r="Z71" s="418"/>
      <c r="AA71" s="418"/>
      <c r="AB71" s="442"/>
      <c r="AC71" s="442"/>
      <c r="AD71" s="445"/>
      <c r="AF71" s="50"/>
    </row>
    <row r="72" spans="1:32" ht="25.5" customHeight="1">
      <c r="A72" s="437">
        <v>9</v>
      </c>
      <c r="B72" s="438"/>
      <c r="C72" s="104"/>
      <c r="D72" s="212"/>
      <c r="E72" s="209"/>
      <c r="F72" s="447"/>
      <c r="G72" s="442"/>
      <c r="H72" s="442"/>
      <c r="I72" s="442"/>
      <c r="J72" s="442"/>
      <c r="K72" s="442"/>
      <c r="L72" s="442"/>
      <c r="M72" s="51"/>
      <c r="N72" s="443"/>
      <c r="O72" s="443"/>
      <c r="P72" s="444"/>
      <c r="Q72" s="444"/>
      <c r="R72" s="418"/>
      <c r="S72" s="418"/>
      <c r="T72" s="418"/>
      <c r="U72" s="418"/>
      <c r="V72" s="418"/>
      <c r="W72" s="418"/>
      <c r="X72" s="418"/>
      <c r="Y72" s="418"/>
      <c r="Z72" s="418"/>
      <c r="AA72" s="418"/>
      <c r="AB72" s="442"/>
      <c r="AC72" s="442"/>
      <c r="AD72" s="445"/>
      <c r="AF72" s="50"/>
    </row>
    <row r="73" spans="1:32" ht="25.5" customHeight="1">
      <c r="A73" s="437">
        <v>10</v>
      </c>
      <c r="B73" s="438"/>
      <c r="C73" s="104"/>
      <c r="D73" s="212"/>
      <c r="E73" s="209"/>
      <c r="F73" s="447"/>
      <c r="G73" s="442"/>
      <c r="H73" s="442"/>
      <c r="I73" s="442"/>
      <c r="J73" s="442"/>
      <c r="K73" s="442"/>
      <c r="L73" s="442"/>
      <c r="M73" s="51"/>
      <c r="N73" s="443"/>
      <c r="O73" s="443"/>
      <c r="P73" s="444"/>
      <c r="Q73" s="444"/>
      <c r="R73" s="418"/>
      <c r="S73" s="418"/>
      <c r="T73" s="418"/>
      <c r="U73" s="418"/>
      <c r="V73" s="418"/>
      <c r="W73" s="418"/>
      <c r="X73" s="418"/>
      <c r="Y73" s="418"/>
      <c r="Z73" s="418"/>
      <c r="AA73" s="418"/>
      <c r="AB73" s="442"/>
      <c r="AC73" s="442"/>
      <c r="AD73" s="445"/>
      <c r="AF73" s="50"/>
    </row>
    <row r="74" spans="1:32" ht="26.25" customHeight="1" thickBot="1">
      <c r="A74" s="448" t="s">
        <v>359</v>
      </c>
      <c r="B74" s="448"/>
      <c r="C74" s="448"/>
      <c r="D74" s="448"/>
      <c r="E74" s="44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49" t="s">
        <v>134</v>
      </c>
      <c r="B75" s="450"/>
      <c r="C75" s="211" t="s">
        <v>2</v>
      </c>
      <c r="D75" s="211" t="s">
        <v>37</v>
      </c>
      <c r="E75" s="211" t="s">
        <v>128</v>
      </c>
      <c r="F75" s="450" t="s">
        <v>38</v>
      </c>
      <c r="G75" s="450"/>
      <c r="H75" s="450"/>
      <c r="I75" s="450"/>
      <c r="J75" s="450"/>
      <c r="K75" s="451" t="s">
        <v>58</v>
      </c>
      <c r="L75" s="452"/>
      <c r="M75" s="452"/>
      <c r="N75" s="452"/>
      <c r="O75" s="452"/>
      <c r="P75" s="452"/>
      <c r="Q75" s="452"/>
      <c r="R75" s="452"/>
      <c r="S75" s="453"/>
      <c r="T75" s="450" t="s">
        <v>49</v>
      </c>
      <c r="U75" s="450"/>
      <c r="V75" s="451" t="s">
        <v>50</v>
      </c>
      <c r="W75" s="453"/>
      <c r="X75" s="452" t="s">
        <v>51</v>
      </c>
      <c r="Y75" s="452"/>
      <c r="Z75" s="452"/>
      <c r="AA75" s="452"/>
      <c r="AB75" s="452"/>
      <c r="AC75" s="452"/>
      <c r="AD75" s="454"/>
      <c r="AF75" s="50"/>
    </row>
    <row r="76" spans="1:32" ht="33.75" customHeight="1">
      <c r="A76" s="463">
        <v>1</v>
      </c>
      <c r="B76" s="464"/>
      <c r="C76" s="213" t="s">
        <v>112</v>
      </c>
      <c r="D76" s="213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44118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55">
        <f>A76+1</f>
        <v>2</v>
      </c>
      <c r="B77" s="456"/>
      <c r="C77" s="212"/>
      <c r="D77" s="212"/>
      <c r="E77" s="32"/>
      <c r="F77" s="456"/>
      <c r="G77" s="456"/>
      <c r="H77" s="456"/>
      <c r="I77" s="456"/>
      <c r="J77" s="456"/>
      <c r="K77" s="457"/>
      <c r="L77" s="458"/>
      <c r="M77" s="458"/>
      <c r="N77" s="458"/>
      <c r="O77" s="458"/>
      <c r="P77" s="458"/>
      <c r="Q77" s="458"/>
      <c r="R77" s="458"/>
      <c r="S77" s="459"/>
      <c r="T77" s="460"/>
      <c r="U77" s="460"/>
      <c r="V77" s="460"/>
      <c r="W77" s="460"/>
      <c r="X77" s="461"/>
      <c r="Y77" s="461"/>
      <c r="Z77" s="461"/>
      <c r="AA77" s="461"/>
      <c r="AB77" s="461"/>
      <c r="AC77" s="461"/>
      <c r="AD77" s="462"/>
      <c r="AF77" s="50"/>
    </row>
    <row r="78" spans="1:32" ht="30" customHeight="1">
      <c r="A78" s="455">
        <f t="shared" ref="A78:A82" si="11">A77+1</f>
        <v>3</v>
      </c>
      <c r="B78" s="456"/>
      <c r="C78" s="212"/>
      <c r="D78" s="212"/>
      <c r="E78" s="32"/>
      <c r="F78" s="456"/>
      <c r="G78" s="456"/>
      <c r="H78" s="456"/>
      <c r="I78" s="456"/>
      <c r="J78" s="456"/>
      <c r="K78" s="457"/>
      <c r="L78" s="458"/>
      <c r="M78" s="458"/>
      <c r="N78" s="458"/>
      <c r="O78" s="458"/>
      <c r="P78" s="458"/>
      <c r="Q78" s="458"/>
      <c r="R78" s="458"/>
      <c r="S78" s="459"/>
      <c r="T78" s="460"/>
      <c r="U78" s="460"/>
      <c r="V78" s="460"/>
      <c r="W78" s="460"/>
      <c r="X78" s="461"/>
      <c r="Y78" s="461"/>
      <c r="Z78" s="461"/>
      <c r="AA78" s="461"/>
      <c r="AB78" s="461"/>
      <c r="AC78" s="461"/>
      <c r="AD78" s="462"/>
      <c r="AF78" s="50"/>
    </row>
    <row r="79" spans="1:32" ht="30" customHeight="1">
      <c r="A79" s="455">
        <f t="shared" si="11"/>
        <v>4</v>
      </c>
      <c r="B79" s="456"/>
      <c r="C79" s="212"/>
      <c r="D79" s="212"/>
      <c r="E79" s="32"/>
      <c r="F79" s="456"/>
      <c r="G79" s="456"/>
      <c r="H79" s="456"/>
      <c r="I79" s="456"/>
      <c r="J79" s="456"/>
      <c r="K79" s="457"/>
      <c r="L79" s="458"/>
      <c r="M79" s="458"/>
      <c r="N79" s="458"/>
      <c r="O79" s="458"/>
      <c r="P79" s="458"/>
      <c r="Q79" s="458"/>
      <c r="R79" s="458"/>
      <c r="S79" s="459"/>
      <c r="T79" s="460"/>
      <c r="U79" s="460"/>
      <c r="V79" s="460"/>
      <c r="W79" s="460"/>
      <c r="X79" s="461"/>
      <c r="Y79" s="461"/>
      <c r="Z79" s="461"/>
      <c r="AA79" s="461"/>
      <c r="AB79" s="461"/>
      <c r="AC79" s="461"/>
      <c r="AD79" s="462"/>
      <c r="AF79" s="50"/>
    </row>
    <row r="80" spans="1:32" ht="30" customHeight="1">
      <c r="A80" s="455">
        <f t="shared" si="11"/>
        <v>5</v>
      </c>
      <c r="B80" s="456"/>
      <c r="C80" s="212"/>
      <c r="D80" s="212"/>
      <c r="E80" s="32"/>
      <c r="F80" s="456"/>
      <c r="G80" s="456"/>
      <c r="H80" s="456"/>
      <c r="I80" s="456"/>
      <c r="J80" s="456"/>
      <c r="K80" s="457"/>
      <c r="L80" s="458"/>
      <c r="M80" s="458"/>
      <c r="N80" s="458"/>
      <c r="O80" s="458"/>
      <c r="P80" s="458"/>
      <c r="Q80" s="458"/>
      <c r="R80" s="458"/>
      <c r="S80" s="459"/>
      <c r="T80" s="460"/>
      <c r="U80" s="460"/>
      <c r="V80" s="460"/>
      <c r="W80" s="460"/>
      <c r="X80" s="461"/>
      <c r="Y80" s="461"/>
      <c r="Z80" s="461"/>
      <c r="AA80" s="461"/>
      <c r="AB80" s="461"/>
      <c r="AC80" s="461"/>
      <c r="AD80" s="462"/>
      <c r="AF80" s="50"/>
    </row>
    <row r="81" spans="1:32" ht="30" customHeight="1">
      <c r="A81" s="455">
        <f t="shared" si="11"/>
        <v>6</v>
      </c>
      <c r="B81" s="456"/>
      <c r="C81" s="212"/>
      <c r="D81" s="212"/>
      <c r="E81" s="32"/>
      <c r="F81" s="456"/>
      <c r="G81" s="456"/>
      <c r="H81" s="456"/>
      <c r="I81" s="456"/>
      <c r="J81" s="456"/>
      <c r="K81" s="457"/>
      <c r="L81" s="458"/>
      <c r="M81" s="458"/>
      <c r="N81" s="458"/>
      <c r="O81" s="458"/>
      <c r="P81" s="458"/>
      <c r="Q81" s="458"/>
      <c r="R81" s="458"/>
      <c r="S81" s="459"/>
      <c r="T81" s="460"/>
      <c r="U81" s="460"/>
      <c r="V81" s="460"/>
      <c r="W81" s="460"/>
      <c r="X81" s="461"/>
      <c r="Y81" s="461"/>
      <c r="Z81" s="461"/>
      <c r="AA81" s="461"/>
      <c r="AB81" s="461"/>
      <c r="AC81" s="461"/>
      <c r="AD81" s="462"/>
      <c r="AF81" s="50"/>
    </row>
    <row r="82" spans="1:32" ht="30" customHeight="1">
      <c r="A82" s="455">
        <f t="shared" si="11"/>
        <v>7</v>
      </c>
      <c r="B82" s="456"/>
      <c r="C82" s="212"/>
      <c r="D82" s="212"/>
      <c r="E82" s="32"/>
      <c r="F82" s="456"/>
      <c r="G82" s="456"/>
      <c r="H82" s="456"/>
      <c r="I82" s="456"/>
      <c r="J82" s="456"/>
      <c r="K82" s="457"/>
      <c r="L82" s="458"/>
      <c r="M82" s="458"/>
      <c r="N82" s="458"/>
      <c r="O82" s="458"/>
      <c r="P82" s="458"/>
      <c r="Q82" s="458"/>
      <c r="R82" s="458"/>
      <c r="S82" s="459"/>
      <c r="T82" s="460"/>
      <c r="U82" s="460"/>
      <c r="V82" s="460"/>
      <c r="W82" s="460"/>
      <c r="X82" s="461"/>
      <c r="Y82" s="461"/>
      <c r="Z82" s="461"/>
      <c r="AA82" s="461"/>
      <c r="AB82" s="461"/>
      <c r="AC82" s="461"/>
      <c r="AD82" s="462"/>
      <c r="AF82" s="50"/>
    </row>
    <row r="83" spans="1:32" ht="36" thickBot="1">
      <c r="A83" s="448" t="s">
        <v>360</v>
      </c>
      <c r="B83" s="448"/>
      <c r="C83" s="448"/>
      <c r="D83" s="448"/>
      <c r="E83" s="44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49" t="s">
        <v>111</v>
      </c>
      <c r="B84" s="450"/>
      <c r="C84" s="476" t="s">
        <v>52</v>
      </c>
      <c r="D84" s="476"/>
      <c r="E84" s="476" t="s">
        <v>53</v>
      </c>
      <c r="F84" s="476"/>
      <c r="G84" s="476"/>
      <c r="H84" s="476"/>
      <c r="I84" s="476"/>
      <c r="J84" s="476"/>
      <c r="K84" s="476" t="s">
        <v>54</v>
      </c>
      <c r="L84" s="476"/>
      <c r="M84" s="476"/>
      <c r="N84" s="476"/>
      <c r="O84" s="476"/>
      <c r="P84" s="476"/>
      <c r="Q84" s="476"/>
      <c r="R84" s="476"/>
      <c r="S84" s="476"/>
      <c r="T84" s="476" t="s">
        <v>55</v>
      </c>
      <c r="U84" s="476"/>
      <c r="V84" s="476" t="s">
        <v>56</v>
      </c>
      <c r="W84" s="476"/>
      <c r="X84" s="476"/>
      <c r="Y84" s="476" t="s">
        <v>51</v>
      </c>
      <c r="Z84" s="476"/>
      <c r="AA84" s="476"/>
      <c r="AB84" s="476"/>
      <c r="AC84" s="476"/>
      <c r="AD84" s="477"/>
      <c r="AF84" s="50"/>
    </row>
    <row r="85" spans="1:32" ht="30.75" customHeight="1">
      <c r="A85" s="463">
        <v>1</v>
      </c>
      <c r="B85" s="464"/>
      <c r="C85" s="478"/>
      <c r="D85" s="478"/>
      <c r="E85" s="478"/>
      <c r="F85" s="478"/>
      <c r="G85" s="478"/>
      <c r="H85" s="478"/>
      <c r="I85" s="478"/>
      <c r="J85" s="478"/>
      <c r="K85" s="478"/>
      <c r="L85" s="478"/>
      <c r="M85" s="478"/>
      <c r="N85" s="478"/>
      <c r="O85" s="478"/>
      <c r="P85" s="478"/>
      <c r="Q85" s="478"/>
      <c r="R85" s="478"/>
      <c r="S85" s="478"/>
      <c r="T85" s="478"/>
      <c r="U85" s="478"/>
      <c r="V85" s="479"/>
      <c r="W85" s="479"/>
      <c r="X85" s="479"/>
      <c r="Y85" s="480"/>
      <c r="Z85" s="480"/>
      <c r="AA85" s="480"/>
      <c r="AB85" s="480"/>
      <c r="AC85" s="480"/>
      <c r="AD85" s="481"/>
      <c r="AF85" s="50"/>
    </row>
    <row r="86" spans="1:32" ht="30.75" customHeight="1">
      <c r="A86" s="455">
        <v>2</v>
      </c>
      <c r="B86" s="456"/>
      <c r="C86" s="489"/>
      <c r="D86" s="489"/>
      <c r="E86" s="489"/>
      <c r="F86" s="489"/>
      <c r="G86" s="489"/>
      <c r="H86" s="489"/>
      <c r="I86" s="489"/>
      <c r="J86" s="489"/>
      <c r="K86" s="489"/>
      <c r="L86" s="489"/>
      <c r="M86" s="489"/>
      <c r="N86" s="489"/>
      <c r="O86" s="489"/>
      <c r="P86" s="489"/>
      <c r="Q86" s="489"/>
      <c r="R86" s="489"/>
      <c r="S86" s="489"/>
      <c r="T86" s="490"/>
      <c r="U86" s="490"/>
      <c r="V86" s="491"/>
      <c r="W86" s="491"/>
      <c r="X86" s="491"/>
      <c r="Y86" s="482"/>
      <c r="Z86" s="482"/>
      <c r="AA86" s="482"/>
      <c r="AB86" s="482"/>
      <c r="AC86" s="482"/>
      <c r="AD86" s="483"/>
      <c r="AF86" s="50"/>
    </row>
    <row r="87" spans="1:32" ht="30.75" customHeight="1" thickBot="1">
      <c r="A87" s="484">
        <v>3</v>
      </c>
      <c r="B87" s="485"/>
      <c r="C87" s="486"/>
      <c r="D87" s="486"/>
      <c r="E87" s="486"/>
      <c r="F87" s="486"/>
      <c r="G87" s="486"/>
      <c r="H87" s="486"/>
      <c r="I87" s="486"/>
      <c r="J87" s="486"/>
      <c r="K87" s="486"/>
      <c r="L87" s="486"/>
      <c r="M87" s="486"/>
      <c r="N87" s="486"/>
      <c r="O87" s="486"/>
      <c r="P87" s="486"/>
      <c r="Q87" s="486"/>
      <c r="R87" s="486"/>
      <c r="S87" s="486"/>
      <c r="T87" s="486"/>
      <c r="U87" s="486"/>
      <c r="V87" s="486"/>
      <c r="W87" s="486"/>
      <c r="X87" s="486"/>
      <c r="Y87" s="487"/>
      <c r="Z87" s="487"/>
      <c r="AA87" s="487"/>
      <c r="AB87" s="487"/>
      <c r="AC87" s="487"/>
      <c r="AD87" s="488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000A-B8E1-4EEC-B923-D70DFB20D7F2}">
  <dimension ref="A1:AF87"/>
  <sheetViews>
    <sheetView view="pageBreakPreview" topLeftCell="A25" zoomScale="70" zoomScaleNormal="72" zoomScaleSheetLayoutView="70" workbookViewId="0">
      <selection activeCell="T15" sqref="T1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70" t="s">
        <v>361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5"/>
      <c r="T4" s="405"/>
      <c r="U4" s="405"/>
      <c r="V4" s="405"/>
      <c r="W4" s="406" t="s">
        <v>11</v>
      </c>
      <c r="X4" s="405"/>
      <c r="Y4" s="405"/>
      <c r="Z4" s="405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226" t="s">
        <v>17</v>
      </c>
      <c r="L5" s="226" t="s">
        <v>18</v>
      </c>
      <c r="M5" s="226" t="s">
        <v>19</v>
      </c>
      <c r="N5" s="22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125</v>
      </c>
      <c r="E6" s="53" t="s">
        <v>339</v>
      </c>
      <c r="F6" s="30" t="s">
        <v>206</v>
      </c>
      <c r="G6" s="12">
        <v>1</v>
      </c>
      <c r="H6" s="13">
        <v>24</v>
      </c>
      <c r="I6" s="7">
        <v>55000</v>
      </c>
      <c r="J6" s="14">
        <v>7328</v>
      </c>
      <c r="K6" s="15">
        <f>L6+3674</f>
        <v>11002</v>
      </c>
      <c r="L6" s="15">
        <f>3630+3698</f>
        <v>7328</v>
      </c>
      <c r="M6" s="15">
        <f t="shared" ref="M6:M21" si="0">L6-N6</f>
        <v>7328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21" si="7">$AD$22</f>
        <v>0.64583333333333326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 t="s">
        <v>131</v>
      </c>
      <c r="E7" s="53" t="s">
        <v>139</v>
      </c>
      <c r="F7" s="12" t="s">
        <v>133</v>
      </c>
      <c r="G7" s="12">
        <v>1</v>
      </c>
      <c r="H7" s="13">
        <v>24</v>
      </c>
      <c r="I7" s="31">
        <v>50000</v>
      </c>
      <c r="J7" s="14">
        <v>4705</v>
      </c>
      <c r="K7" s="15">
        <f>L7+4913+5878+5650+6007</f>
        <v>27153</v>
      </c>
      <c r="L7" s="15">
        <f>1627+3078</f>
        <v>4705</v>
      </c>
      <c r="M7" s="15">
        <f t="shared" si="0"/>
        <v>4705</v>
      </c>
      <c r="N7" s="15">
        <v>0</v>
      </c>
      <c r="O7" s="58">
        <f t="shared" si="1"/>
        <v>0</v>
      </c>
      <c r="P7" s="39">
        <f t="shared" si="2"/>
        <v>21</v>
      </c>
      <c r="Q7" s="40">
        <f t="shared" si="3"/>
        <v>3</v>
      </c>
      <c r="R7" s="7"/>
      <c r="S7" s="6">
        <v>3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0.875</v>
      </c>
      <c r="AD7" s="10">
        <f t="shared" si="6"/>
        <v>0.875</v>
      </c>
      <c r="AE7" s="36">
        <f t="shared" si="7"/>
        <v>0.64583333333333326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/>
      <c r="E8" s="53" t="s">
        <v>321</v>
      </c>
      <c r="F8" s="30" t="s">
        <v>340</v>
      </c>
      <c r="G8" s="33">
        <v>1</v>
      </c>
      <c r="H8" s="35">
        <v>24</v>
      </c>
      <c r="I8" s="7">
        <v>50500</v>
      </c>
      <c r="J8" s="5">
        <v>2445</v>
      </c>
      <c r="K8" s="15">
        <f>L8+4349</f>
        <v>6794</v>
      </c>
      <c r="L8" s="15">
        <f>2445</f>
        <v>2445</v>
      </c>
      <c r="M8" s="15">
        <f t="shared" si="0"/>
        <v>2445</v>
      </c>
      <c r="N8" s="15">
        <v>0</v>
      </c>
      <c r="O8" s="58">
        <f t="shared" si="1"/>
        <v>0</v>
      </c>
      <c r="P8" s="39">
        <f t="shared" si="2"/>
        <v>10</v>
      </c>
      <c r="Q8" s="40">
        <f t="shared" si="3"/>
        <v>14</v>
      </c>
      <c r="R8" s="7"/>
      <c r="S8" s="6">
        <v>14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0.41666666666666669</v>
      </c>
      <c r="AD8" s="10">
        <f t="shared" si="6"/>
        <v>0.41666666666666669</v>
      </c>
      <c r="AE8" s="36">
        <f t="shared" si="7"/>
        <v>0.64583333333333326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119</v>
      </c>
      <c r="D9" s="52" t="s">
        <v>115</v>
      </c>
      <c r="E9" s="53" t="s">
        <v>222</v>
      </c>
      <c r="F9" s="30" t="s">
        <v>236</v>
      </c>
      <c r="G9" s="12">
        <v>2</v>
      </c>
      <c r="H9" s="13">
        <v>24</v>
      </c>
      <c r="I9" s="7">
        <v>50000</v>
      </c>
      <c r="J9" s="14">
        <v>9962</v>
      </c>
      <c r="K9" s="15">
        <f>L9+7346+9814+10270+9750+10304</f>
        <v>57446</v>
      </c>
      <c r="L9" s="15">
        <f>2334*2+2647*2</f>
        <v>9962</v>
      </c>
      <c r="M9" s="15">
        <f t="shared" si="0"/>
        <v>9962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0.64583333333333326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119</v>
      </c>
      <c r="D10" s="52" t="s">
        <v>202</v>
      </c>
      <c r="E10" s="53" t="s">
        <v>346</v>
      </c>
      <c r="F10" s="30" t="s">
        <v>158</v>
      </c>
      <c r="G10" s="33">
        <v>4</v>
      </c>
      <c r="H10" s="35">
        <v>24</v>
      </c>
      <c r="I10" s="7">
        <v>30000</v>
      </c>
      <c r="J10" s="14">
        <v>23496</v>
      </c>
      <c r="K10" s="15">
        <f>L10</f>
        <v>23496</v>
      </c>
      <c r="L10" s="15">
        <f>2454*4+3420*4</f>
        <v>23496</v>
      </c>
      <c r="M10" s="15">
        <f t="shared" si="0"/>
        <v>23496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0.64583333333333326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263</v>
      </c>
      <c r="E11" s="53" t="s">
        <v>264</v>
      </c>
      <c r="F11" s="30" t="s">
        <v>206</v>
      </c>
      <c r="G11" s="33">
        <v>16</v>
      </c>
      <c r="H11" s="35">
        <v>24</v>
      </c>
      <c r="I11" s="7">
        <v>100000</v>
      </c>
      <c r="J11" s="14">
        <v>67990</v>
      </c>
      <c r="K11" s="15">
        <f>L11+49500+67990</f>
        <v>117490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0.64583333333333326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115</v>
      </c>
      <c r="E12" s="53" t="s">
        <v>347</v>
      </c>
      <c r="F12" s="30" t="s">
        <v>362</v>
      </c>
      <c r="G12" s="12">
        <v>1</v>
      </c>
      <c r="H12" s="13">
        <v>22</v>
      </c>
      <c r="I12" s="31">
        <v>6400</v>
      </c>
      <c r="J12" s="5">
        <v>3422</v>
      </c>
      <c r="K12" s="15">
        <f>L12</f>
        <v>3422</v>
      </c>
      <c r="L12" s="15">
        <f>969+2453</f>
        <v>3422</v>
      </c>
      <c r="M12" s="15">
        <f t="shared" si="0"/>
        <v>3422</v>
      </c>
      <c r="N12" s="15">
        <v>0</v>
      </c>
      <c r="O12" s="58">
        <f t="shared" si="1"/>
        <v>0</v>
      </c>
      <c r="P12" s="39">
        <f t="shared" si="2"/>
        <v>15</v>
      </c>
      <c r="Q12" s="40">
        <f t="shared" si="3"/>
        <v>9</v>
      </c>
      <c r="R12" s="7"/>
      <c r="S12" s="6">
        <v>9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0.625</v>
      </c>
      <c r="AD12" s="10">
        <f t="shared" si="6"/>
        <v>0.625</v>
      </c>
      <c r="AE12" s="36">
        <f t="shared" si="7"/>
        <v>0.64583333333333326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119</v>
      </c>
      <c r="D13" s="52" t="s">
        <v>195</v>
      </c>
      <c r="E13" s="53" t="s">
        <v>262</v>
      </c>
      <c r="F13" s="30" t="s">
        <v>158</v>
      </c>
      <c r="G13" s="33">
        <v>2</v>
      </c>
      <c r="H13" s="35">
        <v>24</v>
      </c>
      <c r="I13" s="7">
        <v>50000</v>
      </c>
      <c r="J13" s="14">
        <v>12536</v>
      </c>
      <c r="K13" s="15">
        <f>L13+3366+8798+12320</f>
        <v>37020</v>
      </c>
      <c r="L13" s="15">
        <f>3099*2+3169*2</f>
        <v>12536</v>
      </c>
      <c r="M13" s="15">
        <f t="shared" si="0"/>
        <v>12536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0.64583333333333326</v>
      </c>
      <c r="AF13" s="84">
        <f t="shared" si="8"/>
        <v>8</v>
      </c>
    </row>
    <row r="14" spans="1:32" ht="27" customHeight="1">
      <c r="A14" s="105">
        <v>9</v>
      </c>
      <c r="B14" s="11" t="s">
        <v>156</v>
      </c>
      <c r="C14" s="34" t="s">
        <v>112</v>
      </c>
      <c r="D14" s="52" t="s">
        <v>115</v>
      </c>
      <c r="E14" s="53" t="s">
        <v>153</v>
      </c>
      <c r="F14" s="30" t="s">
        <v>144</v>
      </c>
      <c r="G14" s="33">
        <v>1</v>
      </c>
      <c r="H14" s="35">
        <v>50</v>
      </c>
      <c r="I14" s="7">
        <v>50</v>
      </c>
      <c r="J14" s="5"/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0.64583333333333326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125</v>
      </c>
      <c r="E15" s="53" t="s">
        <v>150</v>
      </c>
      <c r="F15" s="12" t="s">
        <v>138</v>
      </c>
      <c r="G15" s="12">
        <v>1</v>
      </c>
      <c r="H15" s="13">
        <v>24</v>
      </c>
      <c r="I15" s="31">
        <v>6500</v>
      </c>
      <c r="J15" s="14">
        <v>5214</v>
      </c>
      <c r="K15" s="15">
        <f>L15+2059+5272+5214</f>
        <v>12545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0.64583333333333326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112</v>
      </c>
      <c r="D16" s="52" t="s">
        <v>147</v>
      </c>
      <c r="E16" s="53" t="s">
        <v>348</v>
      </c>
      <c r="F16" s="30" t="s">
        <v>168</v>
      </c>
      <c r="G16" s="12">
        <v>1</v>
      </c>
      <c r="H16" s="13">
        <v>24</v>
      </c>
      <c r="I16" s="7">
        <v>300</v>
      </c>
      <c r="J16" s="14">
        <v>1140</v>
      </c>
      <c r="K16" s="15">
        <f>L16</f>
        <v>1140</v>
      </c>
      <c r="L16" s="15">
        <f>1140</f>
        <v>1140</v>
      </c>
      <c r="M16" s="15">
        <f t="shared" si="0"/>
        <v>1140</v>
      </c>
      <c r="N16" s="15">
        <v>0</v>
      </c>
      <c r="O16" s="58">
        <f t="shared" si="1"/>
        <v>0</v>
      </c>
      <c r="P16" s="39">
        <f t="shared" si="2"/>
        <v>6</v>
      </c>
      <c r="Q16" s="40">
        <f t="shared" si="3"/>
        <v>18</v>
      </c>
      <c r="R16" s="7"/>
      <c r="S16" s="6"/>
      <c r="T16" s="16"/>
      <c r="U16" s="16"/>
      <c r="V16" s="17"/>
      <c r="W16" s="5">
        <v>18</v>
      </c>
      <c r="X16" s="16"/>
      <c r="Y16" s="16"/>
      <c r="Z16" s="16"/>
      <c r="AA16" s="18"/>
      <c r="AB16" s="8">
        <f t="shared" si="4"/>
        <v>1</v>
      </c>
      <c r="AC16" s="9">
        <f t="shared" si="5"/>
        <v>0.25</v>
      </c>
      <c r="AD16" s="10">
        <f t="shared" si="6"/>
        <v>0.25</v>
      </c>
      <c r="AE16" s="36">
        <f t="shared" si="7"/>
        <v>0.64583333333333326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119</v>
      </c>
      <c r="D17" s="52" t="s">
        <v>231</v>
      </c>
      <c r="E17" s="53" t="s">
        <v>363</v>
      </c>
      <c r="F17" s="30" t="s">
        <v>144</v>
      </c>
      <c r="G17" s="12">
        <v>1</v>
      </c>
      <c r="H17" s="13">
        <v>24</v>
      </c>
      <c r="I17" s="7">
        <v>2000</v>
      </c>
      <c r="J17" s="14">
        <v>3321</v>
      </c>
      <c r="K17" s="15">
        <f>L17</f>
        <v>3321</v>
      </c>
      <c r="L17" s="15">
        <f>3321</f>
        <v>3321</v>
      </c>
      <c r="M17" s="15">
        <f t="shared" si="0"/>
        <v>3321</v>
      </c>
      <c r="N17" s="15">
        <v>0</v>
      </c>
      <c r="O17" s="58">
        <f t="shared" si="1"/>
        <v>0</v>
      </c>
      <c r="P17" s="39">
        <f t="shared" si="2"/>
        <v>16</v>
      </c>
      <c r="Q17" s="40">
        <f t="shared" si="3"/>
        <v>8</v>
      </c>
      <c r="R17" s="7"/>
      <c r="S17" s="6"/>
      <c r="T17" s="16">
        <v>8</v>
      </c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0.66666666666666663</v>
      </c>
      <c r="AD17" s="10">
        <f t="shared" si="6"/>
        <v>0.66666666666666663</v>
      </c>
      <c r="AE17" s="36">
        <f t="shared" si="7"/>
        <v>0.64583333333333326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195</v>
      </c>
      <c r="E18" s="53" t="s">
        <v>349</v>
      </c>
      <c r="F18" s="30" t="s">
        <v>169</v>
      </c>
      <c r="G18" s="33">
        <v>1</v>
      </c>
      <c r="H18" s="35">
        <v>24</v>
      </c>
      <c r="I18" s="7">
        <v>6400</v>
      </c>
      <c r="J18" s="14">
        <v>5659</v>
      </c>
      <c r="K18" s="15">
        <f>L18</f>
        <v>5659</v>
      </c>
      <c r="L18" s="15">
        <f>2668+2991</f>
        <v>5659</v>
      </c>
      <c r="M18" s="15">
        <f t="shared" si="0"/>
        <v>5659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0.64583333333333326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224</v>
      </c>
      <c r="E19" s="53" t="s">
        <v>350</v>
      </c>
      <c r="F19" s="30" t="s">
        <v>236</v>
      </c>
      <c r="G19" s="33">
        <v>1</v>
      </c>
      <c r="H19" s="35">
        <v>24</v>
      </c>
      <c r="I19" s="7">
        <v>6400</v>
      </c>
      <c r="J19" s="14">
        <v>5179</v>
      </c>
      <c r="K19" s="15">
        <f>L19</f>
        <v>5179</v>
      </c>
      <c r="L19" s="15">
        <f>2437+2742</f>
        <v>5179</v>
      </c>
      <c r="M19" s="15">
        <f t="shared" si="0"/>
        <v>5179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0.64583333333333326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151</v>
      </c>
      <c r="F20" s="30" t="s">
        <v>142</v>
      </c>
      <c r="G20" s="12">
        <v>1</v>
      </c>
      <c r="H20" s="13">
        <v>24</v>
      </c>
      <c r="I20" s="7">
        <v>17100</v>
      </c>
      <c r="J20" s="14">
        <v>5631</v>
      </c>
      <c r="K20" s="15">
        <f>L20+3838</f>
        <v>9469</v>
      </c>
      <c r="L20" s="15">
        <f>2775+2856</f>
        <v>5631</v>
      </c>
      <c r="M20" s="15">
        <f t="shared" si="0"/>
        <v>5631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0.64583333333333326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140</v>
      </c>
      <c r="F21" s="12" t="s">
        <v>114</v>
      </c>
      <c r="G21" s="12">
        <v>4</v>
      </c>
      <c r="H21" s="35">
        <v>20</v>
      </c>
      <c r="I21" s="7">
        <v>500000</v>
      </c>
      <c r="J21" s="14">
        <v>36276</v>
      </c>
      <c r="K21" s="15">
        <f>L21+29516+33412+34840+28200+28768+36912</f>
        <v>227924</v>
      </c>
      <c r="L21" s="15">
        <f>9069*4</f>
        <v>36276</v>
      </c>
      <c r="M21" s="15">
        <f t="shared" si="0"/>
        <v>36276</v>
      </c>
      <c r="N21" s="15">
        <v>0</v>
      </c>
      <c r="O21" s="58">
        <f t="shared" si="1"/>
        <v>0</v>
      </c>
      <c r="P21" s="39">
        <f t="shared" si="2"/>
        <v>12</v>
      </c>
      <c r="Q21" s="40">
        <f t="shared" si="3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</v>
      </c>
      <c r="AD21" s="10">
        <f t="shared" si="6"/>
        <v>0.5</v>
      </c>
      <c r="AE21" s="36">
        <f t="shared" si="7"/>
        <v>0.64583333333333326</v>
      </c>
      <c r="AF21" s="84">
        <f t="shared" si="8"/>
        <v>16</v>
      </c>
    </row>
    <row r="22" spans="1:32" ht="31.5" customHeight="1" thickBot="1">
      <c r="A22" s="384" t="s">
        <v>34</v>
      </c>
      <c r="B22" s="385"/>
      <c r="C22" s="385"/>
      <c r="D22" s="385"/>
      <c r="E22" s="385"/>
      <c r="F22" s="385"/>
      <c r="G22" s="385"/>
      <c r="H22" s="386"/>
      <c r="I22" s="22">
        <f t="shared" ref="I22:N22" si="9">SUM(I6:I21)</f>
        <v>930650</v>
      </c>
      <c r="J22" s="19">
        <f t="shared" si="9"/>
        <v>194304</v>
      </c>
      <c r="K22" s="20">
        <f t="shared" si="9"/>
        <v>549060</v>
      </c>
      <c r="L22" s="21">
        <f t="shared" si="9"/>
        <v>121100</v>
      </c>
      <c r="M22" s="20">
        <f t="shared" si="9"/>
        <v>121100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248</v>
      </c>
      <c r="Q22" s="43">
        <f t="shared" si="10"/>
        <v>136</v>
      </c>
      <c r="R22" s="23">
        <f t="shared" si="10"/>
        <v>24</v>
      </c>
      <c r="S22" s="24">
        <f t="shared" si="10"/>
        <v>26</v>
      </c>
      <c r="T22" s="24">
        <f t="shared" si="10"/>
        <v>8</v>
      </c>
      <c r="U22" s="24">
        <f t="shared" si="10"/>
        <v>0</v>
      </c>
      <c r="V22" s="25">
        <f t="shared" si="10"/>
        <v>12</v>
      </c>
      <c r="W22" s="26">
        <f t="shared" si="10"/>
        <v>66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0</v>
      </c>
      <c r="AB22" s="28">
        <f>AVERAGE(AB6:AB21)</f>
        <v>0.8666666666666667</v>
      </c>
      <c r="AC22" s="4">
        <f>AVERAGE(AC6:AC21)</f>
        <v>0.64583333333333326</v>
      </c>
      <c r="AD22" s="4">
        <f>AVERAGE(AD6:AD21)</f>
        <v>0.64583333333333326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387" t="s">
        <v>45</v>
      </c>
      <c r="B49" s="387"/>
      <c r="C49" s="387"/>
      <c r="D49" s="387"/>
      <c r="E49" s="38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388" t="s">
        <v>367</v>
      </c>
      <c r="B50" s="389"/>
      <c r="C50" s="389"/>
      <c r="D50" s="389"/>
      <c r="E50" s="389"/>
      <c r="F50" s="389"/>
      <c r="G50" s="389"/>
      <c r="H50" s="389"/>
      <c r="I50" s="389"/>
      <c r="J50" s="389"/>
      <c r="K50" s="389"/>
      <c r="L50" s="389"/>
      <c r="M50" s="390"/>
      <c r="N50" s="391" t="s">
        <v>368</v>
      </c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  <c r="AA50" s="392"/>
      <c r="AB50" s="392"/>
      <c r="AC50" s="392"/>
      <c r="AD50" s="393"/>
    </row>
    <row r="51" spans="1:32" ht="27" customHeight="1">
      <c r="A51" s="394" t="s">
        <v>2</v>
      </c>
      <c r="B51" s="395"/>
      <c r="C51" s="225" t="s">
        <v>46</v>
      </c>
      <c r="D51" s="225" t="s">
        <v>47</v>
      </c>
      <c r="E51" s="225" t="s">
        <v>107</v>
      </c>
      <c r="F51" s="396" t="s">
        <v>106</v>
      </c>
      <c r="G51" s="397"/>
      <c r="H51" s="397"/>
      <c r="I51" s="397"/>
      <c r="J51" s="397"/>
      <c r="K51" s="397"/>
      <c r="L51" s="397"/>
      <c r="M51" s="398"/>
      <c r="N51" s="67" t="s">
        <v>110</v>
      </c>
      <c r="O51" s="225" t="s">
        <v>46</v>
      </c>
      <c r="P51" s="396" t="s">
        <v>47</v>
      </c>
      <c r="Q51" s="399"/>
      <c r="R51" s="396" t="s">
        <v>38</v>
      </c>
      <c r="S51" s="397"/>
      <c r="T51" s="397"/>
      <c r="U51" s="399"/>
      <c r="V51" s="396" t="s">
        <v>48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420" t="s">
        <v>119</v>
      </c>
      <c r="B52" s="421"/>
      <c r="C52" s="221" t="s">
        <v>129</v>
      </c>
      <c r="D52" s="221" t="s">
        <v>131</v>
      </c>
      <c r="E52" s="221" t="s">
        <v>139</v>
      </c>
      <c r="F52" s="412" t="s">
        <v>364</v>
      </c>
      <c r="G52" s="413"/>
      <c r="H52" s="413"/>
      <c r="I52" s="413"/>
      <c r="J52" s="413"/>
      <c r="K52" s="413"/>
      <c r="L52" s="413"/>
      <c r="M52" s="414"/>
      <c r="N52" s="220" t="s">
        <v>119</v>
      </c>
      <c r="O52" s="218" t="s">
        <v>129</v>
      </c>
      <c r="P52" s="415" t="s">
        <v>131</v>
      </c>
      <c r="Q52" s="416"/>
      <c r="R52" s="415" t="s">
        <v>139</v>
      </c>
      <c r="S52" s="417"/>
      <c r="T52" s="417"/>
      <c r="U52" s="416"/>
      <c r="V52" s="418" t="s">
        <v>126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10" t="s">
        <v>121</v>
      </c>
      <c r="B53" s="411"/>
      <c r="C53" s="224" t="s">
        <v>143</v>
      </c>
      <c r="D53" s="224"/>
      <c r="E53" s="221" t="s">
        <v>321</v>
      </c>
      <c r="F53" s="412" t="s">
        <v>365</v>
      </c>
      <c r="G53" s="413"/>
      <c r="H53" s="413"/>
      <c r="I53" s="413"/>
      <c r="J53" s="413"/>
      <c r="K53" s="413"/>
      <c r="L53" s="413"/>
      <c r="M53" s="414"/>
      <c r="N53" s="220" t="s">
        <v>121</v>
      </c>
      <c r="O53" s="218" t="s">
        <v>143</v>
      </c>
      <c r="P53" s="415" t="s">
        <v>115</v>
      </c>
      <c r="Q53" s="416"/>
      <c r="R53" s="415" t="s">
        <v>321</v>
      </c>
      <c r="S53" s="417"/>
      <c r="T53" s="417"/>
      <c r="U53" s="416"/>
      <c r="V53" s="418" t="s">
        <v>126</v>
      </c>
      <c r="W53" s="418"/>
      <c r="X53" s="418"/>
      <c r="Y53" s="418"/>
      <c r="Z53" s="418"/>
      <c r="AA53" s="418"/>
      <c r="AB53" s="418"/>
      <c r="AC53" s="418"/>
      <c r="AD53" s="419"/>
    </row>
    <row r="54" spans="1:32" ht="27" customHeight="1">
      <c r="A54" s="420" t="s">
        <v>119</v>
      </c>
      <c r="B54" s="421"/>
      <c r="C54" s="221" t="s">
        <v>187</v>
      </c>
      <c r="D54" s="221" t="s">
        <v>202</v>
      </c>
      <c r="E54" s="221" t="s">
        <v>346</v>
      </c>
      <c r="F54" s="412" t="s">
        <v>130</v>
      </c>
      <c r="G54" s="413"/>
      <c r="H54" s="413"/>
      <c r="I54" s="413"/>
      <c r="J54" s="413"/>
      <c r="K54" s="413"/>
      <c r="L54" s="413"/>
      <c r="M54" s="414"/>
      <c r="N54" s="220" t="s">
        <v>119</v>
      </c>
      <c r="O54" s="218" t="s">
        <v>137</v>
      </c>
      <c r="P54" s="415" t="s">
        <v>228</v>
      </c>
      <c r="Q54" s="416"/>
      <c r="R54" s="415" t="s">
        <v>369</v>
      </c>
      <c r="S54" s="417"/>
      <c r="T54" s="417"/>
      <c r="U54" s="416"/>
      <c r="V54" s="418" t="s">
        <v>130</v>
      </c>
      <c r="W54" s="418"/>
      <c r="X54" s="418"/>
      <c r="Y54" s="418"/>
      <c r="Z54" s="418"/>
      <c r="AA54" s="418"/>
      <c r="AB54" s="418"/>
      <c r="AC54" s="418"/>
      <c r="AD54" s="419"/>
    </row>
    <row r="55" spans="1:32" ht="27" customHeight="1">
      <c r="A55" s="410" t="s">
        <v>112</v>
      </c>
      <c r="B55" s="411"/>
      <c r="C55" s="224" t="s">
        <v>219</v>
      </c>
      <c r="D55" s="224" t="s">
        <v>115</v>
      </c>
      <c r="E55" s="224" t="s">
        <v>347</v>
      </c>
      <c r="F55" s="412" t="s">
        <v>366</v>
      </c>
      <c r="G55" s="413"/>
      <c r="H55" s="413"/>
      <c r="I55" s="413"/>
      <c r="J55" s="413"/>
      <c r="K55" s="413"/>
      <c r="L55" s="413"/>
      <c r="M55" s="414"/>
      <c r="N55" s="220" t="s">
        <v>112</v>
      </c>
      <c r="O55" s="218" t="s">
        <v>230</v>
      </c>
      <c r="P55" s="415" t="s">
        <v>231</v>
      </c>
      <c r="Q55" s="416"/>
      <c r="R55" s="415" t="s">
        <v>370</v>
      </c>
      <c r="S55" s="417"/>
      <c r="T55" s="417"/>
      <c r="U55" s="416"/>
      <c r="V55" s="418" t="s">
        <v>130</v>
      </c>
      <c r="W55" s="418"/>
      <c r="X55" s="418"/>
      <c r="Y55" s="418"/>
      <c r="Z55" s="418"/>
      <c r="AA55" s="418"/>
      <c r="AB55" s="418"/>
      <c r="AC55" s="418"/>
      <c r="AD55" s="419"/>
    </row>
    <row r="56" spans="1:32" ht="27" customHeight="1">
      <c r="A56" s="410" t="s">
        <v>112</v>
      </c>
      <c r="B56" s="411"/>
      <c r="C56" s="224" t="s">
        <v>145</v>
      </c>
      <c r="D56" s="224" t="s">
        <v>147</v>
      </c>
      <c r="E56" s="221" t="s">
        <v>348</v>
      </c>
      <c r="F56" s="412" t="s">
        <v>130</v>
      </c>
      <c r="G56" s="413"/>
      <c r="H56" s="413"/>
      <c r="I56" s="413"/>
      <c r="J56" s="413"/>
      <c r="K56" s="413"/>
      <c r="L56" s="413"/>
      <c r="M56" s="414"/>
      <c r="N56" s="220"/>
      <c r="O56" s="218"/>
      <c r="P56" s="415"/>
      <c r="Q56" s="416"/>
      <c r="R56" s="415"/>
      <c r="S56" s="417"/>
      <c r="T56" s="417"/>
      <c r="U56" s="416"/>
      <c r="V56" s="418"/>
      <c r="W56" s="418"/>
      <c r="X56" s="418"/>
      <c r="Y56" s="418"/>
      <c r="Z56" s="418"/>
      <c r="AA56" s="418"/>
      <c r="AB56" s="418"/>
      <c r="AC56" s="418"/>
      <c r="AD56" s="419"/>
    </row>
    <row r="57" spans="1:32" ht="27" customHeight="1">
      <c r="A57" s="410" t="s">
        <v>112</v>
      </c>
      <c r="B57" s="411"/>
      <c r="C57" s="224" t="s">
        <v>184</v>
      </c>
      <c r="D57" s="224" t="s">
        <v>195</v>
      </c>
      <c r="E57" s="221" t="s">
        <v>349</v>
      </c>
      <c r="F57" s="412" t="s">
        <v>130</v>
      </c>
      <c r="G57" s="413"/>
      <c r="H57" s="413"/>
      <c r="I57" s="413"/>
      <c r="J57" s="413"/>
      <c r="K57" s="413"/>
      <c r="L57" s="413"/>
      <c r="M57" s="414"/>
      <c r="N57" s="220"/>
      <c r="O57" s="218"/>
      <c r="P57" s="415"/>
      <c r="Q57" s="416"/>
      <c r="R57" s="415"/>
      <c r="S57" s="417"/>
      <c r="T57" s="417"/>
      <c r="U57" s="416"/>
      <c r="V57" s="418"/>
      <c r="W57" s="418"/>
      <c r="X57" s="418"/>
      <c r="Y57" s="418"/>
      <c r="Z57" s="418"/>
      <c r="AA57" s="418"/>
      <c r="AB57" s="418"/>
      <c r="AC57" s="418"/>
      <c r="AD57" s="419"/>
    </row>
    <row r="58" spans="1:32" ht="27" customHeight="1">
      <c r="A58" s="410" t="s">
        <v>112</v>
      </c>
      <c r="B58" s="411"/>
      <c r="C58" s="224" t="s">
        <v>135</v>
      </c>
      <c r="D58" s="224" t="s">
        <v>224</v>
      </c>
      <c r="E58" s="221" t="s">
        <v>350</v>
      </c>
      <c r="F58" s="412" t="s">
        <v>130</v>
      </c>
      <c r="G58" s="413"/>
      <c r="H58" s="413"/>
      <c r="I58" s="413"/>
      <c r="J58" s="413"/>
      <c r="K58" s="413"/>
      <c r="L58" s="413"/>
      <c r="M58" s="414"/>
      <c r="N58" s="220"/>
      <c r="O58" s="218"/>
      <c r="P58" s="415"/>
      <c r="Q58" s="416"/>
      <c r="R58" s="415"/>
      <c r="S58" s="417"/>
      <c r="T58" s="417"/>
      <c r="U58" s="416"/>
      <c r="V58" s="418"/>
      <c r="W58" s="418"/>
      <c r="X58" s="418"/>
      <c r="Y58" s="418"/>
      <c r="Z58" s="418"/>
      <c r="AA58" s="418"/>
      <c r="AB58" s="418"/>
      <c r="AC58" s="418"/>
      <c r="AD58" s="419"/>
    </row>
    <row r="59" spans="1:32" ht="27" customHeight="1">
      <c r="A59" s="420" t="s">
        <v>119</v>
      </c>
      <c r="B59" s="421"/>
      <c r="C59" s="221" t="s">
        <v>230</v>
      </c>
      <c r="D59" s="221" t="s">
        <v>231</v>
      </c>
      <c r="E59" s="221" t="s">
        <v>363</v>
      </c>
      <c r="F59" s="412" t="s">
        <v>130</v>
      </c>
      <c r="G59" s="413"/>
      <c r="H59" s="413"/>
      <c r="I59" s="413"/>
      <c r="J59" s="413"/>
      <c r="K59" s="413"/>
      <c r="L59" s="413"/>
      <c r="M59" s="414"/>
      <c r="N59" s="220"/>
      <c r="O59" s="218"/>
      <c r="P59" s="415"/>
      <c r="Q59" s="416"/>
      <c r="R59" s="421"/>
      <c r="S59" s="421"/>
      <c r="T59" s="421"/>
      <c r="U59" s="421"/>
      <c r="V59" s="418"/>
      <c r="W59" s="418"/>
      <c r="X59" s="418"/>
      <c r="Y59" s="418"/>
      <c r="Z59" s="418"/>
      <c r="AA59" s="418"/>
      <c r="AB59" s="418"/>
      <c r="AC59" s="418"/>
      <c r="AD59" s="419"/>
    </row>
    <row r="60" spans="1:32" ht="27" customHeight="1">
      <c r="A60" s="410"/>
      <c r="B60" s="411"/>
      <c r="C60" s="224"/>
      <c r="D60" s="224"/>
      <c r="E60" s="221"/>
      <c r="F60" s="412"/>
      <c r="G60" s="413"/>
      <c r="H60" s="413"/>
      <c r="I60" s="413"/>
      <c r="J60" s="413"/>
      <c r="K60" s="413"/>
      <c r="L60" s="413"/>
      <c r="M60" s="414"/>
      <c r="N60" s="220"/>
      <c r="O60" s="218"/>
      <c r="P60" s="421"/>
      <c r="Q60" s="421"/>
      <c r="R60" s="421"/>
      <c r="S60" s="421"/>
      <c r="T60" s="421"/>
      <c r="U60" s="421"/>
      <c r="V60" s="418"/>
      <c r="W60" s="418"/>
      <c r="X60" s="418"/>
      <c r="Y60" s="418"/>
      <c r="Z60" s="418"/>
      <c r="AA60" s="418"/>
      <c r="AB60" s="418"/>
      <c r="AC60" s="418"/>
      <c r="AD60" s="419"/>
      <c r="AF60" s="84">
        <f>8*3000</f>
        <v>24000</v>
      </c>
    </row>
    <row r="61" spans="1:32" ht="27" customHeight="1" thickBot="1">
      <c r="A61" s="422"/>
      <c r="B61" s="423"/>
      <c r="C61" s="222"/>
      <c r="D61" s="223"/>
      <c r="E61" s="223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30" t="s">
        <v>372</v>
      </c>
      <c r="B62" s="430"/>
      <c r="C62" s="430"/>
      <c r="D62" s="430"/>
      <c r="E62" s="43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31" t="s">
        <v>111</v>
      </c>
      <c r="B63" s="432"/>
      <c r="C63" s="219" t="s">
        <v>2</v>
      </c>
      <c r="D63" s="219" t="s">
        <v>37</v>
      </c>
      <c r="E63" s="219" t="s">
        <v>3</v>
      </c>
      <c r="F63" s="432" t="s">
        <v>109</v>
      </c>
      <c r="G63" s="432"/>
      <c r="H63" s="432"/>
      <c r="I63" s="432"/>
      <c r="J63" s="432"/>
      <c r="K63" s="432" t="s">
        <v>39</v>
      </c>
      <c r="L63" s="432"/>
      <c r="M63" s="219" t="s">
        <v>40</v>
      </c>
      <c r="N63" s="432" t="s">
        <v>41</v>
      </c>
      <c r="O63" s="432"/>
      <c r="P63" s="433" t="s">
        <v>42</v>
      </c>
      <c r="Q63" s="434"/>
      <c r="R63" s="433" t="s">
        <v>43</v>
      </c>
      <c r="S63" s="435"/>
      <c r="T63" s="435"/>
      <c r="U63" s="435"/>
      <c r="V63" s="435"/>
      <c r="W63" s="435"/>
      <c r="X63" s="435"/>
      <c r="Y63" s="435"/>
      <c r="Z63" s="435"/>
      <c r="AA63" s="434"/>
      <c r="AB63" s="432" t="s">
        <v>44</v>
      </c>
      <c r="AC63" s="432"/>
      <c r="AD63" s="436"/>
      <c r="AF63" s="84">
        <f>SUM(AF60:AF62)</f>
        <v>96000</v>
      </c>
    </row>
    <row r="64" spans="1:32" ht="25.5" customHeight="1">
      <c r="A64" s="437">
        <v>1</v>
      </c>
      <c r="B64" s="438"/>
      <c r="C64" s="104" t="s">
        <v>119</v>
      </c>
      <c r="D64" s="214"/>
      <c r="E64" s="217" t="s">
        <v>131</v>
      </c>
      <c r="F64" s="439" t="s">
        <v>290</v>
      </c>
      <c r="G64" s="440"/>
      <c r="H64" s="440"/>
      <c r="I64" s="440"/>
      <c r="J64" s="441"/>
      <c r="K64" s="442" t="s">
        <v>132</v>
      </c>
      <c r="L64" s="442"/>
      <c r="M64" s="51" t="s">
        <v>141</v>
      </c>
      <c r="N64" s="443" t="s">
        <v>335</v>
      </c>
      <c r="O64" s="443"/>
      <c r="P64" s="444">
        <v>200</v>
      </c>
      <c r="Q64" s="444"/>
      <c r="R64" s="418"/>
      <c r="S64" s="418"/>
      <c r="T64" s="418"/>
      <c r="U64" s="418"/>
      <c r="V64" s="418"/>
      <c r="W64" s="418"/>
      <c r="X64" s="418"/>
      <c r="Y64" s="418"/>
      <c r="Z64" s="418"/>
      <c r="AA64" s="418"/>
      <c r="AB64" s="442"/>
      <c r="AC64" s="442"/>
      <c r="AD64" s="445"/>
      <c r="AF64" s="50"/>
    </row>
    <row r="65" spans="1:32" ht="25.5" customHeight="1">
      <c r="A65" s="437">
        <v>2</v>
      </c>
      <c r="B65" s="438"/>
      <c r="C65" s="104" t="s">
        <v>118</v>
      </c>
      <c r="D65" s="214"/>
      <c r="E65" s="217" t="s">
        <v>131</v>
      </c>
      <c r="F65" s="439" t="s">
        <v>371</v>
      </c>
      <c r="G65" s="440"/>
      <c r="H65" s="440"/>
      <c r="I65" s="440"/>
      <c r="J65" s="441"/>
      <c r="K65" s="442" t="s">
        <v>362</v>
      </c>
      <c r="L65" s="442"/>
      <c r="M65" s="51" t="s">
        <v>141</v>
      </c>
      <c r="N65" s="443" t="s">
        <v>145</v>
      </c>
      <c r="O65" s="443"/>
      <c r="P65" s="444">
        <v>300</v>
      </c>
      <c r="Q65" s="444"/>
      <c r="R65" s="418"/>
      <c r="S65" s="418"/>
      <c r="T65" s="418"/>
      <c r="U65" s="418"/>
      <c r="V65" s="418"/>
      <c r="W65" s="418"/>
      <c r="X65" s="418"/>
      <c r="Y65" s="418"/>
      <c r="Z65" s="418"/>
      <c r="AA65" s="418"/>
      <c r="AB65" s="442"/>
      <c r="AC65" s="442"/>
      <c r="AD65" s="445"/>
      <c r="AF65" s="50"/>
    </row>
    <row r="66" spans="1:32" ht="25.5" customHeight="1">
      <c r="A66" s="437">
        <v>3</v>
      </c>
      <c r="B66" s="438"/>
      <c r="C66" s="104"/>
      <c r="D66" s="214"/>
      <c r="E66" s="217"/>
      <c r="F66" s="439"/>
      <c r="G66" s="440"/>
      <c r="H66" s="440"/>
      <c r="I66" s="440"/>
      <c r="J66" s="441"/>
      <c r="K66" s="442"/>
      <c r="L66" s="442"/>
      <c r="M66" s="51"/>
      <c r="N66" s="443"/>
      <c r="O66" s="443"/>
      <c r="P66" s="444"/>
      <c r="Q66" s="444"/>
      <c r="R66" s="418"/>
      <c r="S66" s="418"/>
      <c r="T66" s="418"/>
      <c r="U66" s="418"/>
      <c r="V66" s="418"/>
      <c r="W66" s="418"/>
      <c r="X66" s="418"/>
      <c r="Y66" s="418"/>
      <c r="Z66" s="418"/>
      <c r="AA66" s="418"/>
      <c r="AB66" s="442"/>
      <c r="AC66" s="442"/>
      <c r="AD66" s="445"/>
      <c r="AF66" s="50"/>
    </row>
    <row r="67" spans="1:32" ht="25.5" customHeight="1">
      <c r="A67" s="437">
        <v>4</v>
      </c>
      <c r="B67" s="438"/>
      <c r="C67" s="104"/>
      <c r="D67" s="214"/>
      <c r="E67" s="217"/>
      <c r="F67" s="439"/>
      <c r="G67" s="440"/>
      <c r="H67" s="440"/>
      <c r="I67" s="440"/>
      <c r="J67" s="441"/>
      <c r="K67" s="442"/>
      <c r="L67" s="442"/>
      <c r="M67" s="51"/>
      <c r="N67" s="443"/>
      <c r="O67" s="443"/>
      <c r="P67" s="444"/>
      <c r="Q67" s="444"/>
      <c r="R67" s="418"/>
      <c r="S67" s="418"/>
      <c r="T67" s="418"/>
      <c r="U67" s="418"/>
      <c r="V67" s="418"/>
      <c r="W67" s="418"/>
      <c r="X67" s="418"/>
      <c r="Y67" s="418"/>
      <c r="Z67" s="418"/>
      <c r="AA67" s="418"/>
      <c r="AB67" s="442"/>
      <c r="AC67" s="442"/>
      <c r="AD67" s="445"/>
      <c r="AF67" s="50"/>
    </row>
    <row r="68" spans="1:32" ht="25.5" customHeight="1">
      <c r="A68" s="437">
        <v>5</v>
      </c>
      <c r="B68" s="438"/>
      <c r="C68" s="104"/>
      <c r="D68" s="214"/>
      <c r="E68" s="217"/>
      <c r="F68" s="439"/>
      <c r="G68" s="440"/>
      <c r="H68" s="440"/>
      <c r="I68" s="440"/>
      <c r="J68" s="441"/>
      <c r="K68" s="442"/>
      <c r="L68" s="442"/>
      <c r="M68" s="51"/>
      <c r="N68" s="443"/>
      <c r="O68" s="443"/>
      <c r="P68" s="444"/>
      <c r="Q68" s="444"/>
      <c r="R68" s="418"/>
      <c r="S68" s="418"/>
      <c r="T68" s="418"/>
      <c r="U68" s="418"/>
      <c r="V68" s="418"/>
      <c r="W68" s="418"/>
      <c r="X68" s="418"/>
      <c r="Y68" s="418"/>
      <c r="Z68" s="418"/>
      <c r="AA68" s="418"/>
      <c r="AB68" s="442"/>
      <c r="AC68" s="442"/>
      <c r="AD68" s="445"/>
      <c r="AF68" s="50"/>
    </row>
    <row r="69" spans="1:32" ht="25.5" customHeight="1">
      <c r="A69" s="437">
        <v>6</v>
      </c>
      <c r="B69" s="438"/>
      <c r="C69" s="104"/>
      <c r="D69" s="214"/>
      <c r="E69" s="217"/>
      <c r="F69" s="439"/>
      <c r="G69" s="440"/>
      <c r="H69" s="440"/>
      <c r="I69" s="440"/>
      <c r="J69" s="441"/>
      <c r="K69" s="442"/>
      <c r="L69" s="442"/>
      <c r="M69" s="51"/>
      <c r="N69" s="443"/>
      <c r="O69" s="443"/>
      <c r="P69" s="444"/>
      <c r="Q69" s="444"/>
      <c r="R69" s="418"/>
      <c r="S69" s="418"/>
      <c r="T69" s="418"/>
      <c r="U69" s="418"/>
      <c r="V69" s="418"/>
      <c r="W69" s="418"/>
      <c r="X69" s="418"/>
      <c r="Y69" s="418"/>
      <c r="Z69" s="418"/>
      <c r="AA69" s="418"/>
      <c r="AB69" s="442"/>
      <c r="AC69" s="442"/>
      <c r="AD69" s="445"/>
      <c r="AF69" s="50"/>
    </row>
    <row r="70" spans="1:32" ht="25.5" customHeight="1">
      <c r="A70" s="437">
        <v>7</v>
      </c>
      <c r="B70" s="438"/>
      <c r="C70" s="104"/>
      <c r="D70" s="214"/>
      <c r="E70" s="217"/>
      <c r="F70" s="447"/>
      <c r="G70" s="442"/>
      <c r="H70" s="442"/>
      <c r="I70" s="442"/>
      <c r="J70" s="442"/>
      <c r="K70" s="442"/>
      <c r="L70" s="442"/>
      <c r="M70" s="51"/>
      <c r="N70" s="443"/>
      <c r="O70" s="443"/>
      <c r="P70" s="444"/>
      <c r="Q70" s="444"/>
      <c r="R70" s="418"/>
      <c r="S70" s="418"/>
      <c r="T70" s="418"/>
      <c r="U70" s="418"/>
      <c r="V70" s="418"/>
      <c r="W70" s="418"/>
      <c r="X70" s="418"/>
      <c r="Y70" s="418"/>
      <c r="Z70" s="418"/>
      <c r="AA70" s="418"/>
      <c r="AB70" s="442"/>
      <c r="AC70" s="442"/>
      <c r="AD70" s="445"/>
      <c r="AF70" s="50"/>
    </row>
    <row r="71" spans="1:32" ht="25.5" customHeight="1">
      <c r="A71" s="437">
        <v>8</v>
      </c>
      <c r="B71" s="438"/>
      <c r="C71" s="104"/>
      <c r="D71" s="214"/>
      <c r="E71" s="217"/>
      <c r="F71" s="447"/>
      <c r="G71" s="442"/>
      <c r="H71" s="442"/>
      <c r="I71" s="442"/>
      <c r="J71" s="442"/>
      <c r="K71" s="442"/>
      <c r="L71" s="442"/>
      <c r="M71" s="51"/>
      <c r="N71" s="443"/>
      <c r="O71" s="443"/>
      <c r="P71" s="444"/>
      <c r="Q71" s="444"/>
      <c r="R71" s="418"/>
      <c r="S71" s="418"/>
      <c r="T71" s="418"/>
      <c r="U71" s="418"/>
      <c r="V71" s="418"/>
      <c r="W71" s="418"/>
      <c r="X71" s="418"/>
      <c r="Y71" s="418"/>
      <c r="Z71" s="418"/>
      <c r="AA71" s="418"/>
      <c r="AB71" s="442"/>
      <c r="AC71" s="442"/>
      <c r="AD71" s="445"/>
      <c r="AF71" s="50"/>
    </row>
    <row r="72" spans="1:32" ht="25.5" customHeight="1">
      <c r="A72" s="437">
        <v>9</v>
      </c>
      <c r="B72" s="438"/>
      <c r="C72" s="104"/>
      <c r="D72" s="214"/>
      <c r="E72" s="217"/>
      <c r="F72" s="447"/>
      <c r="G72" s="442"/>
      <c r="H72" s="442"/>
      <c r="I72" s="442"/>
      <c r="J72" s="442"/>
      <c r="K72" s="442"/>
      <c r="L72" s="442"/>
      <c r="M72" s="51"/>
      <c r="N72" s="443"/>
      <c r="O72" s="443"/>
      <c r="P72" s="444"/>
      <c r="Q72" s="444"/>
      <c r="R72" s="418"/>
      <c r="S72" s="418"/>
      <c r="T72" s="418"/>
      <c r="U72" s="418"/>
      <c r="V72" s="418"/>
      <c r="W72" s="418"/>
      <c r="X72" s="418"/>
      <c r="Y72" s="418"/>
      <c r="Z72" s="418"/>
      <c r="AA72" s="418"/>
      <c r="AB72" s="442"/>
      <c r="AC72" s="442"/>
      <c r="AD72" s="445"/>
      <c r="AF72" s="50"/>
    </row>
    <row r="73" spans="1:32" ht="25.5" customHeight="1">
      <c r="A73" s="437">
        <v>10</v>
      </c>
      <c r="B73" s="438"/>
      <c r="C73" s="104"/>
      <c r="D73" s="214"/>
      <c r="E73" s="217"/>
      <c r="F73" s="447"/>
      <c r="G73" s="442"/>
      <c r="H73" s="442"/>
      <c r="I73" s="442"/>
      <c r="J73" s="442"/>
      <c r="K73" s="442"/>
      <c r="L73" s="442"/>
      <c r="M73" s="51"/>
      <c r="N73" s="443"/>
      <c r="O73" s="443"/>
      <c r="P73" s="444"/>
      <c r="Q73" s="444"/>
      <c r="R73" s="418"/>
      <c r="S73" s="418"/>
      <c r="T73" s="418"/>
      <c r="U73" s="418"/>
      <c r="V73" s="418"/>
      <c r="W73" s="418"/>
      <c r="X73" s="418"/>
      <c r="Y73" s="418"/>
      <c r="Z73" s="418"/>
      <c r="AA73" s="418"/>
      <c r="AB73" s="442"/>
      <c r="AC73" s="442"/>
      <c r="AD73" s="445"/>
      <c r="AF73" s="50"/>
    </row>
    <row r="74" spans="1:32" ht="26.25" customHeight="1" thickBot="1">
      <c r="A74" s="448" t="s">
        <v>373</v>
      </c>
      <c r="B74" s="448"/>
      <c r="C74" s="448"/>
      <c r="D74" s="448"/>
      <c r="E74" s="44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49" t="s">
        <v>134</v>
      </c>
      <c r="B75" s="450"/>
      <c r="C75" s="216" t="s">
        <v>2</v>
      </c>
      <c r="D75" s="216" t="s">
        <v>37</v>
      </c>
      <c r="E75" s="216" t="s">
        <v>128</v>
      </c>
      <c r="F75" s="450" t="s">
        <v>38</v>
      </c>
      <c r="G75" s="450"/>
      <c r="H75" s="450"/>
      <c r="I75" s="450"/>
      <c r="J75" s="450"/>
      <c r="K75" s="451" t="s">
        <v>58</v>
      </c>
      <c r="L75" s="452"/>
      <c r="M75" s="452"/>
      <c r="N75" s="452"/>
      <c r="O75" s="452"/>
      <c r="P75" s="452"/>
      <c r="Q75" s="452"/>
      <c r="R75" s="452"/>
      <c r="S75" s="453"/>
      <c r="T75" s="450" t="s">
        <v>49</v>
      </c>
      <c r="U75" s="450"/>
      <c r="V75" s="451" t="s">
        <v>50</v>
      </c>
      <c r="W75" s="453"/>
      <c r="X75" s="452" t="s">
        <v>51</v>
      </c>
      <c r="Y75" s="452"/>
      <c r="Z75" s="452"/>
      <c r="AA75" s="452"/>
      <c r="AB75" s="452"/>
      <c r="AC75" s="452"/>
      <c r="AD75" s="454"/>
      <c r="AF75" s="50"/>
    </row>
    <row r="76" spans="1:32" ht="33.75" customHeight="1">
      <c r="A76" s="463">
        <v>1</v>
      </c>
      <c r="B76" s="464"/>
      <c r="C76" s="215" t="s">
        <v>112</v>
      </c>
      <c r="D76" s="215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44118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55">
        <f>A76+1</f>
        <v>2</v>
      </c>
      <c r="B77" s="456"/>
      <c r="C77" s="214"/>
      <c r="D77" s="214"/>
      <c r="E77" s="32"/>
      <c r="F77" s="456"/>
      <c r="G77" s="456"/>
      <c r="H77" s="456"/>
      <c r="I77" s="456"/>
      <c r="J77" s="456"/>
      <c r="K77" s="457"/>
      <c r="L77" s="458"/>
      <c r="M77" s="458"/>
      <c r="N77" s="458"/>
      <c r="O77" s="458"/>
      <c r="P77" s="458"/>
      <c r="Q77" s="458"/>
      <c r="R77" s="458"/>
      <c r="S77" s="459"/>
      <c r="T77" s="460"/>
      <c r="U77" s="460"/>
      <c r="V77" s="460"/>
      <c r="W77" s="460"/>
      <c r="X77" s="461"/>
      <c r="Y77" s="461"/>
      <c r="Z77" s="461"/>
      <c r="AA77" s="461"/>
      <c r="AB77" s="461"/>
      <c r="AC77" s="461"/>
      <c r="AD77" s="462"/>
      <c r="AF77" s="50"/>
    </row>
    <row r="78" spans="1:32" ht="30" customHeight="1">
      <c r="A78" s="455">
        <f t="shared" ref="A78:A82" si="11">A77+1</f>
        <v>3</v>
      </c>
      <c r="B78" s="456"/>
      <c r="C78" s="214"/>
      <c r="D78" s="214"/>
      <c r="E78" s="32"/>
      <c r="F78" s="456"/>
      <c r="G78" s="456"/>
      <c r="H78" s="456"/>
      <c r="I78" s="456"/>
      <c r="J78" s="456"/>
      <c r="K78" s="457"/>
      <c r="L78" s="458"/>
      <c r="M78" s="458"/>
      <c r="N78" s="458"/>
      <c r="O78" s="458"/>
      <c r="P78" s="458"/>
      <c r="Q78" s="458"/>
      <c r="R78" s="458"/>
      <c r="S78" s="459"/>
      <c r="T78" s="460"/>
      <c r="U78" s="460"/>
      <c r="V78" s="460"/>
      <c r="W78" s="460"/>
      <c r="X78" s="461"/>
      <c r="Y78" s="461"/>
      <c r="Z78" s="461"/>
      <c r="AA78" s="461"/>
      <c r="AB78" s="461"/>
      <c r="AC78" s="461"/>
      <c r="AD78" s="462"/>
      <c r="AF78" s="50"/>
    </row>
    <row r="79" spans="1:32" ht="30" customHeight="1">
      <c r="A79" s="455">
        <f t="shared" si="11"/>
        <v>4</v>
      </c>
      <c r="B79" s="456"/>
      <c r="C79" s="214"/>
      <c r="D79" s="214"/>
      <c r="E79" s="32"/>
      <c r="F79" s="456"/>
      <c r="G79" s="456"/>
      <c r="H79" s="456"/>
      <c r="I79" s="456"/>
      <c r="J79" s="456"/>
      <c r="K79" s="457"/>
      <c r="L79" s="458"/>
      <c r="M79" s="458"/>
      <c r="N79" s="458"/>
      <c r="O79" s="458"/>
      <c r="P79" s="458"/>
      <c r="Q79" s="458"/>
      <c r="R79" s="458"/>
      <c r="S79" s="459"/>
      <c r="T79" s="460"/>
      <c r="U79" s="460"/>
      <c r="V79" s="460"/>
      <c r="W79" s="460"/>
      <c r="X79" s="461"/>
      <c r="Y79" s="461"/>
      <c r="Z79" s="461"/>
      <c r="AA79" s="461"/>
      <c r="AB79" s="461"/>
      <c r="AC79" s="461"/>
      <c r="AD79" s="462"/>
      <c r="AF79" s="50"/>
    </row>
    <row r="80" spans="1:32" ht="30" customHeight="1">
      <c r="A80" s="455">
        <f t="shared" si="11"/>
        <v>5</v>
      </c>
      <c r="B80" s="456"/>
      <c r="C80" s="214"/>
      <c r="D80" s="214"/>
      <c r="E80" s="32"/>
      <c r="F80" s="456"/>
      <c r="G80" s="456"/>
      <c r="H80" s="456"/>
      <c r="I80" s="456"/>
      <c r="J80" s="456"/>
      <c r="K80" s="457"/>
      <c r="L80" s="458"/>
      <c r="M80" s="458"/>
      <c r="N80" s="458"/>
      <c r="O80" s="458"/>
      <c r="P80" s="458"/>
      <c r="Q80" s="458"/>
      <c r="R80" s="458"/>
      <c r="S80" s="459"/>
      <c r="T80" s="460"/>
      <c r="U80" s="460"/>
      <c r="V80" s="460"/>
      <c r="W80" s="460"/>
      <c r="X80" s="461"/>
      <c r="Y80" s="461"/>
      <c r="Z80" s="461"/>
      <c r="AA80" s="461"/>
      <c r="AB80" s="461"/>
      <c r="AC80" s="461"/>
      <c r="AD80" s="462"/>
      <c r="AF80" s="50"/>
    </row>
    <row r="81" spans="1:32" ht="30" customHeight="1">
      <c r="A81" s="455">
        <f t="shared" si="11"/>
        <v>6</v>
      </c>
      <c r="B81" s="456"/>
      <c r="C81" s="214"/>
      <c r="D81" s="214"/>
      <c r="E81" s="32"/>
      <c r="F81" s="456"/>
      <c r="G81" s="456"/>
      <c r="H81" s="456"/>
      <c r="I81" s="456"/>
      <c r="J81" s="456"/>
      <c r="K81" s="457"/>
      <c r="L81" s="458"/>
      <c r="M81" s="458"/>
      <c r="N81" s="458"/>
      <c r="O81" s="458"/>
      <c r="P81" s="458"/>
      <c r="Q81" s="458"/>
      <c r="R81" s="458"/>
      <c r="S81" s="459"/>
      <c r="T81" s="460"/>
      <c r="U81" s="460"/>
      <c r="V81" s="460"/>
      <c r="W81" s="460"/>
      <c r="X81" s="461"/>
      <c r="Y81" s="461"/>
      <c r="Z81" s="461"/>
      <c r="AA81" s="461"/>
      <c r="AB81" s="461"/>
      <c r="AC81" s="461"/>
      <c r="AD81" s="462"/>
      <c r="AF81" s="50"/>
    </row>
    <row r="82" spans="1:32" ht="30" customHeight="1">
      <c r="A82" s="455">
        <f t="shared" si="11"/>
        <v>7</v>
      </c>
      <c r="B82" s="456"/>
      <c r="C82" s="214"/>
      <c r="D82" s="214"/>
      <c r="E82" s="32"/>
      <c r="F82" s="456"/>
      <c r="G82" s="456"/>
      <c r="H82" s="456"/>
      <c r="I82" s="456"/>
      <c r="J82" s="456"/>
      <c r="K82" s="457"/>
      <c r="L82" s="458"/>
      <c r="M82" s="458"/>
      <c r="N82" s="458"/>
      <c r="O82" s="458"/>
      <c r="P82" s="458"/>
      <c r="Q82" s="458"/>
      <c r="R82" s="458"/>
      <c r="S82" s="459"/>
      <c r="T82" s="460"/>
      <c r="U82" s="460"/>
      <c r="V82" s="460"/>
      <c r="W82" s="460"/>
      <c r="X82" s="461"/>
      <c r="Y82" s="461"/>
      <c r="Z82" s="461"/>
      <c r="AA82" s="461"/>
      <c r="AB82" s="461"/>
      <c r="AC82" s="461"/>
      <c r="AD82" s="462"/>
      <c r="AF82" s="50"/>
    </row>
    <row r="83" spans="1:32" ht="36" thickBot="1">
      <c r="A83" s="448" t="s">
        <v>374</v>
      </c>
      <c r="B83" s="448"/>
      <c r="C83" s="448"/>
      <c r="D83" s="448"/>
      <c r="E83" s="44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49" t="s">
        <v>111</v>
      </c>
      <c r="B84" s="450"/>
      <c r="C84" s="476" t="s">
        <v>52</v>
      </c>
      <c r="D84" s="476"/>
      <c r="E84" s="476" t="s">
        <v>53</v>
      </c>
      <c r="F84" s="476"/>
      <c r="G84" s="476"/>
      <c r="H84" s="476"/>
      <c r="I84" s="476"/>
      <c r="J84" s="476"/>
      <c r="K84" s="476" t="s">
        <v>54</v>
      </c>
      <c r="L84" s="476"/>
      <c r="M84" s="476"/>
      <c r="N84" s="476"/>
      <c r="O84" s="476"/>
      <c r="P84" s="476"/>
      <c r="Q84" s="476"/>
      <c r="R84" s="476"/>
      <c r="S84" s="476"/>
      <c r="T84" s="476" t="s">
        <v>55</v>
      </c>
      <c r="U84" s="476"/>
      <c r="V84" s="476" t="s">
        <v>56</v>
      </c>
      <c r="W84" s="476"/>
      <c r="X84" s="476"/>
      <c r="Y84" s="476" t="s">
        <v>51</v>
      </c>
      <c r="Z84" s="476"/>
      <c r="AA84" s="476"/>
      <c r="AB84" s="476"/>
      <c r="AC84" s="476"/>
      <c r="AD84" s="477"/>
      <c r="AF84" s="50"/>
    </row>
    <row r="85" spans="1:32" ht="30.75" customHeight="1">
      <c r="A85" s="463">
        <v>1</v>
      </c>
      <c r="B85" s="464"/>
      <c r="C85" s="478"/>
      <c r="D85" s="478"/>
      <c r="E85" s="478"/>
      <c r="F85" s="478"/>
      <c r="G85" s="478"/>
      <c r="H85" s="478"/>
      <c r="I85" s="478"/>
      <c r="J85" s="478"/>
      <c r="K85" s="478"/>
      <c r="L85" s="478"/>
      <c r="M85" s="478"/>
      <c r="N85" s="478"/>
      <c r="O85" s="478"/>
      <c r="P85" s="478"/>
      <c r="Q85" s="478"/>
      <c r="R85" s="478"/>
      <c r="S85" s="478"/>
      <c r="T85" s="478"/>
      <c r="U85" s="478"/>
      <c r="V85" s="479"/>
      <c r="W85" s="479"/>
      <c r="X85" s="479"/>
      <c r="Y85" s="480"/>
      <c r="Z85" s="480"/>
      <c r="AA85" s="480"/>
      <c r="AB85" s="480"/>
      <c r="AC85" s="480"/>
      <c r="AD85" s="481"/>
      <c r="AF85" s="50"/>
    </row>
    <row r="86" spans="1:32" ht="30.75" customHeight="1">
      <c r="A86" s="455">
        <v>2</v>
      </c>
      <c r="B86" s="456"/>
      <c r="C86" s="489"/>
      <c r="D86" s="489"/>
      <c r="E86" s="489"/>
      <c r="F86" s="489"/>
      <c r="G86" s="489"/>
      <c r="H86" s="489"/>
      <c r="I86" s="489"/>
      <c r="J86" s="489"/>
      <c r="K86" s="489"/>
      <c r="L86" s="489"/>
      <c r="M86" s="489"/>
      <c r="N86" s="489"/>
      <c r="O86" s="489"/>
      <c r="P86" s="489"/>
      <c r="Q86" s="489"/>
      <c r="R86" s="489"/>
      <c r="S86" s="489"/>
      <c r="T86" s="490"/>
      <c r="U86" s="490"/>
      <c r="V86" s="491"/>
      <c r="W86" s="491"/>
      <c r="X86" s="491"/>
      <c r="Y86" s="482"/>
      <c r="Z86" s="482"/>
      <c r="AA86" s="482"/>
      <c r="AB86" s="482"/>
      <c r="AC86" s="482"/>
      <c r="AD86" s="483"/>
      <c r="AF86" s="50"/>
    </row>
    <row r="87" spans="1:32" ht="30.75" customHeight="1" thickBot="1">
      <c r="A87" s="484">
        <v>3</v>
      </c>
      <c r="B87" s="485"/>
      <c r="C87" s="486"/>
      <c r="D87" s="486"/>
      <c r="E87" s="486"/>
      <c r="F87" s="486"/>
      <c r="G87" s="486"/>
      <c r="H87" s="486"/>
      <c r="I87" s="486"/>
      <c r="J87" s="486"/>
      <c r="K87" s="486"/>
      <c r="L87" s="486"/>
      <c r="M87" s="486"/>
      <c r="N87" s="486"/>
      <c r="O87" s="486"/>
      <c r="P87" s="486"/>
      <c r="Q87" s="486"/>
      <c r="R87" s="486"/>
      <c r="S87" s="486"/>
      <c r="T87" s="486"/>
      <c r="U87" s="486"/>
      <c r="V87" s="486"/>
      <c r="W87" s="486"/>
      <c r="X87" s="486"/>
      <c r="Y87" s="487"/>
      <c r="Z87" s="487"/>
      <c r="AA87" s="487"/>
      <c r="AB87" s="487"/>
      <c r="AC87" s="487"/>
      <c r="AD87" s="488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A785-5FF5-4B36-8640-EFDC17A1F0DC}">
  <dimension ref="A1:AF87"/>
  <sheetViews>
    <sheetView view="pageBreakPreview" topLeftCell="A28" zoomScale="70" zoomScaleNormal="72" zoomScaleSheetLayoutView="70" workbookViewId="0">
      <selection activeCell="V12" sqref="V1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70" t="s">
        <v>375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5"/>
      <c r="T4" s="405"/>
      <c r="U4" s="405"/>
      <c r="V4" s="405"/>
      <c r="W4" s="406" t="s">
        <v>11</v>
      </c>
      <c r="X4" s="405"/>
      <c r="Y4" s="405"/>
      <c r="Z4" s="405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226" t="s">
        <v>17</v>
      </c>
      <c r="L5" s="226" t="s">
        <v>18</v>
      </c>
      <c r="M5" s="226" t="s">
        <v>19</v>
      </c>
      <c r="N5" s="22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125</v>
      </c>
      <c r="E6" s="53" t="s">
        <v>339</v>
      </c>
      <c r="F6" s="30" t="s">
        <v>206</v>
      </c>
      <c r="G6" s="12">
        <v>1</v>
      </c>
      <c r="H6" s="13">
        <v>24</v>
      </c>
      <c r="I6" s="7">
        <v>55000</v>
      </c>
      <c r="J6" s="14">
        <v>7568</v>
      </c>
      <c r="K6" s="15">
        <f>L6+3674+7328</f>
        <v>18570</v>
      </c>
      <c r="L6" s="15">
        <f>3985+3583</f>
        <v>7568</v>
      </c>
      <c r="M6" s="15">
        <f t="shared" ref="M6:M21" si="0">L6-N6</f>
        <v>7568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21" si="7">$AD$22</f>
        <v>0.56770833333333326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 t="s">
        <v>131</v>
      </c>
      <c r="E7" s="53" t="s">
        <v>139</v>
      </c>
      <c r="F7" s="12" t="s">
        <v>133</v>
      </c>
      <c r="G7" s="12">
        <v>1</v>
      </c>
      <c r="H7" s="13">
        <v>24</v>
      </c>
      <c r="I7" s="31">
        <v>50000</v>
      </c>
      <c r="J7" s="14">
        <v>3622</v>
      </c>
      <c r="K7" s="15">
        <f>L7+4913+5878+5650+6007+4705</f>
        <v>30775</v>
      </c>
      <c r="L7" s="15">
        <f>2880+742</f>
        <v>3622</v>
      </c>
      <c r="M7" s="15">
        <f t="shared" si="0"/>
        <v>3622</v>
      </c>
      <c r="N7" s="15">
        <v>0</v>
      </c>
      <c r="O7" s="58">
        <f t="shared" si="1"/>
        <v>0</v>
      </c>
      <c r="P7" s="39">
        <f t="shared" si="2"/>
        <v>17</v>
      </c>
      <c r="Q7" s="40">
        <f t="shared" si="3"/>
        <v>7</v>
      </c>
      <c r="R7" s="7"/>
      <c r="S7" s="6">
        <v>7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0.70833333333333337</v>
      </c>
      <c r="AD7" s="10">
        <f t="shared" si="6"/>
        <v>0.70833333333333337</v>
      </c>
      <c r="AE7" s="36">
        <f t="shared" si="7"/>
        <v>0.56770833333333326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/>
      <c r="E8" s="53" t="s">
        <v>321</v>
      </c>
      <c r="F8" s="30" t="s">
        <v>340</v>
      </c>
      <c r="G8" s="33">
        <v>1</v>
      </c>
      <c r="H8" s="35">
        <v>24</v>
      </c>
      <c r="I8" s="7">
        <v>50500</v>
      </c>
      <c r="J8" s="5">
        <v>5035</v>
      </c>
      <c r="K8" s="15">
        <f>L8+4349+2445</f>
        <v>11829</v>
      </c>
      <c r="L8" s="15">
        <f>2864+2171</f>
        <v>5035</v>
      </c>
      <c r="M8" s="15">
        <f t="shared" si="0"/>
        <v>5035</v>
      </c>
      <c r="N8" s="15">
        <v>0</v>
      </c>
      <c r="O8" s="58">
        <f t="shared" si="1"/>
        <v>0</v>
      </c>
      <c r="P8" s="39">
        <f t="shared" si="2"/>
        <v>22</v>
      </c>
      <c r="Q8" s="40">
        <f t="shared" si="3"/>
        <v>2</v>
      </c>
      <c r="R8" s="7"/>
      <c r="S8" s="6">
        <v>2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0.91666666666666663</v>
      </c>
      <c r="AD8" s="10">
        <f t="shared" si="6"/>
        <v>0.91666666666666663</v>
      </c>
      <c r="AE8" s="36">
        <f t="shared" si="7"/>
        <v>0.56770833333333326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119</v>
      </c>
      <c r="D9" s="52" t="s">
        <v>228</v>
      </c>
      <c r="E9" s="53" t="s">
        <v>369</v>
      </c>
      <c r="F9" s="30" t="s">
        <v>362</v>
      </c>
      <c r="G9" s="12">
        <v>1</v>
      </c>
      <c r="H9" s="13">
        <v>24</v>
      </c>
      <c r="I9" s="7">
        <v>20000</v>
      </c>
      <c r="J9" s="14">
        <v>4978</v>
      </c>
      <c r="K9" s="15">
        <f>L9</f>
        <v>4978</v>
      </c>
      <c r="L9" s="15">
        <f>2233+2745</f>
        <v>4978</v>
      </c>
      <c r="M9" s="15">
        <f t="shared" si="0"/>
        <v>4978</v>
      </c>
      <c r="N9" s="15">
        <v>0</v>
      </c>
      <c r="O9" s="58">
        <f t="shared" si="1"/>
        <v>0</v>
      </c>
      <c r="P9" s="39">
        <f t="shared" si="2"/>
        <v>23</v>
      </c>
      <c r="Q9" s="40">
        <f t="shared" si="3"/>
        <v>1</v>
      </c>
      <c r="R9" s="7"/>
      <c r="S9" s="6"/>
      <c r="T9" s="16">
        <v>1</v>
      </c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0.95833333333333337</v>
      </c>
      <c r="AD9" s="10">
        <f t="shared" si="6"/>
        <v>0.95833333333333337</v>
      </c>
      <c r="AE9" s="36">
        <f t="shared" si="7"/>
        <v>0.56770833333333326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119</v>
      </c>
      <c r="D10" s="52" t="s">
        <v>202</v>
      </c>
      <c r="E10" s="53" t="s">
        <v>346</v>
      </c>
      <c r="F10" s="30" t="s">
        <v>158</v>
      </c>
      <c r="G10" s="33">
        <v>4</v>
      </c>
      <c r="H10" s="35">
        <v>24</v>
      </c>
      <c r="I10" s="7">
        <v>30000</v>
      </c>
      <c r="J10" s="14">
        <v>2812</v>
      </c>
      <c r="K10" s="15">
        <f>L10+23496</f>
        <v>26308</v>
      </c>
      <c r="L10" s="15">
        <f>703*4</f>
        <v>2812</v>
      </c>
      <c r="M10" s="15">
        <f t="shared" si="0"/>
        <v>2812</v>
      </c>
      <c r="N10" s="15">
        <v>0</v>
      </c>
      <c r="O10" s="58">
        <f t="shared" si="1"/>
        <v>0</v>
      </c>
      <c r="P10" s="39">
        <f t="shared" si="2"/>
        <v>4</v>
      </c>
      <c r="Q10" s="40">
        <f t="shared" si="3"/>
        <v>20</v>
      </c>
      <c r="R10" s="7"/>
      <c r="S10" s="6">
        <v>20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0.16666666666666666</v>
      </c>
      <c r="AD10" s="10">
        <f t="shared" si="6"/>
        <v>0.16666666666666666</v>
      </c>
      <c r="AE10" s="36">
        <f t="shared" si="7"/>
        <v>0.56770833333333326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263</v>
      </c>
      <c r="E11" s="53" t="s">
        <v>264</v>
      </c>
      <c r="F11" s="30" t="s">
        <v>206</v>
      </c>
      <c r="G11" s="33">
        <v>16</v>
      </c>
      <c r="H11" s="35">
        <v>24</v>
      </c>
      <c r="I11" s="7">
        <v>100000</v>
      </c>
      <c r="J11" s="14">
        <v>67990</v>
      </c>
      <c r="K11" s="15">
        <f>L11+49500+67990</f>
        <v>117490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0.56770833333333326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115</v>
      </c>
      <c r="E12" s="53" t="s">
        <v>347</v>
      </c>
      <c r="F12" s="30" t="s">
        <v>362</v>
      </c>
      <c r="G12" s="12">
        <v>1</v>
      </c>
      <c r="H12" s="13">
        <v>22</v>
      </c>
      <c r="I12" s="31">
        <v>6400</v>
      </c>
      <c r="J12" s="5">
        <v>4035</v>
      </c>
      <c r="K12" s="15">
        <f>L12+3422</f>
        <v>7457</v>
      </c>
      <c r="L12" s="15">
        <f>1699+2336</f>
        <v>4035</v>
      </c>
      <c r="M12" s="15">
        <f t="shared" si="0"/>
        <v>4035</v>
      </c>
      <c r="N12" s="15">
        <v>0</v>
      </c>
      <c r="O12" s="58">
        <f t="shared" si="1"/>
        <v>0</v>
      </c>
      <c r="P12" s="39">
        <f t="shared" si="2"/>
        <v>20</v>
      </c>
      <c r="Q12" s="40">
        <f t="shared" si="3"/>
        <v>4</v>
      </c>
      <c r="R12" s="7"/>
      <c r="S12" s="6">
        <v>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0.83333333333333337</v>
      </c>
      <c r="AD12" s="10">
        <f t="shared" si="6"/>
        <v>0.83333333333333337</v>
      </c>
      <c r="AE12" s="36">
        <f t="shared" si="7"/>
        <v>0.56770833333333326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119</v>
      </c>
      <c r="D13" s="52" t="s">
        <v>195</v>
      </c>
      <c r="E13" s="53" t="s">
        <v>262</v>
      </c>
      <c r="F13" s="30" t="s">
        <v>158</v>
      </c>
      <c r="G13" s="33">
        <v>2</v>
      </c>
      <c r="H13" s="35">
        <v>24</v>
      </c>
      <c r="I13" s="7">
        <v>50000</v>
      </c>
      <c r="J13" s="14">
        <v>12414</v>
      </c>
      <c r="K13" s="15">
        <f>L13+3366+8798+12320+12536</f>
        <v>49434</v>
      </c>
      <c r="L13" s="15">
        <f>3144*2+3063*2</f>
        <v>12414</v>
      </c>
      <c r="M13" s="15">
        <f t="shared" si="0"/>
        <v>12414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0.56770833333333326</v>
      </c>
      <c r="AF13" s="84">
        <f t="shared" si="8"/>
        <v>8</v>
      </c>
    </row>
    <row r="14" spans="1:32" ht="27" customHeight="1">
      <c r="A14" s="105">
        <v>9</v>
      </c>
      <c r="B14" s="11" t="s">
        <v>156</v>
      </c>
      <c r="C14" s="34" t="s">
        <v>112</v>
      </c>
      <c r="D14" s="52" t="s">
        <v>115</v>
      </c>
      <c r="E14" s="53" t="s">
        <v>153</v>
      </c>
      <c r="F14" s="30" t="s">
        <v>144</v>
      </c>
      <c r="G14" s="33">
        <v>1</v>
      </c>
      <c r="H14" s="35">
        <v>50</v>
      </c>
      <c r="I14" s="7">
        <v>50</v>
      </c>
      <c r="J14" s="5"/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 t="str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0.56770833333333326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125</v>
      </c>
      <c r="E15" s="53" t="s">
        <v>150</v>
      </c>
      <c r="F15" s="12" t="s">
        <v>138</v>
      </c>
      <c r="G15" s="12">
        <v>1</v>
      </c>
      <c r="H15" s="13">
        <v>24</v>
      </c>
      <c r="I15" s="31">
        <v>6500</v>
      </c>
      <c r="J15" s="14">
        <v>5214</v>
      </c>
      <c r="K15" s="15">
        <f>L15+2059+5272+5214</f>
        <v>12545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0.56770833333333326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112</v>
      </c>
      <c r="D16" s="52" t="s">
        <v>147</v>
      </c>
      <c r="E16" s="53" t="s">
        <v>348</v>
      </c>
      <c r="F16" s="30" t="s">
        <v>168</v>
      </c>
      <c r="G16" s="12">
        <v>1</v>
      </c>
      <c r="H16" s="13">
        <v>24</v>
      </c>
      <c r="I16" s="7">
        <v>300</v>
      </c>
      <c r="J16" s="14">
        <v>1140</v>
      </c>
      <c r="K16" s="15">
        <f>L16+1140</f>
        <v>1140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0.56770833333333326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112</v>
      </c>
      <c r="D17" s="52" t="s">
        <v>376</v>
      </c>
      <c r="E17" s="53" t="s">
        <v>370</v>
      </c>
      <c r="F17" s="30" t="s">
        <v>206</v>
      </c>
      <c r="G17" s="12">
        <v>1</v>
      </c>
      <c r="H17" s="13">
        <v>24</v>
      </c>
      <c r="I17" s="7">
        <v>50</v>
      </c>
      <c r="J17" s="14">
        <v>50</v>
      </c>
      <c r="K17" s="15">
        <f>L17</f>
        <v>50</v>
      </c>
      <c r="L17" s="15">
        <v>50</v>
      </c>
      <c r="M17" s="15">
        <f t="shared" si="0"/>
        <v>50</v>
      </c>
      <c r="N17" s="15">
        <v>0</v>
      </c>
      <c r="O17" s="58">
        <f t="shared" si="1"/>
        <v>0</v>
      </c>
      <c r="P17" s="39">
        <f t="shared" si="2"/>
        <v>3</v>
      </c>
      <c r="Q17" s="40">
        <f t="shared" si="3"/>
        <v>21</v>
      </c>
      <c r="R17" s="7"/>
      <c r="S17" s="6"/>
      <c r="T17" s="16"/>
      <c r="U17" s="16"/>
      <c r="V17" s="17"/>
      <c r="W17" s="5">
        <v>21</v>
      </c>
      <c r="X17" s="16"/>
      <c r="Y17" s="16"/>
      <c r="Z17" s="16"/>
      <c r="AA17" s="18"/>
      <c r="AB17" s="8">
        <f t="shared" si="4"/>
        <v>1</v>
      </c>
      <c r="AC17" s="9">
        <f t="shared" si="5"/>
        <v>0.125</v>
      </c>
      <c r="AD17" s="10">
        <f t="shared" si="6"/>
        <v>0.125</v>
      </c>
      <c r="AE17" s="36">
        <f t="shared" si="7"/>
        <v>0.56770833333333326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112</v>
      </c>
      <c r="D18" s="52" t="s">
        <v>195</v>
      </c>
      <c r="E18" s="53" t="s">
        <v>349</v>
      </c>
      <c r="F18" s="30" t="s">
        <v>169</v>
      </c>
      <c r="G18" s="33">
        <v>1</v>
      </c>
      <c r="H18" s="35">
        <v>24</v>
      </c>
      <c r="I18" s="7">
        <v>6400</v>
      </c>
      <c r="J18" s="14">
        <v>5703</v>
      </c>
      <c r="K18" s="15">
        <f>L18+5659</f>
        <v>11362</v>
      </c>
      <c r="L18" s="15">
        <f>2925+2778</f>
        <v>5703</v>
      </c>
      <c r="M18" s="15">
        <f t="shared" si="0"/>
        <v>5703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0.56770833333333326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224</v>
      </c>
      <c r="E19" s="53" t="s">
        <v>350</v>
      </c>
      <c r="F19" s="30" t="s">
        <v>236</v>
      </c>
      <c r="G19" s="33">
        <v>1</v>
      </c>
      <c r="H19" s="35">
        <v>24</v>
      </c>
      <c r="I19" s="7">
        <v>6400</v>
      </c>
      <c r="J19" s="14">
        <v>4171</v>
      </c>
      <c r="K19" s="15">
        <f>L19+5179</f>
        <v>9350</v>
      </c>
      <c r="L19" s="15">
        <f>1370+2801</f>
        <v>4171</v>
      </c>
      <c r="M19" s="15">
        <f t="shared" si="0"/>
        <v>4171</v>
      </c>
      <c r="N19" s="15">
        <v>0</v>
      </c>
      <c r="O19" s="58">
        <f t="shared" si="1"/>
        <v>0</v>
      </c>
      <c r="P19" s="39">
        <f t="shared" si="2"/>
        <v>21</v>
      </c>
      <c r="Q19" s="40">
        <f t="shared" si="3"/>
        <v>3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3</v>
      </c>
      <c r="AB19" s="8">
        <f t="shared" si="4"/>
        <v>1</v>
      </c>
      <c r="AC19" s="9">
        <f t="shared" si="5"/>
        <v>0.875</v>
      </c>
      <c r="AD19" s="10">
        <f t="shared" si="6"/>
        <v>0.875</v>
      </c>
      <c r="AE19" s="36">
        <f t="shared" si="7"/>
        <v>0.56770833333333326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151</v>
      </c>
      <c r="F20" s="30" t="s">
        <v>142</v>
      </c>
      <c r="G20" s="12">
        <v>1</v>
      </c>
      <c r="H20" s="13">
        <v>24</v>
      </c>
      <c r="I20" s="7">
        <v>17100</v>
      </c>
      <c r="J20" s="14">
        <v>5627</v>
      </c>
      <c r="K20" s="15">
        <f>L20+3838+5631</f>
        <v>15096</v>
      </c>
      <c r="L20" s="15">
        <f>2750+2877</f>
        <v>5627</v>
      </c>
      <c r="M20" s="15">
        <f t="shared" si="0"/>
        <v>5627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0.56770833333333326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140</v>
      </c>
      <c r="F21" s="12" t="s">
        <v>114</v>
      </c>
      <c r="G21" s="12">
        <v>4</v>
      </c>
      <c r="H21" s="35">
        <v>20</v>
      </c>
      <c r="I21" s="7">
        <v>500000</v>
      </c>
      <c r="J21" s="14">
        <v>35708</v>
      </c>
      <c r="K21" s="15">
        <f>L21+29516+33412+34840+28200+28768+36912+36276</f>
        <v>263632</v>
      </c>
      <c r="L21" s="15">
        <f>8927*4</f>
        <v>35708</v>
      </c>
      <c r="M21" s="15">
        <f t="shared" si="0"/>
        <v>35708</v>
      </c>
      <c r="N21" s="15">
        <v>0</v>
      </c>
      <c r="O21" s="58">
        <f t="shared" si="1"/>
        <v>0</v>
      </c>
      <c r="P21" s="39">
        <f t="shared" si="2"/>
        <v>12</v>
      </c>
      <c r="Q21" s="40">
        <f t="shared" si="3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</v>
      </c>
      <c r="AD21" s="10">
        <f t="shared" si="6"/>
        <v>0.5</v>
      </c>
      <c r="AE21" s="36">
        <f t="shared" si="7"/>
        <v>0.56770833333333326</v>
      </c>
      <c r="AF21" s="84">
        <f t="shared" si="8"/>
        <v>16</v>
      </c>
    </row>
    <row r="22" spans="1:32" ht="31.5" customHeight="1" thickBot="1">
      <c r="A22" s="384" t="s">
        <v>34</v>
      </c>
      <c r="B22" s="385"/>
      <c r="C22" s="385"/>
      <c r="D22" s="385"/>
      <c r="E22" s="385"/>
      <c r="F22" s="385"/>
      <c r="G22" s="385"/>
      <c r="H22" s="386"/>
      <c r="I22" s="22">
        <f t="shared" ref="I22:N22" si="9">SUM(I6:I21)</f>
        <v>898700</v>
      </c>
      <c r="J22" s="19">
        <f t="shared" si="9"/>
        <v>166067</v>
      </c>
      <c r="K22" s="20">
        <f t="shared" si="9"/>
        <v>580016</v>
      </c>
      <c r="L22" s="21">
        <f t="shared" si="9"/>
        <v>91723</v>
      </c>
      <c r="M22" s="20">
        <f t="shared" si="9"/>
        <v>91723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218</v>
      </c>
      <c r="Q22" s="43">
        <f t="shared" si="10"/>
        <v>166</v>
      </c>
      <c r="R22" s="23">
        <f t="shared" si="10"/>
        <v>24</v>
      </c>
      <c r="S22" s="24">
        <f t="shared" si="10"/>
        <v>33</v>
      </c>
      <c r="T22" s="24">
        <f t="shared" si="10"/>
        <v>1</v>
      </c>
      <c r="U22" s="24">
        <f t="shared" si="10"/>
        <v>0</v>
      </c>
      <c r="V22" s="25">
        <f t="shared" si="10"/>
        <v>12</v>
      </c>
      <c r="W22" s="26">
        <f t="shared" si="10"/>
        <v>93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3</v>
      </c>
      <c r="AB22" s="28">
        <f>AVERAGE(AB6:AB21)</f>
        <v>0.8</v>
      </c>
      <c r="AC22" s="4">
        <f>AVERAGE(AC6:AC21)</f>
        <v>0.56770833333333326</v>
      </c>
      <c r="AD22" s="4">
        <f>AVERAGE(AD6:AD21)</f>
        <v>0.56770833333333326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387" t="s">
        <v>45</v>
      </c>
      <c r="B49" s="387"/>
      <c r="C49" s="387"/>
      <c r="D49" s="387"/>
      <c r="E49" s="38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388" t="s">
        <v>377</v>
      </c>
      <c r="B50" s="389"/>
      <c r="C50" s="389"/>
      <c r="D50" s="389"/>
      <c r="E50" s="389"/>
      <c r="F50" s="389"/>
      <c r="G50" s="389"/>
      <c r="H50" s="389"/>
      <c r="I50" s="389"/>
      <c r="J50" s="389"/>
      <c r="K50" s="389"/>
      <c r="L50" s="389"/>
      <c r="M50" s="390"/>
      <c r="N50" s="391" t="s">
        <v>387</v>
      </c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  <c r="AA50" s="392"/>
      <c r="AB50" s="392"/>
      <c r="AC50" s="392"/>
      <c r="AD50" s="393"/>
    </row>
    <row r="51" spans="1:32" ht="27" customHeight="1">
      <c r="A51" s="394" t="s">
        <v>2</v>
      </c>
      <c r="B51" s="395"/>
      <c r="C51" s="225" t="s">
        <v>46</v>
      </c>
      <c r="D51" s="225" t="s">
        <v>47</v>
      </c>
      <c r="E51" s="225" t="s">
        <v>107</v>
      </c>
      <c r="F51" s="396" t="s">
        <v>106</v>
      </c>
      <c r="G51" s="397"/>
      <c r="H51" s="397"/>
      <c r="I51" s="397"/>
      <c r="J51" s="397"/>
      <c r="K51" s="397"/>
      <c r="L51" s="397"/>
      <c r="M51" s="398"/>
      <c r="N51" s="67" t="s">
        <v>110</v>
      </c>
      <c r="O51" s="225" t="s">
        <v>46</v>
      </c>
      <c r="P51" s="396" t="s">
        <v>47</v>
      </c>
      <c r="Q51" s="399"/>
      <c r="R51" s="396" t="s">
        <v>38</v>
      </c>
      <c r="S51" s="397"/>
      <c r="T51" s="397"/>
      <c r="U51" s="399"/>
      <c r="V51" s="396" t="s">
        <v>48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420" t="s">
        <v>119</v>
      </c>
      <c r="B52" s="421"/>
      <c r="C52" s="221" t="s">
        <v>129</v>
      </c>
      <c r="D52" s="221" t="s">
        <v>131</v>
      </c>
      <c r="E52" s="221" t="s">
        <v>139</v>
      </c>
      <c r="F52" s="412" t="s">
        <v>378</v>
      </c>
      <c r="G52" s="413"/>
      <c r="H52" s="413"/>
      <c r="I52" s="413"/>
      <c r="J52" s="413"/>
      <c r="K52" s="413"/>
      <c r="L52" s="413"/>
      <c r="M52" s="414"/>
      <c r="N52" s="220" t="s">
        <v>119</v>
      </c>
      <c r="O52" s="218" t="s">
        <v>129</v>
      </c>
      <c r="P52" s="415" t="s">
        <v>131</v>
      </c>
      <c r="Q52" s="416"/>
      <c r="R52" s="415" t="s">
        <v>139</v>
      </c>
      <c r="S52" s="417"/>
      <c r="T52" s="417"/>
      <c r="U52" s="416"/>
      <c r="V52" s="418" t="s">
        <v>126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10" t="s">
        <v>121</v>
      </c>
      <c r="B53" s="411"/>
      <c r="C53" s="224" t="s">
        <v>143</v>
      </c>
      <c r="D53" s="224"/>
      <c r="E53" s="221" t="s">
        <v>321</v>
      </c>
      <c r="F53" s="412" t="s">
        <v>126</v>
      </c>
      <c r="G53" s="413"/>
      <c r="H53" s="413"/>
      <c r="I53" s="413"/>
      <c r="J53" s="413"/>
      <c r="K53" s="413"/>
      <c r="L53" s="413"/>
      <c r="M53" s="414"/>
      <c r="N53" s="220" t="s">
        <v>389</v>
      </c>
      <c r="O53" s="218" t="s">
        <v>385</v>
      </c>
      <c r="P53" s="415" t="s">
        <v>390</v>
      </c>
      <c r="Q53" s="416"/>
      <c r="R53" s="415" t="s">
        <v>388</v>
      </c>
      <c r="S53" s="417"/>
      <c r="T53" s="417"/>
      <c r="U53" s="416"/>
      <c r="V53" s="418" t="s">
        <v>383</v>
      </c>
      <c r="W53" s="418"/>
      <c r="X53" s="418"/>
      <c r="Y53" s="418"/>
      <c r="Z53" s="418"/>
      <c r="AA53" s="418"/>
      <c r="AB53" s="418"/>
      <c r="AC53" s="418"/>
      <c r="AD53" s="419"/>
    </row>
    <row r="54" spans="1:32" ht="27" customHeight="1">
      <c r="A54" s="420" t="s">
        <v>119</v>
      </c>
      <c r="B54" s="421"/>
      <c r="C54" s="221" t="s">
        <v>187</v>
      </c>
      <c r="D54" s="221" t="s">
        <v>202</v>
      </c>
      <c r="E54" s="221" t="s">
        <v>346</v>
      </c>
      <c r="F54" s="412" t="s">
        <v>365</v>
      </c>
      <c r="G54" s="413"/>
      <c r="H54" s="413"/>
      <c r="I54" s="413"/>
      <c r="J54" s="413"/>
      <c r="K54" s="413"/>
      <c r="L54" s="413"/>
      <c r="M54" s="414"/>
      <c r="N54" s="220" t="s">
        <v>392</v>
      </c>
      <c r="O54" s="218" t="s">
        <v>393</v>
      </c>
      <c r="P54" s="415"/>
      <c r="Q54" s="416"/>
      <c r="R54" s="415" t="s">
        <v>391</v>
      </c>
      <c r="S54" s="417"/>
      <c r="T54" s="417"/>
      <c r="U54" s="416"/>
      <c r="V54" s="418" t="s">
        <v>383</v>
      </c>
      <c r="W54" s="418"/>
      <c r="X54" s="418"/>
      <c r="Y54" s="418"/>
      <c r="Z54" s="418"/>
      <c r="AA54" s="418"/>
      <c r="AB54" s="418"/>
      <c r="AC54" s="418"/>
      <c r="AD54" s="419"/>
    </row>
    <row r="55" spans="1:32" ht="27" customHeight="1">
      <c r="A55" s="410" t="s">
        <v>112</v>
      </c>
      <c r="B55" s="411"/>
      <c r="C55" s="224" t="s">
        <v>219</v>
      </c>
      <c r="D55" s="224" t="s">
        <v>115</v>
      </c>
      <c r="E55" s="224" t="s">
        <v>347</v>
      </c>
      <c r="F55" s="412" t="s">
        <v>379</v>
      </c>
      <c r="G55" s="413"/>
      <c r="H55" s="413"/>
      <c r="I55" s="413"/>
      <c r="J55" s="413"/>
      <c r="K55" s="413"/>
      <c r="L55" s="413"/>
      <c r="M55" s="414"/>
      <c r="N55" s="220" t="s">
        <v>389</v>
      </c>
      <c r="O55" s="218" t="s">
        <v>396</v>
      </c>
      <c r="P55" s="415" t="s">
        <v>395</v>
      </c>
      <c r="Q55" s="416"/>
      <c r="R55" s="415" t="s">
        <v>394</v>
      </c>
      <c r="S55" s="417"/>
      <c r="T55" s="417"/>
      <c r="U55" s="416"/>
      <c r="V55" s="418" t="s">
        <v>383</v>
      </c>
      <c r="W55" s="418"/>
      <c r="X55" s="418"/>
      <c r="Y55" s="418"/>
      <c r="Z55" s="418"/>
      <c r="AA55" s="418"/>
      <c r="AB55" s="418"/>
      <c r="AC55" s="418"/>
      <c r="AD55" s="419"/>
    </row>
    <row r="56" spans="1:32" ht="27" customHeight="1">
      <c r="A56" s="410" t="s">
        <v>112</v>
      </c>
      <c r="B56" s="411"/>
      <c r="C56" s="224" t="s">
        <v>380</v>
      </c>
      <c r="D56" s="224" t="s">
        <v>381</v>
      </c>
      <c r="E56" s="221" t="s">
        <v>382</v>
      </c>
      <c r="F56" s="412" t="s">
        <v>383</v>
      </c>
      <c r="G56" s="413"/>
      <c r="H56" s="413"/>
      <c r="I56" s="413"/>
      <c r="J56" s="413"/>
      <c r="K56" s="413"/>
      <c r="L56" s="413"/>
      <c r="M56" s="414"/>
      <c r="N56" s="220" t="s">
        <v>119</v>
      </c>
      <c r="O56" s="218" t="s">
        <v>398</v>
      </c>
      <c r="P56" s="415" t="s">
        <v>399</v>
      </c>
      <c r="Q56" s="416"/>
      <c r="R56" s="415" t="s">
        <v>397</v>
      </c>
      <c r="S56" s="417"/>
      <c r="T56" s="417"/>
      <c r="U56" s="416"/>
      <c r="V56" s="418" t="s">
        <v>383</v>
      </c>
      <c r="W56" s="418"/>
      <c r="X56" s="418"/>
      <c r="Y56" s="418"/>
      <c r="Z56" s="418"/>
      <c r="AA56" s="418"/>
      <c r="AB56" s="418"/>
      <c r="AC56" s="418"/>
      <c r="AD56" s="419"/>
    </row>
    <row r="57" spans="1:32" ht="27" customHeight="1">
      <c r="A57" s="410" t="s">
        <v>119</v>
      </c>
      <c r="B57" s="411"/>
      <c r="C57" s="224" t="s">
        <v>385</v>
      </c>
      <c r="D57" s="224" t="s">
        <v>386</v>
      </c>
      <c r="E57" s="221" t="s">
        <v>384</v>
      </c>
      <c r="F57" s="412" t="s">
        <v>383</v>
      </c>
      <c r="G57" s="413"/>
      <c r="H57" s="413"/>
      <c r="I57" s="413"/>
      <c r="J57" s="413"/>
      <c r="K57" s="413"/>
      <c r="L57" s="413"/>
      <c r="M57" s="414"/>
      <c r="N57" s="220"/>
      <c r="O57" s="218"/>
      <c r="P57" s="415"/>
      <c r="Q57" s="416"/>
      <c r="R57" s="415"/>
      <c r="S57" s="417"/>
      <c r="T57" s="417"/>
      <c r="U57" s="416"/>
      <c r="V57" s="418"/>
      <c r="W57" s="418"/>
      <c r="X57" s="418"/>
      <c r="Y57" s="418"/>
      <c r="Z57" s="418"/>
      <c r="AA57" s="418"/>
      <c r="AB57" s="418"/>
      <c r="AC57" s="418"/>
      <c r="AD57" s="419"/>
    </row>
    <row r="58" spans="1:32" ht="27" customHeight="1">
      <c r="A58" s="410"/>
      <c r="B58" s="411"/>
      <c r="C58" s="224"/>
      <c r="D58" s="224"/>
      <c r="E58" s="221"/>
      <c r="F58" s="412"/>
      <c r="G58" s="413"/>
      <c r="H58" s="413"/>
      <c r="I58" s="413"/>
      <c r="J58" s="413"/>
      <c r="K58" s="413"/>
      <c r="L58" s="413"/>
      <c r="M58" s="414"/>
      <c r="N58" s="220"/>
      <c r="O58" s="218"/>
      <c r="P58" s="415"/>
      <c r="Q58" s="416"/>
      <c r="R58" s="415"/>
      <c r="S58" s="417"/>
      <c r="T58" s="417"/>
      <c r="U58" s="416"/>
      <c r="V58" s="418"/>
      <c r="W58" s="418"/>
      <c r="X58" s="418"/>
      <c r="Y58" s="418"/>
      <c r="Z58" s="418"/>
      <c r="AA58" s="418"/>
      <c r="AB58" s="418"/>
      <c r="AC58" s="418"/>
      <c r="AD58" s="419"/>
    </row>
    <row r="59" spans="1:32" ht="27" customHeight="1">
      <c r="A59" s="420"/>
      <c r="B59" s="421"/>
      <c r="C59" s="221"/>
      <c r="D59" s="221"/>
      <c r="E59" s="221"/>
      <c r="F59" s="412"/>
      <c r="G59" s="413"/>
      <c r="H59" s="413"/>
      <c r="I59" s="413"/>
      <c r="J59" s="413"/>
      <c r="K59" s="413"/>
      <c r="L59" s="413"/>
      <c r="M59" s="414"/>
      <c r="N59" s="220"/>
      <c r="O59" s="218"/>
      <c r="P59" s="415"/>
      <c r="Q59" s="416"/>
      <c r="R59" s="421"/>
      <c r="S59" s="421"/>
      <c r="T59" s="421"/>
      <c r="U59" s="421"/>
      <c r="V59" s="418"/>
      <c r="W59" s="418"/>
      <c r="X59" s="418"/>
      <c r="Y59" s="418"/>
      <c r="Z59" s="418"/>
      <c r="AA59" s="418"/>
      <c r="AB59" s="418"/>
      <c r="AC59" s="418"/>
      <c r="AD59" s="419"/>
    </row>
    <row r="60" spans="1:32" ht="27" customHeight="1">
      <c r="A60" s="410"/>
      <c r="B60" s="411"/>
      <c r="C60" s="224"/>
      <c r="D60" s="224"/>
      <c r="E60" s="221"/>
      <c r="F60" s="412"/>
      <c r="G60" s="413"/>
      <c r="H60" s="413"/>
      <c r="I60" s="413"/>
      <c r="J60" s="413"/>
      <c r="K60" s="413"/>
      <c r="L60" s="413"/>
      <c r="M60" s="414"/>
      <c r="N60" s="220"/>
      <c r="O60" s="218"/>
      <c r="P60" s="421"/>
      <c r="Q60" s="421"/>
      <c r="R60" s="421"/>
      <c r="S60" s="421"/>
      <c r="T60" s="421"/>
      <c r="U60" s="421"/>
      <c r="V60" s="418"/>
      <c r="W60" s="418"/>
      <c r="X60" s="418"/>
      <c r="Y60" s="418"/>
      <c r="Z60" s="418"/>
      <c r="AA60" s="418"/>
      <c r="AB60" s="418"/>
      <c r="AC60" s="418"/>
      <c r="AD60" s="419"/>
      <c r="AF60" s="84">
        <f>8*3000</f>
        <v>24000</v>
      </c>
    </row>
    <row r="61" spans="1:32" ht="27" customHeight="1" thickBot="1">
      <c r="A61" s="422"/>
      <c r="B61" s="423"/>
      <c r="C61" s="222"/>
      <c r="D61" s="223"/>
      <c r="E61" s="223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30" t="s">
        <v>400</v>
      </c>
      <c r="B62" s="430"/>
      <c r="C62" s="430"/>
      <c r="D62" s="430"/>
      <c r="E62" s="43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31" t="s">
        <v>111</v>
      </c>
      <c r="B63" s="432"/>
      <c r="C63" s="219" t="s">
        <v>2</v>
      </c>
      <c r="D63" s="219" t="s">
        <v>37</v>
      </c>
      <c r="E63" s="219" t="s">
        <v>3</v>
      </c>
      <c r="F63" s="432" t="s">
        <v>109</v>
      </c>
      <c r="G63" s="432"/>
      <c r="H63" s="432"/>
      <c r="I63" s="432"/>
      <c r="J63" s="432"/>
      <c r="K63" s="432" t="s">
        <v>39</v>
      </c>
      <c r="L63" s="432"/>
      <c r="M63" s="219" t="s">
        <v>40</v>
      </c>
      <c r="N63" s="432" t="s">
        <v>41</v>
      </c>
      <c r="O63" s="432"/>
      <c r="P63" s="433" t="s">
        <v>42</v>
      </c>
      <c r="Q63" s="434"/>
      <c r="R63" s="433" t="s">
        <v>43</v>
      </c>
      <c r="S63" s="435"/>
      <c r="T63" s="435"/>
      <c r="U63" s="435"/>
      <c r="V63" s="435"/>
      <c r="W63" s="435"/>
      <c r="X63" s="435"/>
      <c r="Y63" s="435"/>
      <c r="Z63" s="435"/>
      <c r="AA63" s="434"/>
      <c r="AB63" s="432" t="s">
        <v>44</v>
      </c>
      <c r="AC63" s="432"/>
      <c r="AD63" s="436"/>
      <c r="AF63" s="84">
        <f>SUM(AF60:AF62)</f>
        <v>96000</v>
      </c>
    </row>
    <row r="64" spans="1:32" ht="25.5" customHeight="1">
      <c r="A64" s="437">
        <v>1</v>
      </c>
      <c r="B64" s="438"/>
      <c r="C64" s="104" t="s">
        <v>402</v>
      </c>
      <c r="D64" s="214"/>
      <c r="E64" s="217" t="s">
        <v>390</v>
      </c>
      <c r="F64" s="439" t="s">
        <v>401</v>
      </c>
      <c r="G64" s="440"/>
      <c r="H64" s="440"/>
      <c r="I64" s="440"/>
      <c r="J64" s="441"/>
      <c r="K64" s="442" t="s">
        <v>403</v>
      </c>
      <c r="L64" s="442"/>
      <c r="M64" s="51" t="s">
        <v>404</v>
      </c>
      <c r="N64" s="443" t="s">
        <v>405</v>
      </c>
      <c r="O64" s="443"/>
      <c r="P64" s="444">
        <v>200</v>
      </c>
      <c r="Q64" s="444"/>
      <c r="R64" s="418"/>
      <c r="S64" s="418"/>
      <c r="T64" s="418"/>
      <c r="U64" s="418"/>
      <c r="V64" s="418"/>
      <c r="W64" s="418"/>
      <c r="X64" s="418"/>
      <c r="Y64" s="418"/>
      <c r="Z64" s="418"/>
      <c r="AA64" s="418"/>
      <c r="AB64" s="442"/>
      <c r="AC64" s="442"/>
      <c r="AD64" s="445"/>
      <c r="AF64" s="50"/>
    </row>
    <row r="65" spans="1:32" ht="25.5" customHeight="1">
      <c r="A65" s="437">
        <v>2</v>
      </c>
      <c r="B65" s="438"/>
      <c r="C65" s="104" t="s">
        <v>402</v>
      </c>
      <c r="D65" s="214"/>
      <c r="E65" s="217" t="s">
        <v>407</v>
      </c>
      <c r="F65" s="439" t="s">
        <v>406</v>
      </c>
      <c r="G65" s="440"/>
      <c r="H65" s="440"/>
      <c r="I65" s="440"/>
      <c r="J65" s="441"/>
      <c r="K65" s="442" t="s">
        <v>403</v>
      </c>
      <c r="L65" s="442"/>
      <c r="M65" s="51" t="s">
        <v>404</v>
      </c>
      <c r="N65" s="443" t="s">
        <v>405</v>
      </c>
      <c r="O65" s="443"/>
      <c r="P65" s="444">
        <v>200</v>
      </c>
      <c r="Q65" s="444"/>
      <c r="R65" s="418"/>
      <c r="S65" s="418"/>
      <c r="T65" s="418"/>
      <c r="U65" s="418"/>
      <c r="V65" s="418"/>
      <c r="W65" s="418"/>
      <c r="X65" s="418"/>
      <c r="Y65" s="418"/>
      <c r="Z65" s="418"/>
      <c r="AA65" s="418"/>
      <c r="AB65" s="442"/>
      <c r="AC65" s="442"/>
      <c r="AD65" s="445"/>
      <c r="AF65" s="50"/>
    </row>
    <row r="66" spans="1:32" ht="25.5" customHeight="1">
      <c r="A66" s="437">
        <v>3</v>
      </c>
      <c r="B66" s="438"/>
      <c r="C66" s="104" t="s">
        <v>409</v>
      </c>
      <c r="D66" s="214"/>
      <c r="E66" s="217"/>
      <c r="F66" s="439" t="s">
        <v>408</v>
      </c>
      <c r="G66" s="440"/>
      <c r="H66" s="440"/>
      <c r="I66" s="440"/>
      <c r="J66" s="441"/>
      <c r="K66" s="442" t="s">
        <v>410</v>
      </c>
      <c r="L66" s="442"/>
      <c r="M66" s="51" t="s">
        <v>404</v>
      </c>
      <c r="N66" s="443" t="s">
        <v>398</v>
      </c>
      <c r="O66" s="443"/>
      <c r="P66" s="444">
        <f>50*32</f>
        <v>1600</v>
      </c>
      <c r="Q66" s="444"/>
      <c r="R66" s="418"/>
      <c r="S66" s="418"/>
      <c r="T66" s="418"/>
      <c r="U66" s="418"/>
      <c r="V66" s="418"/>
      <c r="W66" s="418"/>
      <c r="X66" s="418"/>
      <c r="Y66" s="418"/>
      <c r="Z66" s="418"/>
      <c r="AA66" s="418"/>
      <c r="AB66" s="442"/>
      <c r="AC66" s="442"/>
      <c r="AD66" s="445"/>
      <c r="AF66" s="50"/>
    </row>
    <row r="67" spans="1:32" ht="25.5" customHeight="1">
      <c r="A67" s="437">
        <v>4</v>
      </c>
      <c r="B67" s="438"/>
      <c r="C67" s="104" t="s">
        <v>392</v>
      </c>
      <c r="D67" s="214"/>
      <c r="E67" s="217"/>
      <c r="F67" s="439" t="s">
        <v>411</v>
      </c>
      <c r="G67" s="440"/>
      <c r="H67" s="440"/>
      <c r="I67" s="440"/>
      <c r="J67" s="441"/>
      <c r="K67" s="442" t="s">
        <v>412</v>
      </c>
      <c r="L67" s="442"/>
      <c r="M67" s="51" t="s">
        <v>404</v>
      </c>
      <c r="N67" s="443" t="s">
        <v>380</v>
      </c>
      <c r="O67" s="443"/>
      <c r="P67" s="444">
        <v>50</v>
      </c>
      <c r="Q67" s="444"/>
      <c r="R67" s="418"/>
      <c r="S67" s="418"/>
      <c r="T67" s="418"/>
      <c r="U67" s="418"/>
      <c r="V67" s="418"/>
      <c r="W67" s="418"/>
      <c r="X67" s="418"/>
      <c r="Y67" s="418"/>
      <c r="Z67" s="418"/>
      <c r="AA67" s="418"/>
      <c r="AB67" s="442"/>
      <c r="AC67" s="442"/>
      <c r="AD67" s="445"/>
      <c r="AF67" s="50"/>
    </row>
    <row r="68" spans="1:32" ht="25.5" customHeight="1">
      <c r="A68" s="437">
        <v>5</v>
      </c>
      <c r="B68" s="438"/>
      <c r="C68" s="104" t="s">
        <v>112</v>
      </c>
      <c r="D68" s="214"/>
      <c r="E68" s="217" t="s">
        <v>381</v>
      </c>
      <c r="F68" s="439" t="s">
        <v>413</v>
      </c>
      <c r="G68" s="440"/>
      <c r="H68" s="440"/>
      <c r="I68" s="440"/>
      <c r="J68" s="441"/>
      <c r="K68" s="442" t="s">
        <v>414</v>
      </c>
      <c r="L68" s="442"/>
      <c r="M68" s="51" t="s">
        <v>404</v>
      </c>
      <c r="N68" s="443" t="s">
        <v>380</v>
      </c>
      <c r="O68" s="443"/>
      <c r="P68" s="444">
        <v>200</v>
      </c>
      <c r="Q68" s="444"/>
      <c r="R68" s="418"/>
      <c r="S68" s="418"/>
      <c r="T68" s="418"/>
      <c r="U68" s="418"/>
      <c r="V68" s="418"/>
      <c r="W68" s="418"/>
      <c r="X68" s="418"/>
      <c r="Y68" s="418"/>
      <c r="Z68" s="418"/>
      <c r="AA68" s="418"/>
      <c r="AB68" s="442"/>
      <c r="AC68" s="442"/>
      <c r="AD68" s="445"/>
      <c r="AF68" s="50"/>
    </row>
    <row r="69" spans="1:32" ht="25.5" customHeight="1">
      <c r="A69" s="437">
        <v>6</v>
      </c>
      <c r="B69" s="438"/>
      <c r="C69" s="104" t="s">
        <v>112</v>
      </c>
      <c r="D69" s="214"/>
      <c r="E69" s="217" t="s">
        <v>416</v>
      </c>
      <c r="F69" s="439" t="s">
        <v>415</v>
      </c>
      <c r="G69" s="440"/>
      <c r="H69" s="440"/>
      <c r="I69" s="440"/>
      <c r="J69" s="441"/>
      <c r="K69" s="442" t="s">
        <v>417</v>
      </c>
      <c r="L69" s="442"/>
      <c r="M69" s="51" t="s">
        <v>418</v>
      </c>
      <c r="N69" s="443" t="s">
        <v>396</v>
      </c>
      <c r="O69" s="443"/>
      <c r="P69" s="444">
        <v>200</v>
      </c>
      <c r="Q69" s="444"/>
      <c r="R69" s="418"/>
      <c r="S69" s="418"/>
      <c r="T69" s="418"/>
      <c r="U69" s="418"/>
      <c r="V69" s="418"/>
      <c r="W69" s="418"/>
      <c r="X69" s="418"/>
      <c r="Y69" s="418"/>
      <c r="Z69" s="418"/>
      <c r="AA69" s="418"/>
      <c r="AB69" s="442"/>
      <c r="AC69" s="442"/>
      <c r="AD69" s="445"/>
      <c r="AF69" s="50"/>
    </row>
    <row r="70" spans="1:32" ht="25.5" customHeight="1">
      <c r="A70" s="437">
        <v>7</v>
      </c>
      <c r="B70" s="438"/>
      <c r="C70" s="104"/>
      <c r="D70" s="214"/>
      <c r="E70" s="217"/>
      <c r="F70" s="447"/>
      <c r="G70" s="442"/>
      <c r="H70" s="442"/>
      <c r="I70" s="442"/>
      <c r="J70" s="442"/>
      <c r="K70" s="442"/>
      <c r="L70" s="442"/>
      <c r="M70" s="51"/>
      <c r="N70" s="443"/>
      <c r="O70" s="443"/>
      <c r="P70" s="444"/>
      <c r="Q70" s="444"/>
      <c r="R70" s="418"/>
      <c r="S70" s="418"/>
      <c r="T70" s="418"/>
      <c r="U70" s="418"/>
      <c r="V70" s="418"/>
      <c r="W70" s="418"/>
      <c r="X70" s="418"/>
      <c r="Y70" s="418"/>
      <c r="Z70" s="418"/>
      <c r="AA70" s="418"/>
      <c r="AB70" s="442"/>
      <c r="AC70" s="442"/>
      <c r="AD70" s="445"/>
      <c r="AF70" s="50"/>
    </row>
    <row r="71" spans="1:32" ht="25.5" customHeight="1">
      <c r="A71" s="437">
        <v>8</v>
      </c>
      <c r="B71" s="438"/>
      <c r="C71" s="104"/>
      <c r="D71" s="214"/>
      <c r="E71" s="217"/>
      <c r="F71" s="447"/>
      <c r="G71" s="442"/>
      <c r="H71" s="442"/>
      <c r="I71" s="442"/>
      <c r="J71" s="442"/>
      <c r="K71" s="442"/>
      <c r="L71" s="442"/>
      <c r="M71" s="51"/>
      <c r="N71" s="443"/>
      <c r="O71" s="443"/>
      <c r="P71" s="444"/>
      <c r="Q71" s="444"/>
      <c r="R71" s="418"/>
      <c r="S71" s="418"/>
      <c r="T71" s="418"/>
      <c r="U71" s="418"/>
      <c r="V71" s="418"/>
      <c r="W71" s="418"/>
      <c r="X71" s="418"/>
      <c r="Y71" s="418"/>
      <c r="Z71" s="418"/>
      <c r="AA71" s="418"/>
      <c r="AB71" s="442"/>
      <c r="AC71" s="442"/>
      <c r="AD71" s="445"/>
      <c r="AF71" s="50"/>
    </row>
    <row r="72" spans="1:32" ht="25.5" customHeight="1">
      <c r="A72" s="437">
        <v>9</v>
      </c>
      <c r="B72" s="438"/>
      <c r="C72" s="104"/>
      <c r="D72" s="214"/>
      <c r="E72" s="217"/>
      <c r="F72" s="447"/>
      <c r="G72" s="442"/>
      <c r="H72" s="442"/>
      <c r="I72" s="442"/>
      <c r="J72" s="442"/>
      <c r="K72" s="442"/>
      <c r="L72" s="442"/>
      <c r="M72" s="51"/>
      <c r="N72" s="443"/>
      <c r="O72" s="443"/>
      <c r="P72" s="444"/>
      <c r="Q72" s="444"/>
      <c r="R72" s="418"/>
      <c r="S72" s="418"/>
      <c r="T72" s="418"/>
      <c r="U72" s="418"/>
      <c r="V72" s="418"/>
      <c r="W72" s="418"/>
      <c r="X72" s="418"/>
      <c r="Y72" s="418"/>
      <c r="Z72" s="418"/>
      <c r="AA72" s="418"/>
      <c r="AB72" s="442"/>
      <c r="AC72" s="442"/>
      <c r="AD72" s="445"/>
      <c r="AF72" s="50"/>
    </row>
    <row r="73" spans="1:32" ht="25.5" customHeight="1">
      <c r="A73" s="437">
        <v>10</v>
      </c>
      <c r="B73" s="438"/>
      <c r="C73" s="104"/>
      <c r="D73" s="214"/>
      <c r="E73" s="217"/>
      <c r="F73" s="447"/>
      <c r="G73" s="442"/>
      <c r="H73" s="442"/>
      <c r="I73" s="442"/>
      <c r="J73" s="442"/>
      <c r="K73" s="442"/>
      <c r="L73" s="442"/>
      <c r="M73" s="51"/>
      <c r="N73" s="443"/>
      <c r="O73" s="443"/>
      <c r="P73" s="444"/>
      <c r="Q73" s="444"/>
      <c r="R73" s="418"/>
      <c r="S73" s="418"/>
      <c r="T73" s="418"/>
      <c r="U73" s="418"/>
      <c r="V73" s="418"/>
      <c r="W73" s="418"/>
      <c r="X73" s="418"/>
      <c r="Y73" s="418"/>
      <c r="Z73" s="418"/>
      <c r="AA73" s="418"/>
      <c r="AB73" s="442"/>
      <c r="AC73" s="442"/>
      <c r="AD73" s="445"/>
      <c r="AF73" s="50"/>
    </row>
    <row r="74" spans="1:32" ht="26.25" customHeight="1" thickBot="1">
      <c r="A74" s="448" t="s">
        <v>419</v>
      </c>
      <c r="B74" s="448"/>
      <c r="C74" s="448"/>
      <c r="D74" s="448"/>
      <c r="E74" s="44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49" t="s">
        <v>134</v>
      </c>
      <c r="B75" s="450"/>
      <c r="C75" s="216" t="s">
        <v>2</v>
      </c>
      <c r="D75" s="216" t="s">
        <v>37</v>
      </c>
      <c r="E75" s="216" t="s">
        <v>128</v>
      </c>
      <c r="F75" s="450" t="s">
        <v>38</v>
      </c>
      <c r="G75" s="450"/>
      <c r="H75" s="450"/>
      <c r="I75" s="450"/>
      <c r="J75" s="450"/>
      <c r="K75" s="451" t="s">
        <v>58</v>
      </c>
      <c r="L75" s="452"/>
      <c r="M75" s="452"/>
      <c r="N75" s="452"/>
      <c r="O75" s="452"/>
      <c r="P75" s="452"/>
      <c r="Q75" s="452"/>
      <c r="R75" s="452"/>
      <c r="S75" s="453"/>
      <c r="T75" s="450" t="s">
        <v>49</v>
      </c>
      <c r="U75" s="450"/>
      <c r="V75" s="451" t="s">
        <v>50</v>
      </c>
      <c r="W75" s="453"/>
      <c r="X75" s="452" t="s">
        <v>51</v>
      </c>
      <c r="Y75" s="452"/>
      <c r="Z75" s="452"/>
      <c r="AA75" s="452"/>
      <c r="AB75" s="452"/>
      <c r="AC75" s="452"/>
      <c r="AD75" s="454"/>
      <c r="AF75" s="50"/>
    </row>
    <row r="76" spans="1:32" ht="33.75" customHeight="1">
      <c r="A76" s="463">
        <v>1</v>
      </c>
      <c r="B76" s="464"/>
      <c r="C76" s="215" t="s">
        <v>112</v>
      </c>
      <c r="D76" s="215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44118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55">
        <f>A76+1</f>
        <v>2</v>
      </c>
      <c r="B77" s="456"/>
      <c r="C77" s="214"/>
      <c r="D77" s="214"/>
      <c r="E77" s="32"/>
      <c r="F77" s="456"/>
      <c r="G77" s="456"/>
      <c r="H77" s="456"/>
      <c r="I77" s="456"/>
      <c r="J77" s="456"/>
      <c r="K77" s="457"/>
      <c r="L77" s="458"/>
      <c r="M77" s="458"/>
      <c r="N77" s="458"/>
      <c r="O77" s="458"/>
      <c r="P77" s="458"/>
      <c r="Q77" s="458"/>
      <c r="R77" s="458"/>
      <c r="S77" s="459"/>
      <c r="T77" s="460"/>
      <c r="U77" s="460"/>
      <c r="V77" s="460"/>
      <c r="W77" s="460"/>
      <c r="X77" s="461"/>
      <c r="Y77" s="461"/>
      <c r="Z77" s="461"/>
      <c r="AA77" s="461"/>
      <c r="AB77" s="461"/>
      <c r="AC77" s="461"/>
      <c r="AD77" s="462"/>
      <c r="AF77" s="50"/>
    </row>
    <row r="78" spans="1:32" ht="30" customHeight="1">
      <c r="A78" s="455">
        <f t="shared" ref="A78:A82" si="11">A77+1</f>
        <v>3</v>
      </c>
      <c r="B78" s="456"/>
      <c r="C78" s="214"/>
      <c r="D78" s="214"/>
      <c r="E78" s="32"/>
      <c r="F78" s="456"/>
      <c r="G78" s="456"/>
      <c r="H78" s="456"/>
      <c r="I78" s="456"/>
      <c r="J78" s="456"/>
      <c r="K78" s="457"/>
      <c r="L78" s="458"/>
      <c r="M78" s="458"/>
      <c r="N78" s="458"/>
      <c r="O78" s="458"/>
      <c r="P78" s="458"/>
      <c r="Q78" s="458"/>
      <c r="R78" s="458"/>
      <c r="S78" s="459"/>
      <c r="T78" s="460"/>
      <c r="U78" s="460"/>
      <c r="V78" s="460"/>
      <c r="W78" s="460"/>
      <c r="X78" s="461"/>
      <c r="Y78" s="461"/>
      <c r="Z78" s="461"/>
      <c r="AA78" s="461"/>
      <c r="AB78" s="461"/>
      <c r="AC78" s="461"/>
      <c r="AD78" s="462"/>
      <c r="AF78" s="50"/>
    </row>
    <row r="79" spans="1:32" ht="30" customHeight="1">
      <c r="A79" s="455">
        <f t="shared" si="11"/>
        <v>4</v>
      </c>
      <c r="B79" s="456"/>
      <c r="C79" s="214"/>
      <c r="D79" s="214"/>
      <c r="E79" s="32"/>
      <c r="F79" s="456"/>
      <c r="G79" s="456"/>
      <c r="H79" s="456"/>
      <c r="I79" s="456"/>
      <c r="J79" s="456"/>
      <c r="K79" s="457"/>
      <c r="L79" s="458"/>
      <c r="M79" s="458"/>
      <c r="N79" s="458"/>
      <c r="O79" s="458"/>
      <c r="P79" s="458"/>
      <c r="Q79" s="458"/>
      <c r="R79" s="458"/>
      <c r="S79" s="459"/>
      <c r="T79" s="460"/>
      <c r="U79" s="460"/>
      <c r="V79" s="460"/>
      <c r="W79" s="460"/>
      <c r="X79" s="461"/>
      <c r="Y79" s="461"/>
      <c r="Z79" s="461"/>
      <c r="AA79" s="461"/>
      <c r="AB79" s="461"/>
      <c r="AC79" s="461"/>
      <c r="AD79" s="462"/>
      <c r="AF79" s="50"/>
    </row>
    <row r="80" spans="1:32" ht="30" customHeight="1">
      <c r="A80" s="455">
        <f t="shared" si="11"/>
        <v>5</v>
      </c>
      <c r="B80" s="456"/>
      <c r="C80" s="214"/>
      <c r="D80" s="214"/>
      <c r="E80" s="32"/>
      <c r="F80" s="456"/>
      <c r="G80" s="456"/>
      <c r="H80" s="456"/>
      <c r="I80" s="456"/>
      <c r="J80" s="456"/>
      <c r="K80" s="457"/>
      <c r="L80" s="458"/>
      <c r="M80" s="458"/>
      <c r="N80" s="458"/>
      <c r="O80" s="458"/>
      <c r="P80" s="458"/>
      <c r="Q80" s="458"/>
      <c r="R80" s="458"/>
      <c r="S80" s="459"/>
      <c r="T80" s="460"/>
      <c r="U80" s="460"/>
      <c r="V80" s="460"/>
      <c r="W80" s="460"/>
      <c r="X80" s="461"/>
      <c r="Y80" s="461"/>
      <c r="Z80" s="461"/>
      <c r="AA80" s="461"/>
      <c r="AB80" s="461"/>
      <c r="AC80" s="461"/>
      <c r="AD80" s="462"/>
      <c r="AF80" s="50"/>
    </row>
    <row r="81" spans="1:32" ht="30" customHeight="1">
      <c r="A81" s="455">
        <f t="shared" si="11"/>
        <v>6</v>
      </c>
      <c r="B81" s="456"/>
      <c r="C81" s="214"/>
      <c r="D81" s="214"/>
      <c r="E81" s="32"/>
      <c r="F81" s="456"/>
      <c r="G81" s="456"/>
      <c r="H81" s="456"/>
      <c r="I81" s="456"/>
      <c r="J81" s="456"/>
      <c r="K81" s="457"/>
      <c r="L81" s="458"/>
      <c r="M81" s="458"/>
      <c r="N81" s="458"/>
      <c r="O81" s="458"/>
      <c r="P81" s="458"/>
      <c r="Q81" s="458"/>
      <c r="R81" s="458"/>
      <c r="S81" s="459"/>
      <c r="T81" s="460"/>
      <c r="U81" s="460"/>
      <c r="V81" s="460"/>
      <c r="W81" s="460"/>
      <c r="X81" s="461"/>
      <c r="Y81" s="461"/>
      <c r="Z81" s="461"/>
      <c r="AA81" s="461"/>
      <c r="AB81" s="461"/>
      <c r="AC81" s="461"/>
      <c r="AD81" s="462"/>
      <c r="AF81" s="50"/>
    </row>
    <row r="82" spans="1:32" ht="30" customHeight="1">
      <c r="A82" s="455">
        <f t="shared" si="11"/>
        <v>7</v>
      </c>
      <c r="B82" s="456"/>
      <c r="C82" s="214"/>
      <c r="D82" s="214"/>
      <c r="E82" s="32"/>
      <c r="F82" s="456"/>
      <c r="G82" s="456"/>
      <c r="H82" s="456"/>
      <c r="I82" s="456"/>
      <c r="J82" s="456"/>
      <c r="K82" s="457"/>
      <c r="L82" s="458"/>
      <c r="M82" s="458"/>
      <c r="N82" s="458"/>
      <c r="O82" s="458"/>
      <c r="P82" s="458"/>
      <c r="Q82" s="458"/>
      <c r="R82" s="458"/>
      <c r="S82" s="459"/>
      <c r="T82" s="460"/>
      <c r="U82" s="460"/>
      <c r="V82" s="460"/>
      <c r="W82" s="460"/>
      <c r="X82" s="461"/>
      <c r="Y82" s="461"/>
      <c r="Z82" s="461"/>
      <c r="AA82" s="461"/>
      <c r="AB82" s="461"/>
      <c r="AC82" s="461"/>
      <c r="AD82" s="462"/>
      <c r="AF82" s="50"/>
    </row>
    <row r="83" spans="1:32" ht="36" thickBot="1">
      <c r="A83" s="448" t="s">
        <v>420</v>
      </c>
      <c r="B83" s="448"/>
      <c r="C83" s="448"/>
      <c r="D83" s="448"/>
      <c r="E83" s="44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49" t="s">
        <v>111</v>
      </c>
      <c r="B84" s="450"/>
      <c r="C84" s="476" t="s">
        <v>52</v>
      </c>
      <c r="D84" s="476"/>
      <c r="E84" s="476" t="s">
        <v>53</v>
      </c>
      <c r="F84" s="476"/>
      <c r="G84" s="476"/>
      <c r="H84" s="476"/>
      <c r="I84" s="476"/>
      <c r="J84" s="476"/>
      <c r="K84" s="476" t="s">
        <v>54</v>
      </c>
      <c r="L84" s="476"/>
      <c r="M84" s="476"/>
      <c r="N84" s="476"/>
      <c r="O84" s="476"/>
      <c r="P84" s="476"/>
      <c r="Q84" s="476"/>
      <c r="R84" s="476"/>
      <c r="S84" s="476"/>
      <c r="T84" s="476" t="s">
        <v>55</v>
      </c>
      <c r="U84" s="476"/>
      <c r="V84" s="476" t="s">
        <v>56</v>
      </c>
      <c r="W84" s="476"/>
      <c r="X84" s="476"/>
      <c r="Y84" s="476" t="s">
        <v>51</v>
      </c>
      <c r="Z84" s="476"/>
      <c r="AA84" s="476"/>
      <c r="AB84" s="476"/>
      <c r="AC84" s="476"/>
      <c r="AD84" s="477"/>
      <c r="AF84" s="50"/>
    </row>
    <row r="85" spans="1:32" ht="30.75" customHeight="1">
      <c r="A85" s="463">
        <v>1</v>
      </c>
      <c r="B85" s="464"/>
      <c r="C85" s="478"/>
      <c r="D85" s="478"/>
      <c r="E85" s="478"/>
      <c r="F85" s="478"/>
      <c r="G85" s="478"/>
      <c r="H85" s="478"/>
      <c r="I85" s="478"/>
      <c r="J85" s="478"/>
      <c r="K85" s="478"/>
      <c r="L85" s="478"/>
      <c r="M85" s="478"/>
      <c r="N85" s="478"/>
      <c r="O85" s="478"/>
      <c r="P85" s="478"/>
      <c r="Q85" s="478"/>
      <c r="R85" s="478"/>
      <c r="S85" s="478"/>
      <c r="T85" s="478"/>
      <c r="U85" s="478"/>
      <c r="V85" s="479"/>
      <c r="W85" s="479"/>
      <c r="X85" s="479"/>
      <c r="Y85" s="480"/>
      <c r="Z85" s="480"/>
      <c r="AA85" s="480"/>
      <c r="AB85" s="480"/>
      <c r="AC85" s="480"/>
      <c r="AD85" s="481"/>
      <c r="AF85" s="50"/>
    </row>
    <row r="86" spans="1:32" ht="30.75" customHeight="1">
      <c r="A86" s="455">
        <v>2</v>
      </c>
      <c r="B86" s="456"/>
      <c r="C86" s="489"/>
      <c r="D86" s="489"/>
      <c r="E86" s="489"/>
      <c r="F86" s="489"/>
      <c r="G86" s="489"/>
      <c r="H86" s="489"/>
      <c r="I86" s="489"/>
      <c r="J86" s="489"/>
      <c r="K86" s="489"/>
      <c r="L86" s="489"/>
      <c r="M86" s="489"/>
      <c r="N86" s="489"/>
      <c r="O86" s="489"/>
      <c r="P86" s="489"/>
      <c r="Q86" s="489"/>
      <c r="R86" s="489"/>
      <c r="S86" s="489"/>
      <c r="T86" s="490"/>
      <c r="U86" s="490"/>
      <c r="V86" s="491"/>
      <c r="W86" s="491"/>
      <c r="X86" s="491"/>
      <c r="Y86" s="482"/>
      <c r="Z86" s="482"/>
      <c r="AA86" s="482"/>
      <c r="AB86" s="482"/>
      <c r="AC86" s="482"/>
      <c r="AD86" s="483"/>
      <c r="AF86" s="50"/>
    </row>
    <row r="87" spans="1:32" ht="30.75" customHeight="1" thickBot="1">
      <c r="A87" s="484">
        <v>3</v>
      </c>
      <c r="B87" s="485"/>
      <c r="C87" s="486"/>
      <c r="D87" s="486"/>
      <c r="E87" s="486"/>
      <c r="F87" s="486"/>
      <c r="G87" s="486"/>
      <c r="H87" s="486"/>
      <c r="I87" s="486"/>
      <c r="J87" s="486"/>
      <c r="K87" s="486"/>
      <c r="L87" s="486"/>
      <c r="M87" s="486"/>
      <c r="N87" s="486"/>
      <c r="O87" s="486"/>
      <c r="P87" s="486"/>
      <c r="Q87" s="486"/>
      <c r="R87" s="486"/>
      <c r="S87" s="486"/>
      <c r="T87" s="486"/>
      <c r="U87" s="486"/>
      <c r="V87" s="486"/>
      <c r="W87" s="486"/>
      <c r="X87" s="486"/>
      <c r="Y87" s="487"/>
      <c r="Z87" s="487"/>
      <c r="AA87" s="487"/>
      <c r="AB87" s="487"/>
      <c r="AC87" s="487"/>
      <c r="AD87" s="488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B73C-A945-46F4-8484-85818C2C4AE1}">
  <dimension ref="A1:AF88"/>
  <sheetViews>
    <sheetView view="pageBreakPreview" topLeftCell="A28" zoomScale="70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70" t="s">
        <v>421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5"/>
      <c r="T4" s="405"/>
      <c r="U4" s="405"/>
      <c r="V4" s="405"/>
      <c r="W4" s="406" t="s">
        <v>11</v>
      </c>
      <c r="X4" s="405"/>
      <c r="Y4" s="405"/>
      <c r="Z4" s="405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239" t="s">
        <v>17</v>
      </c>
      <c r="L5" s="239" t="s">
        <v>18</v>
      </c>
      <c r="M5" s="239" t="s">
        <v>19</v>
      </c>
      <c r="N5" s="23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376</v>
      </c>
      <c r="E6" s="53" t="s">
        <v>422</v>
      </c>
      <c r="F6" s="30" t="s">
        <v>144</v>
      </c>
      <c r="G6" s="12">
        <v>1</v>
      </c>
      <c r="H6" s="13">
        <v>24</v>
      </c>
      <c r="I6" s="7">
        <v>1200</v>
      </c>
      <c r="J6" s="14">
        <v>2694</v>
      </c>
      <c r="K6" s="15">
        <f>L6</f>
        <v>2694</v>
      </c>
      <c r="L6" s="15">
        <f>2694</f>
        <v>2694</v>
      </c>
      <c r="M6" s="15">
        <f t="shared" ref="M6:M22" si="0">L6-N6</f>
        <v>2694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13</v>
      </c>
      <c r="Q6" s="40">
        <f t="shared" ref="Q6:Q22" si="3">SUM(R6:AA6)</f>
        <v>11</v>
      </c>
      <c r="R6" s="7"/>
      <c r="S6" s="6"/>
      <c r="T6" s="16">
        <v>11</v>
      </c>
      <c r="U6" s="16"/>
      <c r="V6" s="17"/>
      <c r="W6" s="5"/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0.54166666666666663</v>
      </c>
      <c r="AD6" s="10">
        <f t="shared" ref="AD6:AD22" si="6">AC6*AB6*(1-O6)</f>
        <v>0.54166666666666663</v>
      </c>
      <c r="AE6" s="36">
        <f t="shared" ref="AE6:AE22" si="7">$AD$23</f>
        <v>0.46813725490196079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 t="s">
        <v>131</v>
      </c>
      <c r="E7" s="53" t="s">
        <v>139</v>
      </c>
      <c r="F7" s="12" t="s">
        <v>133</v>
      </c>
      <c r="G7" s="12">
        <v>1</v>
      </c>
      <c r="H7" s="13">
        <v>24</v>
      </c>
      <c r="I7" s="31">
        <v>50000</v>
      </c>
      <c r="J7" s="14">
        <v>4848</v>
      </c>
      <c r="K7" s="15">
        <f>L7+4913+5878+5650+6007+4705+3622</f>
        <v>35623</v>
      </c>
      <c r="L7" s="15">
        <f>3006+1842</f>
        <v>4848</v>
      </c>
      <c r="M7" s="15">
        <f t="shared" si="0"/>
        <v>4848</v>
      </c>
      <c r="N7" s="15">
        <v>0</v>
      </c>
      <c r="O7" s="58">
        <f t="shared" si="1"/>
        <v>0</v>
      </c>
      <c r="P7" s="39">
        <f t="shared" si="2"/>
        <v>21</v>
      </c>
      <c r="Q7" s="40">
        <f t="shared" si="3"/>
        <v>3</v>
      </c>
      <c r="R7" s="7"/>
      <c r="S7" s="6">
        <v>3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0.875</v>
      </c>
      <c r="AD7" s="10">
        <f t="shared" si="6"/>
        <v>0.875</v>
      </c>
      <c r="AE7" s="36">
        <f t="shared" si="7"/>
        <v>0.46813725490196079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/>
      <c r="E8" s="53" t="s">
        <v>321</v>
      </c>
      <c r="F8" s="30" t="s">
        <v>340</v>
      </c>
      <c r="G8" s="33">
        <v>1</v>
      </c>
      <c r="H8" s="35">
        <v>24</v>
      </c>
      <c r="I8" s="7">
        <v>50500</v>
      </c>
      <c r="J8" s="5">
        <v>5245</v>
      </c>
      <c r="K8" s="15">
        <f>L8+4349+2445+5035</f>
        <v>17074</v>
      </c>
      <c r="L8" s="15">
        <f>2421+2824</f>
        <v>5245</v>
      </c>
      <c r="M8" s="15">
        <f t="shared" si="0"/>
        <v>5245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0.46813725490196079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119</v>
      </c>
      <c r="D9" s="52" t="s">
        <v>228</v>
      </c>
      <c r="E9" s="53" t="s">
        <v>369</v>
      </c>
      <c r="F9" s="30" t="s">
        <v>362</v>
      </c>
      <c r="G9" s="12">
        <v>1</v>
      </c>
      <c r="H9" s="13">
        <v>24</v>
      </c>
      <c r="I9" s="7">
        <v>20000</v>
      </c>
      <c r="J9" s="14">
        <v>5482</v>
      </c>
      <c r="K9" s="15">
        <f>L9+4978</f>
        <v>10460</v>
      </c>
      <c r="L9" s="15">
        <f>2426+3056</f>
        <v>5482</v>
      </c>
      <c r="M9" s="15">
        <f t="shared" si="0"/>
        <v>5482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0.46813725490196079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147</v>
      </c>
      <c r="E10" s="53" t="s">
        <v>388</v>
      </c>
      <c r="F10" s="30" t="s">
        <v>127</v>
      </c>
      <c r="G10" s="33">
        <v>1</v>
      </c>
      <c r="H10" s="35">
        <v>24</v>
      </c>
      <c r="I10" s="7">
        <v>36000</v>
      </c>
      <c r="J10" s="14">
        <v>3274</v>
      </c>
      <c r="K10" s="15">
        <f>L10</f>
        <v>3274</v>
      </c>
      <c r="L10" s="15">
        <f>3274</f>
        <v>3274</v>
      </c>
      <c r="M10" s="15">
        <f t="shared" si="0"/>
        <v>3274</v>
      </c>
      <c r="N10" s="15">
        <v>0</v>
      </c>
      <c r="O10" s="58">
        <f t="shared" si="1"/>
        <v>0</v>
      </c>
      <c r="P10" s="39">
        <f t="shared" si="2"/>
        <v>13</v>
      </c>
      <c r="Q10" s="40">
        <f t="shared" si="3"/>
        <v>11</v>
      </c>
      <c r="R10" s="7"/>
      <c r="S10" s="6">
        <v>11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0.54166666666666663</v>
      </c>
      <c r="AD10" s="10">
        <f t="shared" si="6"/>
        <v>0.54166666666666663</v>
      </c>
      <c r="AE10" s="36">
        <f t="shared" si="7"/>
        <v>0.46813725490196079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263</v>
      </c>
      <c r="E11" s="53" t="s">
        <v>264</v>
      </c>
      <c r="F11" s="30" t="s">
        <v>206</v>
      </c>
      <c r="G11" s="33">
        <v>16</v>
      </c>
      <c r="H11" s="35">
        <v>24</v>
      </c>
      <c r="I11" s="7">
        <v>100000</v>
      </c>
      <c r="J11" s="14">
        <v>67990</v>
      </c>
      <c r="K11" s="15">
        <f>L11+49500+67990</f>
        <v>117490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0.46813725490196079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112</v>
      </c>
      <c r="D12" s="52" t="s">
        <v>115</v>
      </c>
      <c r="E12" s="53" t="s">
        <v>347</v>
      </c>
      <c r="F12" s="30" t="s">
        <v>362</v>
      </c>
      <c r="G12" s="12">
        <v>1</v>
      </c>
      <c r="H12" s="13">
        <v>22</v>
      </c>
      <c r="I12" s="31">
        <v>6400</v>
      </c>
      <c r="J12" s="5">
        <v>3448</v>
      </c>
      <c r="K12" s="15">
        <f>L12+3422+4035</f>
        <v>10905</v>
      </c>
      <c r="L12" s="15">
        <f>2113+1335</f>
        <v>3448</v>
      </c>
      <c r="M12" s="15">
        <f t="shared" si="0"/>
        <v>3448</v>
      </c>
      <c r="N12" s="15">
        <v>0</v>
      </c>
      <c r="O12" s="58">
        <f t="shared" si="1"/>
        <v>0</v>
      </c>
      <c r="P12" s="39">
        <f t="shared" si="2"/>
        <v>19</v>
      </c>
      <c r="Q12" s="40">
        <f t="shared" si="3"/>
        <v>5</v>
      </c>
      <c r="R12" s="7"/>
      <c r="S12" s="6">
        <v>5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0.79166666666666663</v>
      </c>
      <c r="AD12" s="10">
        <f t="shared" si="6"/>
        <v>0.79166666666666663</v>
      </c>
      <c r="AE12" s="36">
        <f t="shared" si="7"/>
        <v>0.46813725490196079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119</v>
      </c>
      <c r="D13" s="52" t="s">
        <v>195</v>
      </c>
      <c r="E13" s="53" t="s">
        <v>262</v>
      </c>
      <c r="F13" s="30" t="s">
        <v>158</v>
      </c>
      <c r="G13" s="33">
        <v>2</v>
      </c>
      <c r="H13" s="35">
        <v>24</v>
      </c>
      <c r="I13" s="7">
        <v>50000</v>
      </c>
      <c r="J13" s="14">
        <v>2852</v>
      </c>
      <c r="K13" s="15">
        <f>L13+3366+8798+12320+12536+12414</f>
        <v>52286</v>
      </c>
      <c r="L13" s="15">
        <f>1426*2</f>
        <v>2852</v>
      </c>
      <c r="M13" s="15">
        <f t="shared" si="0"/>
        <v>2852</v>
      </c>
      <c r="N13" s="15">
        <v>0</v>
      </c>
      <c r="O13" s="58">
        <f t="shared" si="1"/>
        <v>0</v>
      </c>
      <c r="P13" s="39">
        <f t="shared" si="2"/>
        <v>5</v>
      </c>
      <c r="Q13" s="40">
        <f t="shared" si="3"/>
        <v>19</v>
      </c>
      <c r="R13" s="7"/>
      <c r="S13" s="6"/>
      <c r="T13" s="16"/>
      <c r="U13" s="16"/>
      <c r="V13" s="17"/>
      <c r="W13" s="5">
        <v>19</v>
      </c>
      <c r="X13" s="16"/>
      <c r="Y13" s="16"/>
      <c r="Z13" s="16"/>
      <c r="AA13" s="18"/>
      <c r="AB13" s="8">
        <f t="shared" si="4"/>
        <v>1</v>
      </c>
      <c r="AC13" s="9">
        <f t="shared" si="5"/>
        <v>0.20833333333333334</v>
      </c>
      <c r="AD13" s="10">
        <f t="shared" si="6"/>
        <v>0.20833333333333334</v>
      </c>
      <c r="AE13" s="36">
        <f t="shared" si="7"/>
        <v>0.46813725490196079</v>
      </c>
      <c r="AF13" s="84">
        <f t="shared" si="8"/>
        <v>8</v>
      </c>
    </row>
    <row r="14" spans="1:32" ht="27" customHeight="1">
      <c r="A14" s="96">
        <v>8</v>
      </c>
      <c r="B14" s="11" t="s">
        <v>57</v>
      </c>
      <c r="C14" s="11" t="s">
        <v>119</v>
      </c>
      <c r="D14" s="52" t="s">
        <v>202</v>
      </c>
      <c r="E14" s="53" t="s">
        <v>346</v>
      </c>
      <c r="F14" s="30" t="s">
        <v>158</v>
      </c>
      <c r="G14" s="33">
        <v>4</v>
      </c>
      <c r="H14" s="35">
        <v>24</v>
      </c>
      <c r="I14" s="7">
        <v>10000</v>
      </c>
      <c r="J14" s="14">
        <v>14284</v>
      </c>
      <c r="K14" s="15">
        <f>L14</f>
        <v>14284</v>
      </c>
      <c r="L14" s="15">
        <f>2581*4+990*4</f>
        <v>14284</v>
      </c>
      <c r="M14" s="15">
        <f t="shared" ref="M14" si="9">L14-N14</f>
        <v>14284</v>
      </c>
      <c r="N14" s="15">
        <v>0</v>
      </c>
      <c r="O14" s="58">
        <f t="shared" ref="O14" si="10">IF(L14=0,"0",N14/L14)</f>
        <v>0</v>
      </c>
      <c r="P14" s="39">
        <f t="shared" ref="P14" si="11">IF(L14=0,"0",(24-Q14))</f>
        <v>17</v>
      </c>
      <c r="Q14" s="40">
        <f t="shared" ref="Q14" si="12">SUM(R14:AA14)</f>
        <v>7</v>
      </c>
      <c r="R14" s="7"/>
      <c r="S14" s="6"/>
      <c r="T14" s="16">
        <v>7</v>
      </c>
      <c r="U14" s="16"/>
      <c r="V14" s="17"/>
      <c r="W14" s="5"/>
      <c r="X14" s="16"/>
      <c r="Y14" s="16"/>
      <c r="Z14" s="16"/>
      <c r="AA14" s="18"/>
      <c r="AB14" s="8">
        <f t="shared" ref="AB14" si="13">IF(J14=0,"0",(L14/J14))</f>
        <v>1</v>
      </c>
      <c r="AC14" s="9">
        <f t="shared" ref="AC14" si="14">IF(P14=0,"0",(P14/24))</f>
        <v>0.70833333333333337</v>
      </c>
      <c r="AD14" s="10">
        <f t="shared" ref="AD14" si="15">AC14*AB14*(1-O14)</f>
        <v>0.70833333333333337</v>
      </c>
      <c r="AE14" s="36">
        <f t="shared" si="7"/>
        <v>0.46813725490196079</v>
      </c>
      <c r="AF14" s="84">
        <f t="shared" ref="AF14" si="16">A14</f>
        <v>8</v>
      </c>
    </row>
    <row r="15" spans="1:32" ht="27" customHeight="1">
      <c r="A15" s="105">
        <v>9</v>
      </c>
      <c r="B15" s="11" t="s">
        <v>156</v>
      </c>
      <c r="C15" s="34" t="s">
        <v>112</v>
      </c>
      <c r="D15" s="52" t="s">
        <v>115</v>
      </c>
      <c r="E15" s="53" t="s">
        <v>153</v>
      </c>
      <c r="F15" s="30" t="s">
        <v>144</v>
      </c>
      <c r="G15" s="33">
        <v>1</v>
      </c>
      <c r="H15" s="35">
        <v>50</v>
      </c>
      <c r="I15" s="7">
        <v>50</v>
      </c>
      <c r="J15" s="5"/>
      <c r="K15" s="15">
        <f>L15</f>
        <v>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 t="str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0.46813725490196079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121</v>
      </c>
      <c r="D16" s="52" t="s">
        <v>125</v>
      </c>
      <c r="E16" s="53" t="s">
        <v>150</v>
      </c>
      <c r="F16" s="12" t="s">
        <v>138</v>
      </c>
      <c r="G16" s="12">
        <v>1</v>
      </c>
      <c r="H16" s="13">
        <v>24</v>
      </c>
      <c r="I16" s="31">
        <v>6500</v>
      </c>
      <c r="J16" s="14">
        <v>5214</v>
      </c>
      <c r="K16" s="15">
        <f>L16+2059+5272+5214</f>
        <v>12545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0.46813725490196079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119</v>
      </c>
      <c r="D17" s="52" t="s">
        <v>399</v>
      </c>
      <c r="E17" s="53" t="s">
        <v>423</v>
      </c>
      <c r="F17" s="30" t="s">
        <v>169</v>
      </c>
      <c r="G17" s="12" t="s">
        <v>424</v>
      </c>
      <c r="H17" s="13">
        <v>24</v>
      </c>
      <c r="I17" s="7">
        <v>3000</v>
      </c>
      <c r="J17" s="14">
        <v>4862</v>
      </c>
      <c r="K17" s="15">
        <f>L17</f>
        <v>4862</v>
      </c>
      <c r="L17" s="15">
        <f>2504+2358</f>
        <v>4862</v>
      </c>
      <c r="M17" s="15">
        <f t="shared" si="0"/>
        <v>4862</v>
      </c>
      <c r="N17" s="15">
        <v>0</v>
      </c>
      <c r="O17" s="58">
        <f t="shared" si="1"/>
        <v>0</v>
      </c>
      <c r="P17" s="39">
        <f t="shared" si="2"/>
        <v>22</v>
      </c>
      <c r="Q17" s="40">
        <f t="shared" si="3"/>
        <v>2</v>
      </c>
      <c r="R17" s="7"/>
      <c r="S17" s="6"/>
      <c r="T17" s="16">
        <v>2</v>
      </c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0.91666666666666663</v>
      </c>
      <c r="AD17" s="10">
        <f t="shared" si="6"/>
        <v>0.91666666666666663</v>
      </c>
      <c r="AE17" s="36">
        <f t="shared" si="7"/>
        <v>0.46813725490196079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112</v>
      </c>
      <c r="D18" s="52" t="s">
        <v>376</v>
      </c>
      <c r="E18" s="53" t="s">
        <v>370</v>
      </c>
      <c r="F18" s="30" t="s">
        <v>206</v>
      </c>
      <c r="G18" s="12">
        <v>1</v>
      </c>
      <c r="H18" s="13">
        <v>24</v>
      </c>
      <c r="I18" s="7">
        <v>50</v>
      </c>
      <c r="J18" s="14">
        <v>50</v>
      </c>
      <c r="K18" s="15">
        <f>L18+50</f>
        <v>50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0.46813725490196079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112</v>
      </c>
      <c r="D19" s="52" t="s">
        <v>195</v>
      </c>
      <c r="E19" s="53" t="s">
        <v>349</v>
      </c>
      <c r="F19" s="30" t="s">
        <v>169</v>
      </c>
      <c r="G19" s="33">
        <v>1</v>
      </c>
      <c r="H19" s="35">
        <v>24</v>
      </c>
      <c r="I19" s="7">
        <v>6400</v>
      </c>
      <c r="J19" s="14">
        <v>5703</v>
      </c>
      <c r="K19" s="15">
        <f>L19+5659+5703</f>
        <v>11362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0.46813725490196079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195</v>
      </c>
      <c r="E20" s="53" t="s">
        <v>394</v>
      </c>
      <c r="F20" s="30" t="s">
        <v>169</v>
      </c>
      <c r="G20" s="33">
        <v>1</v>
      </c>
      <c r="H20" s="35">
        <v>24</v>
      </c>
      <c r="I20" s="7">
        <v>1000</v>
      </c>
      <c r="J20" s="14">
        <v>1059</v>
      </c>
      <c r="K20" s="15">
        <f>L20</f>
        <v>1059</v>
      </c>
      <c r="L20" s="15">
        <f>1059</f>
        <v>1059</v>
      </c>
      <c r="M20" s="15">
        <f t="shared" si="0"/>
        <v>1059</v>
      </c>
      <c r="N20" s="15">
        <v>0</v>
      </c>
      <c r="O20" s="58">
        <f t="shared" si="1"/>
        <v>0</v>
      </c>
      <c r="P20" s="39">
        <f t="shared" si="2"/>
        <v>6</v>
      </c>
      <c r="Q20" s="40">
        <f t="shared" si="3"/>
        <v>18</v>
      </c>
      <c r="R20" s="7"/>
      <c r="S20" s="6"/>
      <c r="T20" s="16"/>
      <c r="U20" s="16"/>
      <c r="V20" s="17"/>
      <c r="W20" s="5">
        <v>18</v>
      </c>
      <c r="X20" s="16"/>
      <c r="Y20" s="16"/>
      <c r="Z20" s="16"/>
      <c r="AA20" s="18"/>
      <c r="AB20" s="8">
        <f t="shared" si="4"/>
        <v>1</v>
      </c>
      <c r="AC20" s="9">
        <f t="shared" si="5"/>
        <v>0.25</v>
      </c>
      <c r="AD20" s="10">
        <f t="shared" si="6"/>
        <v>0.25</v>
      </c>
      <c r="AE20" s="36">
        <f t="shared" si="7"/>
        <v>0.46813725490196079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112</v>
      </c>
      <c r="D21" s="52" t="s">
        <v>115</v>
      </c>
      <c r="E21" s="53" t="s">
        <v>151</v>
      </c>
      <c r="F21" s="30" t="s">
        <v>142</v>
      </c>
      <c r="G21" s="12">
        <v>1</v>
      </c>
      <c r="H21" s="13">
        <v>24</v>
      </c>
      <c r="I21" s="7">
        <v>17100</v>
      </c>
      <c r="J21" s="14">
        <v>2575</v>
      </c>
      <c r="K21" s="15">
        <f>L21+3838+5631+5627</f>
        <v>17671</v>
      </c>
      <c r="L21" s="15">
        <f>821+1754</f>
        <v>2575</v>
      </c>
      <c r="M21" s="15">
        <f t="shared" si="0"/>
        <v>2575</v>
      </c>
      <c r="N21" s="15">
        <v>0</v>
      </c>
      <c r="O21" s="58">
        <f t="shared" si="1"/>
        <v>0</v>
      </c>
      <c r="P21" s="39">
        <f t="shared" si="2"/>
        <v>16</v>
      </c>
      <c r="Q21" s="40">
        <f t="shared" si="3"/>
        <v>8</v>
      </c>
      <c r="R21" s="7"/>
      <c r="S21" s="6">
        <v>8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0.66666666666666663</v>
      </c>
      <c r="AD21" s="10">
        <f t="shared" si="6"/>
        <v>0.66666666666666663</v>
      </c>
      <c r="AE21" s="36">
        <f t="shared" si="7"/>
        <v>0.46813725490196079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140</v>
      </c>
      <c r="F22" s="12" t="s">
        <v>114</v>
      </c>
      <c r="G22" s="12">
        <v>4</v>
      </c>
      <c r="H22" s="35">
        <v>20</v>
      </c>
      <c r="I22" s="7">
        <v>500000</v>
      </c>
      <c r="J22" s="14">
        <v>30492</v>
      </c>
      <c r="K22" s="15">
        <f>L22+29516+33412+34840+28200+28768+36912+36276+35708</f>
        <v>294124</v>
      </c>
      <c r="L22" s="15">
        <f>7623*4</f>
        <v>30492</v>
      </c>
      <c r="M22" s="15">
        <f t="shared" si="0"/>
        <v>30492</v>
      </c>
      <c r="N22" s="15">
        <v>0</v>
      </c>
      <c r="O22" s="58">
        <f t="shared" si="1"/>
        <v>0</v>
      </c>
      <c r="P22" s="39">
        <f t="shared" si="2"/>
        <v>11</v>
      </c>
      <c r="Q22" s="40">
        <f t="shared" si="3"/>
        <v>13</v>
      </c>
      <c r="R22" s="7"/>
      <c r="S22" s="6"/>
      <c r="T22" s="16"/>
      <c r="U22" s="16"/>
      <c r="V22" s="17">
        <v>13</v>
      </c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0.45833333333333331</v>
      </c>
      <c r="AD22" s="10">
        <f t="shared" si="6"/>
        <v>0.45833333333333331</v>
      </c>
      <c r="AE22" s="36">
        <f t="shared" si="7"/>
        <v>0.46813725490196079</v>
      </c>
      <c r="AF22" s="84">
        <f t="shared" si="8"/>
        <v>16</v>
      </c>
    </row>
    <row r="23" spans="1:32" ht="31.5" customHeight="1" thickBot="1">
      <c r="A23" s="384" t="s">
        <v>34</v>
      </c>
      <c r="B23" s="385"/>
      <c r="C23" s="385"/>
      <c r="D23" s="385"/>
      <c r="E23" s="385"/>
      <c r="F23" s="385"/>
      <c r="G23" s="385"/>
      <c r="H23" s="386"/>
      <c r="I23" s="22">
        <f t="shared" ref="I23:N23" si="17">SUM(I6:I22)</f>
        <v>858200</v>
      </c>
      <c r="J23" s="19">
        <f t="shared" si="17"/>
        <v>160072</v>
      </c>
      <c r="K23" s="20">
        <f t="shared" si="17"/>
        <v>605763</v>
      </c>
      <c r="L23" s="21">
        <f t="shared" si="17"/>
        <v>81115</v>
      </c>
      <c r="M23" s="20">
        <f t="shared" si="17"/>
        <v>81115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191</v>
      </c>
      <c r="Q23" s="43">
        <f t="shared" si="18"/>
        <v>217</v>
      </c>
      <c r="R23" s="23">
        <f t="shared" si="18"/>
        <v>24</v>
      </c>
      <c r="S23" s="24">
        <f t="shared" si="18"/>
        <v>51</v>
      </c>
      <c r="T23" s="24">
        <f t="shared" si="18"/>
        <v>20</v>
      </c>
      <c r="U23" s="24">
        <f t="shared" si="18"/>
        <v>0</v>
      </c>
      <c r="V23" s="25">
        <f t="shared" si="18"/>
        <v>13</v>
      </c>
      <c r="W23" s="26">
        <f t="shared" si="18"/>
        <v>109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0</v>
      </c>
      <c r="AB23" s="28">
        <f>AVERAGE(AB6:AB22)</f>
        <v>0.75</v>
      </c>
      <c r="AC23" s="4">
        <f>AVERAGE(AC6:AC22)</f>
        <v>0.46813725490196079</v>
      </c>
      <c r="AD23" s="4">
        <f>AVERAGE(AD6:AD22)</f>
        <v>0.46813725490196079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387" t="s">
        <v>45</v>
      </c>
      <c r="B50" s="387"/>
      <c r="C50" s="387"/>
      <c r="D50" s="387"/>
      <c r="E50" s="38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388" t="s">
        <v>425</v>
      </c>
      <c r="B51" s="389"/>
      <c r="C51" s="389"/>
      <c r="D51" s="389"/>
      <c r="E51" s="389"/>
      <c r="F51" s="389"/>
      <c r="G51" s="389"/>
      <c r="H51" s="389"/>
      <c r="I51" s="389"/>
      <c r="J51" s="389"/>
      <c r="K51" s="389"/>
      <c r="L51" s="389"/>
      <c r="M51" s="390"/>
      <c r="N51" s="391" t="s">
        <v>428</v>
      </c>
      <c r="O51" s="392"/>
      <c r="P51" s="392"/>
      <c r="Q51" s="392"/>
      <c r="R51" s="392"/>
      <c r="S51" s="392"/>
      <c r="T51" s="392"/>
      <c r="U51" s="392"/>
      <c r="V51" s="392"/>
      <c r="W51" s="392"/>
      <c r="X51" s="392"/>
      <c r="Y51" s="392"/>
      <c r="Z51" s="392"/>
      <c r="AA51" s="392"/>
      <c r="AB51" s="392"/>
      <c r="AC51" s="392"/>
      <c r="AD51" s="393"/>
    </row>
    <row r="52" spans="1:32" ht="27" customHeight="1">
      <c r="A52" s="394" t="s">
        <v>2</v>
      </c>
      <c r="B52" s="395"/>
      <c r="C52" s="238" t="s">
        <v>46</v>
      </c>
      <c r="D52" s="238" t="s">
        <v>47</v>
      </c>
      <c r="E52" s="238" t="s">
        <v>107</v>
      </c>
      <c r="F52" s="396" t="s">
        <v>106</v>
      </c>
      <c r="G52" s="397"/>
      <c r="H52" s="397"/>
      <c r="I52" s="397"/>
      <c r="J52" s="397"/>
      <c r="K52" s="397"/>
      <c r="L52" s="397"/>
      <c r="M52" s="398"/>
      <c r="N52" s="67" t="s">
        <v>110</v>
      </c>
      <c r="O52" s="238" t="s">
        <v>46</v>
      </c>
      <c r="P52" s="396" t="s">
        <v>47</v>
      </c>
      <c r="Q52" s="399"/>
      <c r="R52" s="396" t="s">
        <v>38</v>
      </c>
      <c r="S52" s="397"/>
      <c r="T52" s="397"/>
      <c r="U52" s="399"/>
      <c r="V52" s="396" t="s">
        <v>48</v>
      </c>
      <c r="W52" s="397"/>
      <c r="X52" s="397"/>
      <c r="Y52" s="397"/>
      <c r="Z52" s="397"/>
      <c r="AA52" s="397"/>
      <c r="AB52" s="397"/>
      <c r="AC52" s="397"/>
      <c r="AD52" s="398"/>
    </row>
    <row r="53" spans="1:32" ht="27" customHeight="1">
      <c r="A53" s="420" t="s">
        <v>119</v>
      </c>
      <c r="B53" s="421"/>
      <c r="C53" s="234" t="s">
        <v>129</v>
      </c>
      <c r="D53" s="234" t="s">
        <v>131</v>
      </c>
      <c r="E53" s="234" t="s">
        <v>139</v>
      </c>
      <c r="F53" s="412" t="s">
        <v>126</v>
      </c>
      <c r="G53" s="413"/>
      <c r="H53" s="413"/>
      <c r="I53" s="413"/>
      <c r="J53" s="413"/>
      <c r="K53" s="413"/>
      <c r="L53" s="413"/>
      <c r="M53" s="414"/>
      <c r="N53" s="233" t="s">
        <v>118</v>
      </c>
      <c r="O53" s="231" t="s">
        <v>219</v>
      </c>
      <c r="P53" s="415" t="s">
        <v>115</v>
      </c>
      <c r="Q53" s="416"/>
      <c r="R53" s="415" t="s">
        <v>220</v>
      </c>
      <c r="S53" s="417"/>
      <c r="T53" s="417"/>
      <c r="U53" s="416"/>
      <c r="V53" s="418" t="s">
        <v>130</v>
      </c>
      <c r="W53" s="418"/>
      <c r="X53" s="418"/>
      <c r="Y53" s="418"/>
      <c r="Z53" s="418"/>
      <c r="AA53" s="418"/>
      <c r="AB53" s="418"/>
      <c r="AC53" s="418"/>
      <c r="AD53" s="419"/>
    </row>
    <row r="54" spans="1:32" ht="27" customHeight="1">
      <c r="A54" s="410" t="s">
        <v>112</v>
      </c>
      <c r="B54" s="411"/>
      <c r="C54" s="237" t="s">
        <v>255</v>
      </c>
      <c r="D54" s="237" t="s">
        <v>376</v>
      </c>
      <c r="E54" s="234" t="s">
        <v>422</v>
      </c>
      <c r="F54" s="412" t="s">
        <v>130</v>
      </c>
      <c r="G54" s="413"/>
      <c r="H54" s="413"/>
      <c r="I54" s="413"/>
      <c r="J54" s="413"/>
      <c r="K54" s="413"/>
      <c r="L54" s="413"/>
      <c r="M54" s="414"/>
      <c r="N54" s="233" t="s">
        <v>112</v>
      </c>
      <c r="O54" s="231" t="s">
        <v>136</v>
      </c>
      <c r="P54" s="415" t="s">
        <v>115</v>
      </c>
      <c r="Q54" s="416"/>
      <c r="R54" s="415" t="s">
        <v>430</v>
      </c>
      <c r="S54" s="417"/>
      <c r="T54" s="417"/>
      <c r="U54" s="416"/>
      <c r="V54" s="418" t="s">
        <v>130</v>
      </c>
      <c r="W54" s="418"/>
      <c r="X54" s="418"/>
      <c r="Y54" s="418"/>
      <c r="Z54" s="418"/>
      <c r="AA54" s="418"/>
      <c r="AB54" s="418"/>
      <c r="AC54" s="418"/>
      <c r="AD54" s="419"/>
    </row>
    <row r="55" spans="1:32" ht="27" customHeight="1">
      <c r="A55" s="420" t="s">
        <v>119</v>
      </c>
      <c r="B55" s="421"/>
      <c r="C55" s="234" t="s">
        <v>136</v>
      </c>
      <c r="D55" s="234" t="s">
        <v>202</v>
      </c>
      <c r="E55" s="234" t="s">
        <v>346</v>
      </c>
      <c r="F55" s="412" t="s">
        <v>130</v>
      </c>
      <c r="G55" s="413"/>
      <c r="H55" s="413"/>
      <c r="I55" s="413"/>
      <c r="J55" s="413"/>
      <c r="K55" s="413"/>
      <c r="L55" s="413"/>
      <c r="M55" s="414"/>
      <c r="N55" s="233" t="s">
        <v>121</v>
      </c>
      <c r="O55" s="231" t="s">
        <v>184</v>
      </c>
      <c r="P55" s="415"/>
      <c r="Q55" s="416"/>
      <c r="R55" s="415" t="s">
        <v>391</v>
      </c>
      <c r="S55" s="417"/>
      <c r="T55" s="417"/>
      <c r="U55" s="416"/>
      <c r="V55" s="418" t="s">
        <v>130</v>
      </c>
      <c r="W55" s="418"/>
      <c r="X55" s="418"/>
      <c r="Y55" s="418"/>
      <c r="Z55" s="418"/>
      <c r="AA55" s="418"/>
      <c r="AB55" s="418"/>
      <c r="AC55" s="418"/>
      <c r="AD55" s="419"/>
    </row>
    <row r="56" spans="1:32" ht="27" customHeight="1">
      <c r="A56" s="410" t="s">
        <v>112</v>
      </c>
      <c r="B56" s="411"/>
      <c r="C56" s="237" t="s">
        <v>219</v>
      </c>
      <c r="D56" s="237" t="s">
        <v>115</v>
      </c>
      <c r="E56" s="237" t="s">
        <v>347</v>
      </c>
      <c r="F56" s="412" t="s">
        <v>426</v>
      </c>
      <c r="G56" s="413"/>
      <c r="H56" s="413"/>
      <c r="I56" s="413"/>
      <c r="J56" s="413"/>
      <c r="K56" s="413"/>
      <c r="L56" s="413"/>
      <c r="M56" s="414"/>
      <c r="N56" s="233" t="s">
        <v>112</v>
      </c>
      <c r="O56" s="231" t="s">
        <v>135</v>
      </c>
      <c r="P56" s="415" t="s">
        <v>115</v>
      </c>
      <c r="Q56" s="416"/>
      <c r="R56" s="415" t="s">
        <v>431</v>
      </c>
      <c r="S56" s="417"/>
      <c r="T56" s="417"/>
      <c r="U56" s="416"/>
      <c r="V56" s="418" t="s">
        <v>130</v>
      </c>
      <c r="W56" s="418"/>
      <c r="X56" s="418"/>
      <c r="Y56" s="418"/>
      <c r="Z56" s="418"/>
      <c r="AA56" s="418"/>
      <c r="AB56" s="418"/>
      <c r="AC56" s="418"/>
      <c r="AD56" s="419"/>
    </row>
    <row r="57" spans="1:32" ht="27" customHeight="1">
      <c r="A57" s="410" t="s">
        <v>112</v>
      </c>
      <c r="B57" s="411"/>
      <c r="C57" s="237" t="s">
        <v>135</v>
      </c>
      <c r="D57" s="237" t="s">
        <v>195</v>
      </c>
      <c r="E57" s="234" t="s">
        <v>394</v>
      </c>
      <c r="F57" s="412" t="s">
        <v>130</v>
      </c>
      <c r="G57" s="413"/>
      <c r="H57" s="413"/>
      <c r="I57" s="413"/>
      <c r="J57" s="413"/>
      <c r="K57" s="413"/>
      <c r="L57" s="413"/>
      <c r="M57" s="414"/>
      <c r="N57" s="233" t="s">
        <v>112</v>
      </c>
      <c r="O57" s="231" t="s">
        <v>199</v>
      </c>
      <c r="P57" s="415" t="s">
        <v>115</v>
      </c>
      <c r="Q57" s="416"/>
      <c r="R57" s="415" t="s">
        <v>197</v>
      </c>
      <c r="S57" s="417"/>
      <c r="T57" s="417"/>
      <c r="U57" s="416"/>
      <c r="V57" s="418" t="s">
        <v>126</v>
      </c>
      <c r="W57" s="418"/>
      <c r="X57" s="418"/>
      <c r="Y57" s="418"/>
      <c r="Z57" s="418"/>
      <c r="AA57" s="418"/>
      <c r="AB57" s="418"/>
      <c r="AC57" s="418"/>
      <c r="AD57" s="419"/>
    </row>
    <row r="58" spans="1:32" ht="27" customHeight="1">
      <c r="A58" s="410" t="s">
        <v>112</v>
      </c>
      <c r="B58" s="411"/>
      <c r="C58" s="237" t="s">
        <v>199</v>
      </c>
      <c r="D58" s="237" t="s">
        <v>115</v>
      </c>
      <c r="E58" s="234" t="s">
        <v>197</v>
      </c>
      <c r="F58" s="412" t="s">
        <v>427</v>
      </c>
      <c r="G58" s="413"/>
      <c r="H58" s="413"/>
      <c r="I58" s="413"/>
      <c r="J58" s="413"/>
      <c r="K58" s="413"/>
      <c r="L58" s="413"/>
      <c r="M58" s="414"/>
      <c r="N58" s="233" t="s">
        <v>112</v>
      </c>
      <c r="O58" s="231" t="s">
        <v>432</v>
      </c>
      <c r="P58" s="415" t="s">
        <v>115</v>
      </c>
      <c r="Q58" s="416"/>
      <c r="R58" s="415" t="s">
        <v>433</v>
      </c>
      <c r="S58" s="417"/>
      <c r="T58" s="417"/>
      <c r="U58" s="416"/>
      <c r="V58" s="418" t="s">
        <v>130</v>
      </c>
      <c r="W58" s="418"/>
      <c r="X58" s="418"/>
      <c r="Y58" s="418"/>
      <c r="Z58" s="418"/>
      <c r="AA58" s="418"/>
      <c r="AB58" s="418"/>
      <c r="AC58" s="418"/>
      <c r="AD58" s="419"/>
    </row>
    <row r="59" spans="1:32" ht="27" customHeight="1">
      <c r="A59" s="410" t="s">
        <v>112</v>
      </c>
      <c r="B59" s="411"/>
      <c r="C59" s="237" t="s">
        <v>187</v>
      </c>
      <c r="D59" s="237" t="s">
        <v>147</v>
      </c>
      <c r="E59" s="234" t="s">
        <v>388</v>
      </c>
      <c r="F59" s="412" t="s">
        <v>429</v>
      </c>
      <c r="G59" s="413"/>
      <c r="H59" s="413"/>
      <c r="I59" s="413"/>
      <c r="J59" s="413"/>
      <c r="K59" s="413"/>
      <c r="L59" s="413"/>
      <c r="M59" s="414"/>
      <c r="N59" s="233"/>
      <c r="O59" s="231"/>
      <c r="P59" s="415"/>
      <c r="Q59" s="416"/>
      <c r="R59" s="415"/>
      <c r="S59" s="417"/>
      <c r="T59" s="417"/>
      <c r="U59" s="416"/>
      <c r="V59" s="418"/>
      <c r="W59" s="418"/>
      <c r="X59" s="418"/>
      <c r="Y59" s="418"/>
      <c r="Z59" s="418"/>
      <c r="AA59" s="418"/>
      <c r="AB59" s="418"/>
      <c r="AC59" s="418"/>
      <c r="AD59" s="419"/>
    </row>
    <row r="60" spans="1:32" ht="27" customHeight="1">
      <c r="A60" s="420" t="s">
        <v>119</v>
      </c>
      <c r="B60" s="421"/>
      <c r="C60" s="234" t="s">
        <v>145</v>
      </c>
      <c r="D60" s="234" t="s">
        <v>399</v>
      </c>
      <c r="E60" s="234" t="s">
        <v>397</v>
      </c>
      <c r="F60" s="412" t="s">
        <v>130</v>
      </c>
      <c r="G60" s="413"/>
      <c r="H60" s="413"/>
      <c r="I60" s="413"/>
      <c r="J60" s="413"/>
      <c r="K60" s="413"/>
      <c r="L60" s="413"/>
      <c r="M60" s="414"/>
      <c r="N60" s="233"/>
      <c r="O60" s="231"/>
      <c r="P60" s="415"/>
      <c r="Q60" s="416"/>
      <c r="R60" s="421"/>
      <c r="S60" s="421"/>
      <c r="T60" s="421"/>
      <c r="U60" s="421"/>
      <c r="V60" s="418"/>
      <c r="W60" s="418"/>
      <c r="X60" s="418"/>
      <c r="Y60" s="418"/>
      <c r="Z60" s="418"/>
      <c r="AA60" s="418"/>
      <c r="AB60" s="418"/>
      <c r="AC60" s="418"/>
      <c r="AD60" s="419"/>
    </row>
    <row r="61" spans="1:32" ht="27" customHeight="1">
      <c r="A61" s="410"/>
      <c r="B61" s="411"/>
      <c r="C61" s="237"/>
      <c r="D61" s="237"/>
      <c r="E61" s="234"/>
      <c r="F61" s="412"/>
      <c r="G61" s="413"/>
      <c r="H61" s="413"/>
      <c r="I61" s="413"/>
      <c r="J61" s="413"/>
      <c r="K61" s="413"/>
      <c r="L61" s="413"/>
      <c r="M61" s="414"/>
      <c r="N61" s="233"/>
      <c r="O61" s="231"/>
      <c r="P61" s="421"/>
      <c r="Q61" s="421"/>
      <c r="R61" s="421"/>
      <c r="S61" s="421"/>
      <c r="T61" s="421"/>
      <c r="U61" s="421"/>
      <c r="V61" s="418"/>
      <c r="W61" s="418"/>
      <c r="X61" s="418"/>
      <c r="Y61" s="418"/>
      <c r="Z61" s="418"/>
      <c r="AA61" s="418"/>
      <c r="AB61" s="418"/>
      <c r="AC61" s="418"/>
      <c r="AD61" s="419"/>
      <c r="AF61" s="84">
        <f>8*3000</f>
        <v>24000</v>
      </c>
    </row>
    <row r="62" spans="1:32" ht="27" customHeight="1" thickBot="1">
      <c r="A62" s="422"/>
      <c r="B62" s="423"/>
      <c r="C62" s="235"/>
      <c r="D62" s="236"/>
      <c r="E62" s="236"/>
      <c r="F62" s="424"/>
      <c r="G62" s="425"/>
      <c r="H62" s="425"/>
      <c r="I62" s="425"/>
      <c r="J62" s="425"/>
      <c r="K62" s="425"/>
      <c r="L62" s="425"/>
      <c r="M62" s="426"/>
      <c r="N62" s="111"/>
      <c r="O62" s="103"/>
      <c r="P62" s="427"/>
      <c r="Q62" s="427"/>
      <c r="R62" s="427"/>
      <c r="S62" s="427"/>
      <c r="T62" s="427"/>
      <c r="U62" s="427"/>
      <c r="V62" s="428"/>
      <c r="W62" s="428"/>
      <c r="X62" s="428"/>
      <c r="Y62" s="428"/>
      <c r="Z62" s="428"/>
      <c r="AA62" s="428"/>
      <c r="AB62" s="428"/>
      <c r="AC62" s="428"/>
      <c r="AD62" s="429"/>
      <c r="AF62" s="84">
        <f>16*3000</f>
        <v>48000</v>
      </c>
    </row>
    <row r="63" spans="1:32" ht="27.75" thickBot="1">
      <c r="A63" s="430" t="s">
        <v>434</v>
      </c>
      <c r="B63" s="430"/>
      <c r="C63" s="430"/>
      <c r="D63" s="430"/>
      <c r="E63" s="430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31" t="s">
        <v>111</v>
      </c>
      <c r="B64" s="432"/>
      <c r="C64" s="232" t="s">
        <v>2</v>
      </c>
      <c r="D64" s="232" t="s">
        <v>37</v>
      </c>
      <c r="E64" s="232" t="s">
        <v>3</v>
      </c>
      <c r="F64" s="432" t="s">
        <v>109</v>
      </c>
      <c r="G64" s="432"/>
      <c r="H64" s="432"/>
      <c r="I64" s="432"/>
      <c r="J64" s="432"/>
      <c r="K64" s="432" t="s">
        <v>39</v>
      </c>
      <c r="L64" s="432"/>
      <c r="M64" s="232" t="s">
        <v>40</v>
      </c>
      <c r="N64" s="432" t="s">
        <v>41</v>
      </c>
      <c r="O64" s="432"/>
      <c r="P64" s="433" t="s">
        <v>42</v>
      </c>
      <c r="Q64" s="434"/>
      <c r="R64" s="433" t="s">
        <v>43</v>
      </c>
      <c r="S64" s="435"/>
      <c r="T64" s="435"/>
      <c r="U64" s="435"/>
      <c r="V64" s="435"/>
      <c r="W64" s="435"/>
      <c r="X64" s="435"/>
      <c r="Y64" s="435"/>
      <c r="Z64" s="435"/>
      <c r="AA64" s="434"/>
      <c r="AB64" s="432" t="s">
        <v>44</v>
      </c>
      <c r="AC64" s="432"/>
      <c r="AD64" s="436"/>
      <c r="AF64" s="84">
        <f>SUM(AF61:AF63)</f>
        <v>96000</v>
      </c>
    </row>
    <row r="65" spans="1:32" ht="25.5" customHeight="1">
      <c r="A65" s="437">
        <v>1</v>
      </c>
      <c r="B65" s="438"/>
      <c r="C65" s="104" t="s">
        <v>118</v>
      </c>
      <c r="D65" s="227"/>
      <c r="E65" s="230" t="s">
        <v>131</v>
      </c>
      <c r="F65" s="439" t="s">
        <v>406</v>
      </c>
      <c r="G65" s="440"/>
      <c r="H65" s="440"/>
      <c r="I65" s="440"/>
      <c r="J65" s="441"/>
      <c r="K65" s="442" t="s">
        <v>403</v>
      </c>
      <c r="L65" s="442"/>
      <c r="M65" s="51" t="s">
        <v>141</v>
      </c>
      <c r="N65" s="443" t="s">
        <v>335</v>
      </c>
      <c r="O65" s="443"/>
      <c r="P65" s="444">
        <v>200</v>
      </c>
      <c r="Q65" s="444"/>
      <c r="R65" s="418"/>
      <c r="S65" s="418"/>
      <c r="T65" s="418"/>
      <c r="U65" s="418"/>
      <c r="V65" s="418"/>
      <c r="W65" s="418"/>
      <c r="X65" s="418"/>
      <c r="Y65" s="418"/>
      <c r="Z65" s="418"/>
      <c r="AA65" s="418"/>
      <c r="AB65" s="442"/>
      <c r="AC65" s="442"/>
      <c r="AD65" s="445"/>
      <c r="AF65" s="50"/>
    </row>
    <row r="66" spans="1:32" ht="25.5" customHeight="1">
      <c r="A66" s="437">
        <v>2</v>
      </c>
      <c r="B66" s="438"/>
      <c r="C66" s="104"/>
      <c r="D66" s="227"/>
      <c r="E66" s="230"/>
      <c r="F66" s="439"/>
      <c r="G66" s="440"/>
      <c r="H66" s="440"/>
      <c r="I66" s="440"/>
      <c r="J66" s="441"/>
      <c r="K66" s="442"/>
      <c r="L66" s="442"/>
      <c r="M66" s="51"/>
      <c r="N66" s="443"/>
      <c r="O66" s="443"/>
      <c r="P66" s="444"/>
      <c r="Q66" s="444"/>
      <c r="R66" s="418"/>
      <c r="S66" s="418"/>
      <c r="T66" s="418"/>
      <c r="U66" s="418"/>
      <c r="V66" s="418"/>
      <c r="W66" s="418"/>
      <c r="X66" s="418"/>
      <c r="Y66" s="418"/>
      <c r="Z66" s="418"/>
      <c r="AA66" s="418"/>
      <c r="AB66" s="442"/>
      <c r="AC66" s="442"/>
      <c r="AD66" s="445"/>
      <c r="AF66" s="50"/>
    </row>
    <row r="67" spans="1:32" ht="25.5" customHeight="1">
      <c r="A67" s="437">
        <v>3</v>
      </c>
      <c r="B67" s="438"/>
      <c r="C67" s="104"/>
      <c r="D67" s="227"/>
      <c r="E67" s="230"/>
      <c r="F67" s="439"/>
      <c r="G67" s="440"/>
      <c r="H67" s="440"/>
      <c r="I67" s="440"/>
      <c r="J67" s="441"/>
      <c r="K67" s="442"/>
      <c r="L67" s="442"/>
      <c r="M67" s="51"/>
      <c r="N67" s="443"/>
      <c r="O67" s="443"/>
      <c r="P67" s="444"/>
      <c r="Q67" s="444"/>
      <c r="R67" s="418"/>
      <c r="S67" s="418"/>
      <c r="T67" s="418"/>
      <c r="U67" s="418"/>
      <c r="V67" s="418"/>
      <c r="W67" s="418"/>
      <c r="X67" s="418"/>
      <c r="Y67" s="418"/>
      <c r="Z67" s="418"/>
      <c r="AA67" s="418"/>
      <c r="AB67" s="442"/>
      <c r="AC67" s="442"/>
      <c r="AD67" s="445"/>
      <c r="AF67" s="50"/>
    </row>
    <row r="68" spans="1:32" ht="25.5" customHeight="1">
      <c r="A68" s="437">
        <v>4</v>
      </c>
      <c r="B68" s="438"/>
      <c r="C68" s="104"/>
      <c r="D68" s="227"/>
      <c r="E68" s="230"/>
      <c r="F68" s="439"/>
      <c r="G68" s="440"/>
      <c r="H68" s="440"/>
      <c r="I68" s="440"/>
      <c r="J68" s="441"/>
      <c r="K68" s="442"/>
      <c r="L68" s="442"/>
      <c r="M68" s="51"/>
      <c r="N68" s="443"/>
      <c r="O68" s="443"/>
      <c r="P68" s="444"/>
      <c r="Q68" s="444"/>
      <c r="R68" s="418"/>
      <c r="S68" s="418"/>
      <c r="T68" s="418"/>
      <c r="U68" s="418"/>
      <c r="V68" s="418"/>
      <c r="W68" s="418"/>
      <c r="X68" s="418"/>
      <c r="Y68" s="418"/>
      <c r="Z68" s="418"/>
      <c r="AA68" s="418"/>
      <c r="AB68" s="442"/>
      <c r="AC68" s="442"/>
      <c r="AD68" s="445"/>
      <c r="AF68" s="50"/>
    </row>
    <row r="69" spans="1:32" ht="25.5" customHeight="1">
      <c r="A69" s="437">
        <v>5</v>
      </c>
      <c r="B69" s="438"/>
      <c r="C69" s="104"/>
      <c r="D69" s="227"/>
      <c r="E69" s="230"/>
      <c r="F69" s="439"/>
      <c r="G69" s="440"/>
      <c r="H69" s="440"/>
      <c r="I69" s="440"/>
      <c r="J69" s="441"/>
      <c r="K69" s="442"/>
      <c r="L69" s="442"/>
      <c r="M69" s="51"/>
      <c r="N69" s="443"/>
      <c r="O69" s="443"/>
      <c r="P69" s="444"/>
      <c r="Q69" s="444"/>
      <c r="R69" s="418"/>
      <c r="S69" s="418"/>
      <c r="T69" s="418"/>
      <c r="U69" s="418"/>
      <c r="V69" s="418"/>
      <c r="W69" s="418"/>
      <c r="X69" s="418"/>
      <c r="Y69" s="418"/>
      <c r="Z69" s="418"/>
      <c r="AA69" s="418"/>
      <c r="AB69" s="442"/>
      <c r="AC69" s="442"/>
      <c r="AD69" s="445"/>
      <c r="AF69" s="50"/>
    </row>
    <row r="70" spans="1:32" ht="25.5" customHeight="1">
      <c r="A70" s="437">
        <v>6</v>
      </c>
      <c r="B70" s="438"/>
      <c r="C70" s="104"/>
      <c r="D70" s="227"/>
      <c r="E70" s="230"/>
      <c r="F70" s="439"/>
      <c r="G70" s="440"/>
      <c r="H70" s="440"/>
      <c r="I70" s="440"/>
      <c r="J70" s="441"/>
      <c r="K70" s="442"/>
      <c r="L70" s="442"/>
      <c r="M70" s="51"/>
      <c r="N70" s="443"/>
      <c r="O70" s="443"/>
      <c r="P70" s="444"/>
      <c r="Q70" s="444"/>
      <c r="R70" s="418"/>
      <c r="S70" s="418"/>
      <c r="T70" s="418"/>
      <c r="U70" s="418"/>
      <c r="V70" s="418"/>
      <c r="W70" s="418"/>
      <c r="X70" s="418"/>
      <c r="Y70" s="418"/>
      <c r="Z70" s="418"/>
      <c r="AA70" s="418"/>
      <c r="AB70" s="442"/>
      <c r="AC70" s="442"/>
      <c r="AD70" s="445"/>
      <c r="AF70" s="50"/>
    </row>
    <row r="71" spans="1:32" ht="25.5" customHeight="1">
      <c r="A71" s="437">
        <v>7</v>
      </c>
      <c r="B71" s="438"/>
      <c r="C71" s="104"/>
      <c r="D71" s="227"/>
      <c r="E71" s="230"/>
      <c r="F71" s="447"/>
      <c r="G71" s="442"/>
      <c r="H71" s="442"/>
      <c r="I71" s="442"/>
      <c r="J71" s="442"/>
      <c r="K71" s="442"/>
      <c r="L71" s="442"/>
      <c r="M71" s="51"/>
      <c r="N71" s="443"/>
      <c r="O71" s="443"/>
      <c r="P71" s="444"/>
      <c r="Q71" s="444"/>
      <c r="R71" s="418"/>
      <c r="S71" s="418"/>
      <c r="T71" s="418"/>
      <c r="U71" s="418"/>
      <c r="V71" s="418"/>
      <c r="W71" s="418"/>
      <c r="X71" s="418"/>
      <c r="Y71" s="418"/>
      <c r="Z71" s="418"/>
      <c r="AA71" s="418"/>
      <c r="AB71" s="442"/>
      <c r="AC71" s="442"/>
      <c r="AD71" s="445"/>
      <c r="AF71" s="50"/>
    </row>
    <row r="72" spans="1:32" ht="25.5" customHeight="1">
      <c r="A72" s="437">
        <v>8</v>
      </c>
      <c r="B72" s="438"/>
      <c r="C72" s="104"/>
      <c r="D72" s="227"/>
      <c r="E72" s="230"/>
      <c r="F72" s="447"/>
      <c r="G72" s="442"/>
      <c r="H72" s="442"/>
      <c r="I72" s="442"/>
      <c r="J72" s="442"/>
      <c r="K72" s="442"/>
      <c r="L72" s="442"/>
      <c r="M72" s="51"/>
      <c r="N72" s="443"/>
      <c r="O72" s="443"/>
      <c r="P72" s="444"/>
      <c r="Q72" s="444"/>
      <c r="R72" s="418"/>
      <c r="S72" s="418"/>
      <c r="T72" s="418"/>
      <c r="U72" s="418"/>
      <c r="V72" s="418"/>
      <c r="W72" s="418"/>
      <c r="X72" s="418"/>
      <c r="Y72" s="418"/>
      <c r="Z72" s="418"/>
      <c r="AA72" s="418"/>
      <c r="AB72" s="442"/>
      <c r="AC72" s="442"/>
      <c r="AD72" s="445"/>
      <c r="AF72" s="50"/>
    </row>
    <row r="73" spans="1:32" ht="25.5" customHeight="1">
      <c r="A73" s="437">
        <v>9</v>
      </c>
      <c r="B73" s="438"/>
      <c r="C73" s="104"/>
      <c r="D73" s="227"/>
      <c r="E73" s="230"/>
      <c r="F73" s="447"/>
      <c r="G73" s="442"/>
      <c r="H73" s="442"/>
      <c r="I73" s="442"/>
      <c r="J73" s="442"/>
      <c r="K73" s="442"/>
      <c r="L73" s="442"/>
      <c r="M73" s="51"/>
      <c r="N73" s="443"/>
      <c r="O73" s="443"/>
      <c r="P73" s="444"/>
      <c r="Q73" s="444"/>
      <c r="R73" s="418"/>
      <c r="S73" s="418"/>
      <c r="T73" s="418"/>
      <c r="U73" s="418"/>
      <c r="V73" s="418"/>
      <c r="W73" s="418"/>
      <c r="X73" s="418"/>
      <c r="Y73" s="418"/>
      <c r="Z73" s="418"/>
      <c r="AA73" s="418"/>
      <c r="AB73" s="442"/>
      <c r="AC73" s="442"/>
      <c r="AD73" s="445"/>
      <c r="AF73" s="50"/>
    </row>
    <row r="74" spans="1:32" ht="25.5" customHeight="1">
      <c r="A74" s="437">
        <v>10</v>
      </c>
      <c r="B74" s="438"/>
      <c r="C74" s="104"/>
      <c r="D74" s="227"/>
      <c r="E74" s="230"/>
      <c r="F74" s="447"/>
      <c r="G74" s="442"/>
      <c r="H74" s="442"/>
      <c r="I74" s="442"/>
      <c r="J74" s="442"/>
      <c r="K74" s="442"/>
      <c r="L74" s="442"/>
      <c r="M74" s="51"/>
      <c r="N74" s="443"/>
      <c r="O74" s="443"/>
      <c r="P74" s="444"/>
      <c r="Q74" s="444"/>
      <c r="R74" s="418"/>
      <c r="S74" s="418"/>
      <c r="T74" s="418"/>
      <c r="U74" s="418"/>
      <c r="V74" s="418"/>
      <c r="W74" s="418"/>
      <c r="X74" s="418"/>
      <c r="Y74" s="418"/>
      <c r="Z74" s="418"/>
      <c r="AA74" s="418"/>
      <c r="AB74" s="442"/>
      <c r="AC74" s="442"/>
      <c r="AD74" s="445"/>
      <c r="AF74" s="50"/>
    </row>
    <row r="75" spans="1:32" ht="26.25" customHeight="1" thickBot="1">
      <c r="A75" s="448" t="s">
        <v>435</v>
      </c>
      <c r="B75" s="448"/>
      <c r="C75" s="448"/>
      <c r="D75" s="448"/>
      <c r="E75" s="448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449" t="s">
        <v>134</v>
      </c>
      <c r="B76" s="450"/>
      <c r="C76" s="229" t="s">
        <v>2</v>
      </c>
      <c r="D76" s="229" t="s">
        <v>37</v>
      </c>
      <c r="E76" s="229" t="s">
        <v>128</v>
      </c>
      <c r="F76" s="450" t="s">
        <v>38</v>
      </c>
      <c r="G76" s="450"/>
      <c r="H76" s="450"/>
      <c r="I76" s="450"/>
      <c r="J76" s="450"/>
      <c r="K76" s="451" t="s">
        <v>58</v>
      </c>
      <c r="L76" s="452"/>
      <c r="M76" s="452"/>
      <c r="N76" s="452"/>
      <c r="O76" s="452"/>
      <c r="P76" s="452"/>
      <c r="Q76" s="452"/>
      <c r="R76" s="452"/>
      <c r="S76" s="453"/>
      <c r="T76" s="450" t="s">
        <v>49</v>
      </c>
      <c r="U76" s="450"/>
      <c r="V76" s="451" t="s">
        <v>50</v>
      </c>
      <c r="W76" s="453"/>
      <c r="X76" s="452" t="s">
        <v>51</v>
      </c>
      <c r="Y76" s="452"/>
      <c r="Z76" s="452"/>
      <c r="AA76" s="452"/>
      <c r="AB76" s="452"/>
      <c r="AC76" s="452"/>
      <c r="AD76" s="454"/>
      <c r="AF76" s="50"/>
    </row>
    <row r="77" spans="1:32" ht="33.75" customHeight="1">
      <c r="A77" s="463">
        <v>1</v>
      </c>
      <c r="B77" s="464"/>
      <c r="C77" s="228" t="s">
        <v>112</v>
      </c>
      <c r="D77" s="228"/>
      <c r="E77" s="65" t="s">
        <v>117</v>
      </c>
      <c r="F77" s="465" t="s">
        <v>116</v>
      </c>
      <c r="G77" s="466"/>
      <c r="H77" s="466"/>
      <c r="I77" s="466"/>
      <c r="J77" s="467"/>
      <c r="K77" s="468" t="s">
        <v>120</v>
      </c>
      <c r="L77" s="469"/>
      <c r="M77" s="469"/>
      <c r="N77" s="469"/>
      <c r="O77" s="469"/>
      <c r="P77" s="469"/>
      <c r="Q77" s="469"/>
      <c r="R77" s="469"/>
      <c r="S77" s="470"/>
      <c r="T77" s="471">
        <v>44118</v>
      </c>
      <c r="U77" s="472"/>
      <c r="V77" s="473"/>
      <c r="W77" s="473"/>
      <c r="X77" s="474"/>
      <c r="Y77" s="474"/>
      <c r="Z77" s="474"/>
      <c r="AA77" s="474"/>
      <c r="AB77" s="474"/>
      <c r="AC77" s="474"/>
      <c r="AD77" s="475"/>
      <c r="AF77" s="50"/>
    </row>
    <row r="78" spans="1:32" ht="30" customHeight="1">
      <c r="A78" s="455">
        <f>A77+1</f>
        <v>2</v>
      </c>
      <c r="B78" s="456"/>
      <c r="C78" s="227"/>
      <c r="D78" s="227"/>
      <c r="E78" s="32"/>
      <c r="F78" s="456"/>
      <c r="G78" s="456"/>
      <c r="H78" s="456"/>
      <c r="I78" s="456"/>
      <c r="J78" s="456"/>
      <c r="K78" s="457"/>
      <c r="L78" s="458"/>
      <c r="M78" s="458"/>
      <c r="N78" s="458"/>
      <c r="O78" s="458"/>
      <c r="P78" s="458"/>
      <c r="Q78" s="458"/>
      <c r="R78" s="458"/>
      <c r="S78" s="459"/>
      <c r="T78" s="460"/>
      <c r="U78" s="460"/>
      <c r="V78" s="460"/>
      <c r="W78" s="460"/>
      <c r="X78" s="461"/>
      <c r="Y78" s="461"/>
      <c r="Z78" s="461"/>
      <c r="AA78" s="461"/>
      <c r="AB78" s="461"/>
      <c r="AC78" s="461"/>
      <c r="AD78" s="462"/>
      <c r="AF78" s="50"/>
    </row>
    <row r="79" spans="1:32" ht="30" customHeight="1">
      <c r="A79" s="455">
        <f t="shared" ref="A79:A83" si="19">A78+1</f>
        <v>3</v>
      </c>
      <c r="B79" s="456"/>
      <c r="C79" s="227"/>
      <c r="D79" s="227"/>
      <c r="E79" s="32"/>
      <c r="F79" s="456"/>
      <c r="G79" s="456"/>
      <c r="H79" s="456"/>
      <c r="I79" s="456"/>
      <c r="J79" s="456"/>
      <c r="K79" s="457"/>
      <c r="L79" s="458"/>
      <c r="M79" s="458"/>
      <c r="N79" s="458"/>
      <c r="O79" s="458"/>
      <c r="P79" s="458"/>
      <c r="Q79" s="458"/>
      <c r="R79" s="458"/>
      <c r="S79" s="459"/>
      <c r="T79" s="460"/>
      <c r="U79" s="460"/>
      <c r="V79" s="460"/>
      <c r="W79" s="460"/>
      <c r="X79" s="461"/>
      <c r="Y79" s="461"/>
      <c r="Z79" s="461"/>
      <c r="AA79" s="461"/>
      <c r="AB79" s="461"/>
      <c r="AC79" s="461"/>
      <c r="AD79" s="462"/>
      <c r="AF79" s="50"/>
    </row>
    <row r="80" spans="1:32" ht="30" customHeight="1">
      <c r="A80" s="455">
        <f t="shared" si="19"/>
        <v>4</v>
      </c>
      <c r="B80" s="456"/>
      <c r="C80" s="227"/>
      <c r="D80" s="227"/>
      <c r="E80" s="32"/>
      <c r="F80" s="456"/>
      <c r="G80" s="456"/>
      <c r="H80" s="456"/>
      <c r="I80" s="456"/>
      <c r="J80" s="456"/>
      <c r="K80" s="457"/>
      <c r="L80" s="458"/>
      <c r="M80" s="458"/>
      <c r="N80" s="458"/>
      <c r="O80" s="458"/>
      <c r="P80" s="458"/>
      <c r="Q80" s="458"/>
      <c r="R80" s="458"/>
      <c r="S80" s="459"/>
      <c r="T80" s="460"/>
      <c r="U80" s="460"/>
      <c r="V80" s="460"/>
      <c r="W80" s="460"/>
      <c r="X80" s="461"/>
      <c r="Y80" s="461"/>
      <c r="Z80" s="461"/>
      <c r="AA80" s="461"/>
      <c r="AB80" s="461"/>
      <c r="AC80" s="461"/>
      <c r="AD80" s="462"/>
      <c r="AF80" s="50"/>
    </row>
    <row r="81" spans="1:32" ht="30" customHeight="1">
      <c r="A81" s="455">
        <f t="shared" si="19"/>
        <v>5</v>
      </c>
      <c r="B81" s="456"/>
      <c r="C81" s="227"/>
      <c r="D81" s="227"/>
      <c r="E81" s="32"/>
      <c r="F81" s="456"/>
      <c r="G81" s="456"/>
      <c r="H81" s="456"/>
      <c r="I81" s="456"/>
      <c r="J81" s="456"/>
      <c r="K81" s="457"/>
      <c r="L81" s="458"/>
      <c r="M81" s="458"/>
      <c r="N81" s="458"/>
      <c r="O81" s="458"/>
      <c r="P81" s="458"/>
      <c r="Q81" s="458"/>
      <c r="R81" s="458"/>
      <c r="S81" s="459"/>
      <c r="T81" s="460"/>
      <c r="U81" s="460"/>
      <c r="V81" s="460"/>
      <c r="W81" s="460"/>
      <c r="X81" s="461"/>
      <c r="Y81" s="461"/>
      <c r="Z81" s="461"/>
      <c r="AA81" s="461"/>
      <c r="AB81" s="461"/>
      <c r="AC81" s="461"/>
      <c r="AD81" s="462"/>
      <c r="AF81" s="50"/>
    </row>
    <row r="82" spans="1:32" ht="30" customHeight="1">
      <c r="A82" s="455">
        <f t="shared" si="19"/>
        <v>6</v>
      </c>
      <c r="B82" s="456"/>
      <c r="C82" s="227"/>
      <c r="D82" s="227"/>
      <c r="E82" s="32"/>
      <c r="F82" s="456"/>
      <c r="G82" s="456"/>
      <c r="H82" s="456"/>
      <c r="I82" s="456"/>
      <c r="J82" s="456"/>
      <c r="K82" s="457"/>
      <c r="L82" s="458"/>
      <c r="M82" s="458"/>
      <c r="N82" s="458"/>
      <c r="O82" s="458"/>
      <c r="P82" s="458"/>
      <c r="Q82" s="458"/>
      <c r="R82" s="458"/>
      <c r="S82" s="459"/>
      <c r="T82" s="460"/>
      <c r="U82" s="460"/>
      <c r="V82" s="460"/>
      <c r="W82" s="460"/>
      <c r="X82" s="461"/>
      <c r="Y82" s="461"/>
      <c r="Z82" s="461"/>
      <c r="AA82" s="461"/>
      <c r="AB82" s="461"/>
      <c r="AC82" s="461"/>
      <c r="AD82" s="462"/>
      <c r="AF82" s="50"/>
    </row>
    <row r="83" spans="1:32" ht="30" customHeight="1">
      <c r="A83" s="455">
        <f t="shared" si="19"/>
        <v>7</v>
      </c>
      <c r="B83" s="456"/>
      <c r="C83" s="227"/>
      <c r="D83" s="227"/>
      <c r="E83" s="32"/>
      <c r="F83" s="456"/>
      <c r="G83" s="456"/>
      <c r="H83" s="456"/>
      <c r="I83" s="456"/>
      <c r="J83" s="456"/>
      <c r="K83" s="457"/>
      <c r="L83" s="458"/>
      <c r="M83" s="458"/>
      <c r="N83" s="458"/>
      <c r="O83" s="458"/>
      <c r="P83" s="458"/>
      <c r="Q83" s="458"/>
      <c r="R83" s="458"/>
      <c r="S83" s="459"/>
      <c r="T83" s="460"/>
      <c r="U83" s="460"/>
      <c r="V83" s="460"/>
      <c r="W83" s="460"/>
      <c r="X83" s="461"/>
      <c r="Y83" s="461"/>
      <c r="Z83" s="461"/>
      <c r="AA83" s="461"/>
      <c r="AB83" s="461"/>
      <c r="AC83" s="461"/>
      <c r="AD83" s="462"/>
      <c r="AF83" s="50"/>
    </row>
    <row r="84" spans="1:32" ht="36" thickBot="1">
      <c r="A84" s="448" t="s">
        <v>436</v>
      </c>
      <c r="B84" s="448"/>
      <c r="C84" s="448"/>
      <c r="D84" s="448"/>
      <c r="E84" s="448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49" t="s">
        <v>111</v>
      </c>
      <c r="B85" s="450"/>
      <c r="C85" s="476" t="s">
        <v>52</v>
      </c>
      <c r="D85" s="476"/>
      <c r="E85" s="476" t="s">
        <v>53</v>
      </c>
      <c r="F85" s="476"/>
      <c r="G85" s="476"/>
      <c r="H85" s="476"/>
      <c r="I85" s="476"/>
      <c r="J85" s="476"/>
      <c r="K85" s="476" t="s">
        <v>54</v>
      </c>
      <c r="L85" s="476"/>
      <c r="M85" s="476"/>
      <c r="N85" s="476"/>
      <c r="O85" s="476"/>
      <c r="P85" s="476"/>
      <c r="Q85" s="476"/>
      <c r="R85" s="476"/>
      <c r="S85" s="476"/>
      <c r="T85" s="476" t="s">
        <v>55</v>
      </c>
      <c r="U85" s="476"/>
      <c r="V85" s="476" t="s">
        <v>56</v>
      </c>
      <c r="W85" s="476"/>
      <c r="X85" s="476"/>
      <c r="Y85" s="476" t="s">
        <v>51</v>
      </c>
      <c r="Z85" s="476"/>
      <c r="AA85" s="476"/>
      <c r="AB85" s="476"/>
      <c r="AC85" s="476"/>
      <c r="AD85" s="477"/>
      <c r="AF85" s="50"/>
    </row>
    <row r="86" spans="1:32" ht="30.75" customHeight="1">
      <c r="A86" s="463">
        <v>1</v>
      </c>
      <c r="B86" s="464"/>
      <c r="C86" s="478"/>
      <c r="D86" s="478"/>
      <c r="E86" s="478"/>
      <c r="F86" s="478"/>
      <c r="G86" s="478"/>
      <c r="H86" s="478"/>
      <c r="I86" s="478"/>
      <c r="J86" s="478"/>
      <c r="K86" s="478"/>
      <c r="L86" s="478"/>
      <c r="M86" s="478"/>
      <c r="N86" s="478"/>
      <c r="O86" s="478"/>
      <c r="P86" s="478"/>
      <c r="Q86" s="478"/>
      <c r="R86" s="478"/>
      <c r="S86" s="478"/>
      <c r="T86" s="478"/>
      <c r="U86" s="478"/>
      <c r="V86" s="479"/>
      <c r="W86" s="479"/>
      <c r="X86" s="479"/>
      <c r="Y86" s="480"/>
      <c r="Z86" s="480"/>
      <c r="AA86" s="480"/>
      <c r="AB86" s="480"/>
      <c r="AC86" s="480"/>
      <c r="AD86" s="481"/>
      <c r="AF86" s="50"/>
    </row>
    <row r="87" spans="1:32" ht="30.75" customHeight="1">
      <c r="A87" s="455">
        <v>2</v>
      </c>
      <c r="B87" s="456"/>
      <c r="C87" s="489"/>
      <c r="D87" s="489"/>
      <c r="E87" s="489"/>
      <c r="F87" s="489"/>
      <c r="G87" s="489"/>
      <c r="H87" s="489"/>
      <c r="I87" s="489"/>
      <c r="J87" s="489"/>
      <c r="K87" s="489"/>
      <c r="L87" s="489"/>
      <c r="M87" s="489"/>
      <c r="N87" s="489"/>
      <c r="O87" s="489"/>
      <c r="P87" s="489"/>
      <c r="Q87" s="489"/>
      <c r="R87" s="489"/>
      <c r="S87" s="489"/>
      <c r="T87" s="490"/>
      <c r="U87" s="490"/>
      <c r="V87" s="491"/>
      <c r="W87" s="491"/>
      <c r="X87" s="491"/>
      <c r="Y87" s="482"/>
      <c r="Z87" s="482"/>
      <c r="AA87" s="482"/>
      <c r="AB87" s="482"/>
      <c r="AC87" s="482"/>
      <c r="AD87" s="483"/>
      <c r="AF87" s="50"/>
    </row>
    <row r="88" spans="1:32" ht="30.75" customHeight="1" thickBot="1">
      <c r="A88" s="484">
        <v>3</v>
      </c>
      <c r="B88" s="485"/>
      <c r="C88" s="486"/>
      <c r="D88" s="486"/>
      <c r="E88" s="486"/>
      <c r="F88" s="486"/>
      <c r="G88" s="486"/>
      <c r="H88" s="486"/>
      <c r="I88" s="486"/>
      <c r="J88" s="486"/>
      <c r="K88" s="486"/>
      <c r="L88" s="486"/>
      <c r="M88" s="486"/>
      <c r="N88" s="486"/>
      <c r="O88" s="486"/>
      <c r="P88" s="486"/>
      <c r="Q88" s="486"/>
      <c r="R88" s="486"/>
      <c r="S88" s="486"/>
      <c r="T88" s="486"/>
      <c r="U88" s="486"/>
      <c r="V88" s="486"/>
      <c r="W88" s="486"/>
      <c r="X88" s="486"/>
      <c r="Y88" s="487"/>
      <c r="Z88" s="487"/>
      <c r="AA88" s="487"/>
      <c r="AB88" s="487"/>
      <c r="AC88" s="487"/>
      <c r="AD88" s="488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8870-7BD9-4F4E-B949-6CBC216737D4}">
  <dimension ref="A1:AF87"/>
  <sheetViews>
    <sheetView view="pageBreakPreview" zoomScale="70" zoomScaleNormal="72" zoomScaleSheetLayoutView="70" workbookViewId="0">
      <selection activeCell="K76" sqref="K76:S7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70" t="s">
        <v>437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5"/>
      <c r="T4" s="405"/>
      <c r="U4" s="405"/>
      <c r="V4" s="405"/>
      <c r="W4" s="406" t="s">
        <v>11</v>
      </c>
      <c r="X4" s="405"/>
      <c r="Y4" s="405"/>
      <c r="Z4" s="405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240" t="s">
        <v>17</v>
      </c>
      <c r="L5" s="240" t="s">
        <v>18</v>
      </c>
      <c r="M5" s="240" t="s">
        <v>19</v>
      </c>
      <c r="N5" s="24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376</v>
      </c>
      <c r="E6" s="53" t="s">
        <v>422</v>
      </c>
      <c r="F6" s="30" t="s">
        <v>144</v>
      </c>
      <c r="G6" s="12">
        <v>1</v>
      </c>
      <c r="H6" s="13">
        <v>24</v>
      </c>
      <c r="I6" s="7">
        <v>1200</v>
      </c>
      <c r="J6" s="14">
        <v>5632</v>
      </c>
      <c r="K6" s="15">
        <f>L6+2694</f>
        <v>8326</v>
      </c>
      <c r="L6" s="15">
        <f>2551+3081</f>
        <v>5632</v>
      </c>
      <c r="M6" s="15">
        <f t="shared" ref="M6:M21" si="0">L6-N6</f>
        <v>5632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24</v>
      </c>
      <c r="Q6" s="40">
        <f t="shared" ref="Q6:Q21" si="3">SUM(R6:AA6)</f>
        <v>0</v>
      </c>
      <c r="R6" s="7"/>
      <c r="S6" s="6"/>
      <c r="T6" s="16"/>
      <c r="U6" s="16"/>
      <c r="V6" s="17"/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6">
        <f t="shared" ref="AE6:AE21" si="7">$AD$22</f>
        <v>0.55208333333333337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 t="s">
        <v>131</v>
      </c>
      <c r="E7" s="53" t="s">
        <v>139</v>
      </c>
      <c r="F7" s="12" t="s">
        <v>133</v>
      </c>
      <c r="G7" s="12">
        <v>1</v>
      </c>
      <c r="H7" s="13">
        <v>24</v>
      </c>
      <c r="I7" s="31">
        <v>50000</v>
      </c>
      <c r="J7" s="14">
        <v>4618</v>
      </c>
      <c r="K7" s="15">
        <f>L7+4913+5878+5650+6007+4705+3622+4848</f>
        <v>40241</v>
      </c>
      <c r="L7" s="15">
        <f>1613+3005</f>
        <v>4618</v>
      </c>
      <c r="M7" s="15">
        <f t="shared" si="0"/>
        <v>4618</v>
      </c>
      <c r="N7" s="15">
        <v>0</v>
      </c>
      <c r="O7" s="58">
        <f t="shared" si="1"/>
        <v>0</v>
      </c>
      <c r="P7" s="39">
        <f t="shared" si="2"/>
        <v>19</v>
      </c>
      <c r="Q7" s="40">
        <f t="shared" si="3"/>
        <v>5</v>
      </c>
      <c r="R7" s="7"/>
      <c r="S7" s="6">
        <v>5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0.79166666666666663</v>
      </c>
      <c r="AD7" s="10">
        <f t="shared" si="6"/>
        <v>0.79166666666666663</v>
      </c>
      <c r="AE7" s="36">
        <f t="shared" si="7"/>
        <v>0.55208333333333337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/>
      <c r="E8" s="53" t="s">
        <v>321</v>
      </c>
      <c r="F8" s="30" t="s">
        <v>340</v>
      </c>
      <c r="G8" s="33">
        <v>1</v>
      </c>
      <c r="H8" s="35">
        <v>24</v>
      </c>
      <c r="I8" s="7">
        <v>50500</v>
      </c>
      <c r="J8" s="5">
        <v>5660</v>
      </c>
      <c r="K8" s="15">
        <f>L8+4349+2445+5035+5245</f>
        <v>22734</v>
      </c>
      <c r="L8" s="15">
        <f>2840+2820</f>
        <v>5660</v>
      </c>
      <c r="M8" s="15">
        <f t="shared" si="0"/>
        <v>5660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0.55208333333333337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119</v>
      </c>
      <c r="D9" s="52" t="s">
        <v>228</v>
      </c>
      <c r="E9" s="53" t="s">
        <v>369</v>
      </c>
      <c r="F9" s="30" t="s">
        <v>362</v>
      </c>
      <c r="G9" s="12">
        <v>1</v>
      </c>
      <c r="H9" s="13">
        <v>24</v>
      </c>
      <c r="I9" s="7">
        <v>20000</v>
      </c>
      <c r="J9" s="14">
        <v>3821</v>
      </c>
      <c r="K9" s="15">
        <f>L9+4978+5482</f>
        <v>14281</v>
      </c>
      <c r="L9" s="15">
        <f>761+3060</f>
        <v>3821</v>
      </c>
      <c r="M9" s="15">
        <f t="shared" si="0"/>
        <v>3821</v>
      </c>
      <c r="N9" s="15">
        <v>0</v>
      </c>
      <c r="O9" s="58">
        <f t="shared" si="1"/>
        <v>0</v>
      </c>
      <c r="P9" s="39">
        <f t="shared" si="2"/>
        <v>17</v>
      </c>
      <c r="Q9" s="40">
        <f t="shared" si="3"/>
        <v>7</v>
      </c>
      <c r="R9" s="7">
        <v>7</v>
      </c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0.70833333333333337</v>
      </c>
      <c r="AD9" s="10">
        <f t="shared" si="6"/>
        <v>0.70833333333333337</v>
      </c>
      <c r="AE9" s="36">
        <f t="shared" si="7"/>
        <v>0.55208333333333337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147</v>
      </c>
      <c r="E10" s="53" t="s">
        <v>388</v>
      </c>
      <c r="F10" s="30" t="s">
        <v>127</v>
      </c>
      <c r="G10" s="33">
        <v>1</v>
      </c>
      <c r="H10" s="35">
        <v>24</v>
      </c>
      <c r="I10" s="7">
        <v>36000</v>
      </c>
      <c r="J10" s="14">
        <v>4039</v>
      </c>
      <c r="K10" s="15">
        <f>L10+3274</f>
        <v>7313</v>
      </c>
      <c r="L10" s="15">
        <f>886+3153</f>
        <v>4039</v>
      </c>
      <c r="M10" s="15">
        <f t="shared" si="0"/>
        <v>4039</v>
      </c>
      <c r="N10" s="15">
        <v>0</v>
      </c>
      <c r="O10" s="58">
        <f t="shared" si="1"/>
        <v>0</v>
      </c>
      <c r="P10" s="39">
        <f t="shared" si="2"/>
        <v>17</v>
      </c>
      <c r="Q10" s="40">
        <f t="shared" si="3"/>
        <v>7</v>
      </c>
      <c r="R10" s="7"/>
      <c r="S10" s="6">
        <v>7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0.70833333333333337</v>
      </c>
      <c r="AD10" s="10">
        <f t="shared" si="6"/>
        <v>0.70833333333333337</v>
      </c>
      <c r="AE10" s="36">
        <f t="shared" si="7"/>
        <v>0.55208333333333337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263</v>
      </c>
      <c r="E11" s="53" t="s">
        <v>264</v>
      </c>
      <c r="F11" s="30" t="s">
        <v>206</v>
      </c>
      <c r="G11" s="33">
        <v>16</v>
      </c>
      <c r="H11" s="35">
        <v>24</v>
      </c>
      <c r="I11" s="7">
        <v>100000</v>
      </c>
      <c r="J11" s="14">
        <v>67990</v>
      </c>
      <c r="K11" s="15">
        <f>L11+49500+67990</f>
        <v>117490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0.55208333333333337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220</v>
      </c>
      <c r="F12" s="30" t="s">
        <v>142</v>
      </c>
      <c r="G12" s="12">
        <v>1</v>
      </c>
      <c r="H12" s="13">
        <v>22</v>
      </c>
      <c r="I12" s="31">
        <v>20000</v>
      </c>
      <c r="J12" s="5">
        <v>4747</v>
      </c>
      <c r="K12" s="15">
        <f>L12</f>
        <v>4747</v>
      </c>
      <c r="L12" s="15">
        <f>2217+2530</f>
        <v>4747</v>
      </c>
      <c r="M12" s="15">
        <f t="shared" si="0"/>
        <v>4747</v>
      </c>
      <c r="N12" s="15">
        <v>0</v>
      </c>
      <c r="O12" s="58">
        <f t="shared" si="1"/>
        <v>0</v>
      </c>
      <c r="P12" s="39">
        <f t="shared" si="2"/>
        <v>23</v>
      </c>
      <c r="Q12" s="40">
        <f t="shared" si="3"/>
        <v>1</v>
      </c>
      <c r="R12" s="7"/>
      <c r="S12" s="6"/>
      <c r="T12" s="16">
        <v>1</v>
      </c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0.95833333333333337</v>
      </c>
      <c r="AD12" s="10">
        <f t="shared" si="6"/>
        <v>0.95833333333333337</v>
      </c>
      <c r="AE12" s="36">
        <f t="shared" si="7"/>
        <v>0.55208333333333337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115</v>
      </c>
      <c r="E13" s="53" t="s">
        <v>430</v>
      </c>
      <c r="F13" s="30" t="s">
        <v>127</v>
      </c>
      <c r="G13" s="33">
        <v>1</v>
      </c>
      <c r="H13" s="35">
        <v>24</v>
      </c>
      <c r="I13" s="7">
        <v>300</v>
      </c>
      <c r="J13" s="14">
        <v>554</v>
      </c>
      <c r="K13" s="15">
        <f>L13</f>
        <v>554</v>
      </c>
      <c r="L13" s="15">
        <f>554</f>
        <v>554</v>
      </c>
      <c r="M13" s="15">
        <f t="shared" si="0"/>
        <v>554</v>
      </c>
      <c r="N13" s="15">
        <v>0</v>
      </c>
      <c r="O13" s="58">
        <f t="shared" si="1"/>
        <v>0</v>
      </c>
      <c r="P13" s="39">
        <f t="shared" si="2"/>
        <v>6</v>
      </c>
      <c r="Q13" s="40">
        <f t="shared" si="3"/>
        <v>18</v>
      </c>
      <c r="R13" s="7"/>
      <c r="S13" s="6"/>
      <c r="T13" s="16"/>
      <c r="U13" s="16"/>
      <c r="V13" s="17"/>
      <c r="W13" s="5">
        <v>18</v>
      </c>
      <c r="X13" s="16"/>
      <c r="Y13" s="16"/>
      <c r="Z13" s="16"/>
      <c r="AA13" s="18"/>
      <c r="AB13" s="8">
        <f t="shared" si="4"/>
        <v>1</v>
      </c>
      <c r="AC13" s="9">
        <f t="shared" si="5"/>
        <v>0.25</v>
      </c>
      <c r="AD13" s="10">
        <f t="shared" si="6"/>
        <v>0.25</v>
      </c>
      <c r="AE13" s="36">
        <f t="shared" si="7"/>
        <v>0.55208333333333337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433</v>
      </c>
      <c r="F14" s="30" t="s">
        <v>169</v>
      </c>
      <c r="G14" s="33">
        <v>1</v>
      </c>
      <c r="H14" s="35">
        <v>50</v>
      </c>
      <c r="I14" s="7">
        <v>300</v>
      </c>
      <c r="J14" s="5"/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 t="str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0.55208333333333337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125</v>
      </c>
      <c r="E15" s="53" t="s">
        <v>150</v>
      </c>
      <c r="F15" s="12" t="s">
        <v>138</v>
      </c>
      <c r="G15" s="12">
        <v>1</v>
      </c>
      <c r="H15" s="13">
        <v>24</v>
      </c>
      <c r="I15" s="31">
        <v>6500</v>
      </c>
      <c r="J15" s="14">
        <v>5214</v>
      </c>
      <c r="K15" s="15">
        <f>L15+2059+5272+5214</f>
        <v>12545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0.55208333333333337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119</v>
      </c>
      <c r="D16" s="52" t="s">
        <v>399</v>
      </c>
      <c r="E16" s="53" t="s">
        <v>423</v>
      </c>
      <c r="F16" s="30" t="s">
        <v>169</v>
      </c>
      <c r="G16" s="12" t="s">
        <v>424</v>
      </c>
      <c r="H16" s="13">
        <v>24</v>
      </c>
      <c r="I16" s="7">
        <v>3000</v>
      </c>
      <c r="J16" s="14">
        <v>3086</v>
      </c>
      <c r="K16" s="15">
        <f>L16+4862</f>
        <v>7948</v>
      </c>
      <c r="L16" s="15">
        <f>273+2813</f>
        <v>3086</v>
      </c>
      <c r="M16" s="15">
        <f t="shared" si="0"/>
        <v>3086</v>
      </c>
      <c r="N16" s="15">
        <v>0</v>
      </c>
      <c r="O16" s="58">
        <f t="shared" si="1"/>
        <v>0</v>
      </c>
      <c r="P16" s="39">
        <f t="shared" si="2"/>
        <v>16</v>
      </c>
      <c r="Q16" s="40">
        <f t="shared" si="3"/>
        <v>8</v>
      </c>
      <c r="R16" s="7"/>
      <c r="S16" s="6">
        <v>8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0.66666666666666663</v>
      </c>
      <c r="AD16" s="10">
        <f t="shared" si="6"/>
        <v>0.66666666666666663</v>
      </c>
      <c r="AE16" s="36">
        <f t="shared" si="7"/>
        <v>0.55208333333333337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112</v>
      </c>
      <c r="D17" s="52" t="s">
        <v>376</v>
      </c>
      <c r="E17" s="53" t="s">
        <v>370</v>
      </c>
      <c r="F17" s="30" t="s">
        <v>206</v>
      </c>
      <c r="G17" s="12">
        <v>1</v>
      </c>
      <c r="H17" s="13">
        <v>24</v>
      </c>
      <c r="I17" s="7">
        <v>50</v>
      </c>
      <c r="J17" s="14">
        <v>50</v>
      </c>
      <c r="K17" s="15">
        <f>L17+50</f>
        <v>50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0.55208333333333337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121</v>
      </c>
      <c r="D18" s="52" t="s">
        <v>115</v>
      </c>
      <c r="E18" s="53" t="s">
        <v>391</v>
      </c>
      <c r="F18" s="30" t="s">
        <v>142</v>
      </c>
      <c r="G18" s="33">
        <v>1</v>
      </c>
      <c r="H18" s="35">
        <v>24</v>
      </c>
      <c r="I18" s="7">
        <v>4000</v>
      </c>
      <c r="J18" s="14">
        <v>2244</v>
      </c>
      <c r="K18" s="15">
        <f>L18</f>
        <v>2244</v>
      </c>
      <c r="L18" s="15">
        <f>2244</f>
        <v>2244</v>
      </c>
      <c r="M18" s="15">
        <f t="shared" si="0"/>
        <v>2244</v>
      </c>
      <c r="N18" s="15">
        <v>0</v>
      </c>
      <c r="O18" s="58">
        <f t="shared" si="1"/>
        <v>0</v>
      </c>
      <c r="P18" s="39">
        <f t="shared" si="2"/>
        <v>12</v>
      </c>
      <c r="Q18" s="40">
        <f t="shared" si="3"/>
        <v>12</v>
      </c>
      <c r="R18" s="7"/>
      <c r="S18" s="6">
        <v>12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0.5</v>
      </c>
      <c r="AD18" s="10">
        <f t="shared" si="6"/>
        <v>0.5</v>
      </c>
      <c r="AE18" s="36">
        <f t="shared" si="7"/>
        <v>0.55208333333333337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431</v>
      </c>
      <c r="F19" s="30" t="s">
        <v>169</v>
      </c>
      <c r="G19" s="33">
        <v>1</v>
      </c>
      <c r="H19" s="35">
        <v>24</v>
      </c>
      <c r="I19" s="7">
        <v>3200</v>
      </c>
      <c r="J19" s="14">
        <v>3893</v>
      </c>
      <c r="K19" s="15">
        <f>L19</f>
        <v>3893</v>
      </c>
      <c r="L19" s="15">
        <f>1283+2610</f>
        <v>3893</v>
      </c>
      <c r="M19" s="15">
        <f t="shared" si="0"/>
        <v>3893</v>
      </c>
      <c r="N19" s="15">
        <v>0</v>
      </c>
      <c r="O19" s="58">
        <f t="shared" si="1"/>
        <v>0</v>
      </c>
      <c r="P19" s="39">
        <f t="shared" si="2"/>
        <v>20</v>
      </c>
      <c r="Q19" s="40">
        <f t="shared" si="3"/>
        <v>4</v>
      </c>
      <c r="R19" s="7"/>
      <c r="S19" s="6">
        <v>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0.83333333333333337</v>
      </c>
      <c r="AD19" s="10">
        <f t="shared" si="6"/>
        <v>0.83333333333333337</v>
      </c>
      <c r="AE19" s="36">
        <f t="shared" si="7"/>
        <v>0.55208333333333337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151</v>
      </c>
      <c r="F20" s="30" t="s">
        <v>142</v>
      </c>
      <c r="G20" s="12">
        <v>1</v>
      </c>
      <c r="H20" s="13">
        <v>24</v>
      </c>
      <c r="I20" s="7">
        <v>17100</v>
      </c>
      <c r="J20" s="14">
        <v>3882</v>
      </c>
      <c r="K20" s="15">
        <f>L20+3838+5631+5627+2575</f>
        <v>21553</v>
      </c>
      <c r="L20" s="15">
        <f>1088+2794</f>
        <v>3882</v>
      </c>
      <c r="M20" s="15">
        <f t="shared" si="0"/>
        <v>3882</v>
      </c>
      <c r="N20" s="15">
        <v>0</v>
      </c>
      <c r="O20" s="58">
        <f t="shared" si="1"/>
        <v>0</v>
      </c>
      <c r="P20" s="39">
        <f t="shared" si="2"/>
        <v>20</v>
      </c>
      <c r="Q20" s="40">
        <f t="shared" si="3"/>
        <v>4</v>
      </c>
      <c r="R20" s="7"/>
      <c r="S20" s="6">
        <v>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0.83333333333333337</v>
      </c>
      <c r="AD20" s="10">
        <f t="shared" si="6"/>
        <v>0.83333333333333337</v>
      </c>
      <c r="AE20" s="36">
        <f t="shared" si="7"/>
        <v>0.55208333333333337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140</v>
      </c>
      <c r="F21" s="12" t="s">
        <v>114</v>
      </c>
      <c r="G21" s="12">
        <v>4</v>
      </c>
      <c r="H21" s="35">
        <v>20</v>
      </c>
      <c r="I21" s="7">
        <v>500000</v>
      </c>
      <c r="J21" s="14">
        <v>36736</v>
      </c>
      <c r="K21" s="15">
        <f>L21+29516+33412+34840+28200+28768+36912+36276+35708+30492</f>
        <v>330860</v>
      </c>
      <c r="L21" s="15">
        <f>9184*4</f>
        <v>36736</v>
      </c>
      <c r="M21" s="15">
        <f t="shared" si="0"/>
        <v>36736</v>
      </c>
      <c r="N21" s="15">
        <v>0</v>
      </c>
      <c r="O21" s="58">
        <f t="shared" si="1"/>
        <v>0</v>
      </c>
      <c r="P21" s="39">
        <f t="shared" si="2"/>
        <v>14</v>
      </c>
      <c r="Q21" s="40">
        <f t="shared" si="3"/>
        <v>10</v>
      </c>
      <c r="R21" s="7"/>
      <c r="S21" s="6"/>
      <c r="T21" s="16"/>
      <c r="U21" s="16"/>
      <c r="V21" s="17">
        <v>10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0.58333333333333337</v>
      </c>
      <c r="AD21" s="10">
        <f t="shared" si="6"/>
        <v>0.58333333333333337</v>
      </c>
      <c r="AE21" s="36">
        <f t="shared" si="7"/>
        <v>0.55208333333333337</v>
      </c>
      <c r="AF21" s="84">
        <f t="shared" si="8"/>
        <v>16</v>
      </c>
    </row>
    <row r="22" spans="1:32" ht="31.5" customHeight="1" thickBot="1">
      <c r="A22" s="384" t="s">
        <v>34</v>
      </c>
      <c r="B22" s="385"/>
      <c r="C22" s="385"/>
      <c r="D22" s="385"/>
      <c r="E22" s="385"/>
      <c r="F22" s="385"/>
      <c r="G22" s="385"/>
      <c r="H22" s="386"/>
      <c r="I22" s="22">
        <f t="shared" ref="I22:N22" si="9">SUM(I6:I21)</f>
        <v>812150</v>
      </c>
      <c r="J22" s="19">
        <f t="shared" si="9"/>
        <v>152166</v>
      </c>
      <c r="K22" s="20">
        <f t="shared" si="9"/>
        <v>594779</v>
      </c>
      <c r="L22" s="21">
        <f t="shared" si="9"/>
        <v>78912</v>
      </c>
      <c r="M22" s="20">
        <f t="shared" si="9"/>
        <v>78912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212</v>
      </c>
      <c r="Q22" s="43">
        <f t="shared" si="10"/>
        <v>172</v>
      </c>
      <c r="R22" s="23">
        <f t="shared" si="10"/>
        <v>31</v>
      </c>
      <c r="S22" s="24">
        <f t="shared" si="10"/>
        <v>64</v>
      </c>
      <c r="T22" s="24">
        <f t="shared" si="10"/>
        <v>1</v>
      </c>
      <c r="U22" s="24">
        <f t="shared" si="10"/>
        <v>0</v>
      </c>
      <c r="V22" s="25">
        <f t="shared" si="10"/>
        <v>10</v>
      </c>
      <c r="W22" s="26">
        <f t="shared" si="10"/>
        <v>66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0</v>
      </c>
      <c r="AB22" s="28">
        <f>AVERAGE(AB6:AB21)</f>
        <v>0.8</v>
      </c>
      <c r="AC22" s="4">
        <f>AVERAGE(AC6:AC21)</f>
        <v>0.55208333333333337</v>
      </c>
      <c r="AD22" s="4">
        <f>AVERAGE(AD6:AD21)</f>
        <v>0.55208333333333337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387" t="s">
        <v>45</v>
      </c>
      <c r="B49" s="387"/>
      <c r="C49" s="387"/>
      <c r="D49" s="387"/>
      <c r="E49" s="38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388" t="s">
        <v>438</v>
      </c>
      <c r="B50" s="389"/>
      <c r="C50" s="389"/>
      <c r="D50" s="389"/>
      <c r="E50" s="389"/>
      <c r="F50" s="389"/>
      <c r="G50" s="389"/>
      <c r="H50" s="389"/>
      <c r="I50" s="389"/>
      <c r="J50" s="389"/>
      <c r="K50" s="389"/>
      <c r="L50" s="389"/>
      <c r="M50" s="390"/>
      <c r="N50" s="391" t="s">
        <v>443</v>
      </c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  <c r="AA50" s="392"/>
      <c r="AB50" s="392"/>
      <c r="AC50" s="392"/>
      <c r="AD50" s="393"/>
    </row>
    <row r="51" spans="1:32" ht="27" customHeight="1">
      <c r="A51" s="394" t="s">
        <v>2</v>
      </c>
      <c r="B51" s="395"/>
      <c r="C51" s="241" t="s">
        <v>46</v>
      </c>
      <c r="D51" s="241" t="s">
        <v>47</v>
      </c>
      <c r="E51" s="241" t="s">
        <v>107</v>
      </c>
      <c r="F51" s="396" t="s">
        <v>106</v>
      </c>
      <c r="G51" s="397"/>
      <c r="H51" s="397"/>
      <c r="I51" s="397"/>
      <c r="J51" s="397"/>
      <c r="K51" s="397"/>
      <c r="L51" s="397"/>
      <c r="M51" s="398"/>
      <c r="N51" s="67" t="s">
        <v>110</v>
      </c>
      <c r="O51" s="241" t="s">
        <v>46</v>
      </c>
      <c r="P51" s="396" t="s">
        <v>47</v>
      </c>
      <c r="Q51" s="399"/>
      <c r="R51" s="396" t="s">
        <v>38</v>
      </c>
      <c r="S51" s="397"/>
      <c r="T51" s="397"/>
      <c r="U51" s="399"/>
      <c r="V51" s="396" t="s">
        <v>48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420" t="s">
        <v>119</v>
      </c>
      <c r="B52" s="421"/>
      <c r="C52" s="244" t="s">
        <v>129</v>
      </c>
      <c r="D52" s="244" t="s">
        <v>131</v>
      </c>
      <c r="E52" s="244" t="s">
        <v>139</v>
      </c>
      <c r="F52" s="412" t="s">
        <v>364</v>
      </c>
      <c r="G52" s="413"/>
      <c r="H52" s="413"/>
      <c r="I52" s="413"/>
      <c r="J52" s="413"/>
      <c r="K52" s="413"/>
      <c r="L52" s="413"/>
      <c r="M52" s="414"/>
      <c r="N52" s="243" t="s">
        <v>119</v>
      </c>
      <c r="O52" s="249" t="s">
        <v>129</v>
      </c>
      <c r="P52" s="415" t="s">
        <v>131</v>
      </c>
      <c r="Q52" s="416"/>
      <c r="R52" s="415" t="s">
        <v>139</v>
      </c>
      <c r="S52" s="417"/>
      <c r="T52" s="417"/>
      <c r="U52" s="416"/>
      <c r="V52" s="418" t="s">
        <v>126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10" t="s">
        <v>119</v>
      </c>
      <c r="B53" s="411"/>
      <c r="C53" s="242" t="s">
        <v>137</v>
      </c>
      <c r="D53" s="242" t="s">
        <v>439</v>
      </c>
      <c r="E53" s="244" t="s">
        <v>369</v>
      </c>
      <c r="F53" s="412" t="s">
        <v>440</v>
      </c>
      <c r="G53" s="413"/>
      <c r="H53" s="413"/>
      <c r="I53" s="413"/>
      <c r="J53" s="413"/>
      <c r="K53" s="413"/>
      <c r="L53" s="413"/>
      <c r="M53" s="414"/>
      <c r="N53" s="243" t="s">
        <v>112</v>
      </c>
      <c r="O53" s="249" t="s">
        <v>187</v>
      </c>
      <c r="P53" s="415" t="s">
        <v>147</v>
      </c>
      <c r="Q53" s="416"/>
      <c r="R53" s="415" t="s">
        <v>388</v>
      </c>
      <c r="S53" s="417"/>
      <c r="T53" s="417"/>
      <c r="U53" s="416"/>
      <c r="V53" s="418" t="s">
        <v>126</v>
      </c>
      <c r="W53" s="418"/>
      <c r="X53" s="418"/>
      <c r="Y53" s="418"/>
      <c r="Z53" s="418"/>
      <c r="AA53" s="418"/>
      <c r="AB53" s="418"/>
      <c r="AC53" s="418"/>
      <c r="AD53" s="419"/>
    </row>
    <row r="54" spans="1:32" ht="27" customHeight="1">
      <c r="A54" s="420" t="s">
        <v>112</v>
      </c>
      <c r="B54" s="421"/>
      <c r="C54" s="244" t="s">
        <v>136</v>
      </c>
      <c r="D54" s="244" t="s">
        <v>115</v>
      </c>
      <c r="E54" s="244" t="s">
        <v>430</v>
      </c>
      <c r="F54" s="412" t="s">
        <v>130</v>
      </c>
      <c r="G54" s="413"/>
      <c r="H54" s="413"/>
      <c r="I54" s="413"/>
      <c r="J54" s="413"/>
      <c r="K54" s="413"/>
      <c r="L54" s="413"/>
      <c r="M54" s="414"/>
      <c r="N54" s="243" t="s">
        <v>444</v>
      </c>
      <c r="O54" s="249" t="s">
        <v>136</v>
      </c>
      <c r="P54" s="415"/>
      <c r="Q54" s="416"/>
      <c r="R54" s="415" t="s">
        <v>445</v>
      </c>
      <c r="S54" s="417"/>
      <c r="T54" s="417"/>
      <c r="U54" s="416"/>
      <c r="V54" s="418" t="s">
        <v>130</v>
      </c>
      <c r="W54" s="418"/>
      <c r="X54" s="418"/>
      <c r="Y54" s="418"/>
      <c r="Z54" s="418"/>
      <c r="AA54" s="418"/>
      <c r="AB54" s="418"/>
      <c r="AC54" s="418"/>
      <c r="AD54" s="419"/>
    </row>
    <row r="55" spans="1:32" ht="27" customHeight="1">
      <c r="A55" s="410" t="s">
        <v>118</v>
      </c>
      <c r="B55" s="411"/>
      <c r="C55" s="242" t="s">
        <v>219</v>
      </c>
      <c r="D55" s="242" t="s">
        <v>115</v>
      </c>
      <c r="E55" s="242" t="s">
        <v>220</v>
      </c>
      <c r="F55" s="412" t="s">
        <v>130</v>
      </c>
      <c r="G55" s="413"/>
      <c r="H55" s="413"/>
      <c r="I55" s="413"/>
      <c r="J55" s="413"/>
      <c r="K55" s="413"/>
      <c r="L55" s="413"/>
      <c r="M55" s="414"/>
      <c r="N55" s="243" t="s">
        <v>119</v>
      </c>
      <c r="O55" s="249" t="s">
        <v>137</v>
      </c>
      <c r="P55" s="415" t="s">
        <v>439</v>
      </c>
      <c r="Q55" s="416"/>
      <c r="R55" s="415" t="s">
        <v>369</v>
      </c>
      <c r="S55" s="417"/>
      <c r="T55" s="417"/>
      <c r="U55" s="416"/>
      <c r="V55" s="418" t="s">
        <v>126</v>
      </c>
      <c r="W55" s="418"/>
      <c r="X55" s="418"/>
      <c r="Y55" s="418"/>
      <c r="Z55" s="418"/>
      <c r="AA55" s="418"/>
      <c r="AB55" s="418"/>
      <c r="AC55" s="418"/>
      <c r="AD55" s="419"/>
    </row>
    <row r="56" spans="1:32" ht="27" customHeight="1">
      <c r="A56" s="410" t="s">
        <v>112</v>
      </c>
      <c r="B56" s="411"/>
      <c r="C56" s="242" t="s">
        <v>135</v>
      </c>
      <c r="D56" s="242" t="s">
        <v>115</v>
      </c>
      <c r="E56" s="244" t="s">
        <v>431</v>
      </c>
      <c r="F56" s="412" t="s">
        <v>245</v>
      </c>
      <c r="G56" s="413"/>
      <c r="H56" s="413"/>
      <c r="I56" s="413"/>
      <c r="J56" s="413"/>
      <c r="K56" s="413"/>
      <c r="L56" s="413"/>
      <c r="M56" s="414"/>
      <c r="N56" s="243"/>
      <c r="O56" s="249"/>
      <c r="P56" s="415"/>
      <c r="Q56" s="416"/>
      <c r="R56" s="415"/>
      <c r="S56" s="417"/>
      <c r="T56" s="417"/>
      <c r="U56" s="416"/>
      <c r="V56" s="418"/>
      <c r="W56" s="418"/>
      <c r="X56" s="418"/>
      <c r="Y56" s="418"/>
      <c r="Z56" s="418"/>
      <c r="AA56" s="418"/>
      <c r="AB56" s="418"/>
      <c r="AC56" s="418"/>
      <c r="AD56" s="419"/>
    </row>
    <row r="57" spans="1:32" ht="27" customHeight="1">
      <c r="A57" s="410" t="s">
        <v>112</v>
      </c>
      <c r="B57" s="411"/>
      <c r="C57" s="242" t="s">
        <v>199</v>
      </c>
      <c r="D57" s="242" t="s">
        <v>115</v>
      </c>
      <c r="E57" s="244" t="s">
        <v>197</v>
      </c>
      <c r="F57" s="412" t="s">
        <v>126</v>
      </c>
      <c r="G57" s="413"/>
      <c r="H57" s="413"/>
      <c r="I57" s="413"/>
      <c r="J57" s="413"/>
      <c r="K57" s="413"/>
      <c r="L57" s="413"/>
      <c r="M57" s="414"/>
      <c r="N57" s="243"/>
      <c r="O57" s="249"/>
      <c r="P57" s="415"/>
      <c r="Q57" s="416"/>
      <c r="R57" s="415"/>
      <c r="S57" s="417"/>
      <c r="T57" s="417"/>
      <c r="U57" s="416"/>
      <c r="V57" s="418"/>
      <c r="W57" s="418"/>
      <c r="X57" s="418"/>
      <c r="Y57" s="418"/>
      <c r="Z57" s="418"/>
      <c r="AA57" s="418"/>
      <c r="AB57" s="418"/>
      <c r="AC57" s="418"/>
      <c r="AD57" s="419"/>
    </row>
    <row r="58" spans="1:32" ht="27" customHeight="1">
      <c r="A58" s="410" t="s">
        <v>112</v>
      </c>
      <c r="B58" s="411"/>
      <c r="C58" s="242" t="s">
        <v>187</v>
      </c>
      <c r="D58" s="242" t="s">
        <v>147</v>
      </c>
      <c r="E58" s="244" t="s">
        <v>388</v>
      </c>
      <c r="F58" s="412" t="s">
        <v>215</v>
      </c>
      <c r="G58" s="413"/>
      <c r="H58" s="413"/>
      <c r="I58" s="413"/>
      <c r="J58" s="413"/>
      <c r="K58" s="413"/>
      <c r="L58" s="413"/>
      <c r="M58" s="414"/>
      <c r="N58" s="243"/>
      <c r="O58" s="249"/>
      <c r="P58" s="415"/>
      <c r="Q58" s="416"/>
      <c r="R58" s="415"/>
      <c r="S58" s="417"/>
      <c r="T58" s="417"/>
      <c r="U58" s="416"/>
      <c r="V58" s="418"/>
      <c r="W58" s="418"/>
      <c r="X58" s="418"/>
      <c r="Y58" s="418"/>
      <c r="Z58" s="418"/>
      <c r="AA58" s="418"/>
      <c r="AB58" s="418"/>
      <c r="AC58" s="418"/>
      <c r="AD58" s="419"/>
    </row>
    <row r="59" spans="1:32" ht="27" customHeight="1">
      <c r="A59" s="420" t="s">
        <v>119</v>
      </c>
      <c r="B59" s="421"/>
      <c r="C59" s="244" t="s">
        <v>145</v>
      </c>
      <c r="D59" s="244" t="s">
        <v>399</v>
      </c>
      <c r="E59" s="244" t="s">
        <v>397</v>
      </c>
      <c r="F59" s="412" t="s">
        <v>241</v>
      </c>
      <c r="G59" s="413"/>
      <c r="H59" s="413"/>
      <c r="I59" s="413"/>
      <c r="J59" s="413"/>
      <c r="K59" s="413"/>
      <c r="L59" s="413"/>
      <c r="M59" s="414"/>
      <c r="N59" s="243"/>
      <c r="O59" s="249"/>
      <c r="P59" s="415"/>
      <c r="Q59" s="416"/>
      <c r="R59" s="421"/>
      <c r="S59" s="421"/>
      <c r="T59" s="421"/>
      <c r="U59" s="421"/>
      <c r="V59" s="418"/>
      <c r="W59" s="418"/>
      <c r="X59" s="418"/>
      <c r="Y59" s="418"/>
      <c r="Z59" s="418"/>
      <c r="AA59" s="418"/>
      <c r="AB59" s="418"/>
      <c r="AC59" s="418"/>
      <c r="AD59" s="419"/>
    </row>
    <row r="60" spans="1:32" ht="27" customHeight="1">
      <c r="A60" s="410" t="s">
        <v>121</v>
      </c>
      <c r="B60" s="411"/>
      <c r="C60" s="242" t="s">
        <v>184</v>
      </c>
      <c r="D60" s="242"/>
      <c r="E60" s="244" t="s">
        <v>391</v>
      </c>
      <c r="F60" s="412" t="s">
        <v>441</v>
      </c>
      <c r="G60" s="413"/>
      <c r="H60" s="413"/>
      <c r="I60" s="413"/>
      <c r="J60" s="413"/>
      <c r="K60" s="413"/>
      <c r="L60" s="413"/>
      <c r="M60" s="414"/>
      <c r="N60" s="243"/>
      <c r="O60" s="249"/>
      <c r="P60" s="421"/>
      <c r="Q60" s="421"/>
      <c r="R60" s="421"/>
      <c r="S60" s="421"/>
      <c r="T60" s="421"/>
      <c r="U60" s="421"/>
      <c r="V60" s="418"/>
      <c r="W60" s="418"/>
      <c r="X60" s="418"/>
      <c r="Y60" s="418"/>
      <c r="Z60" s="418"/>
      <c r="AA60" s="418"/>
      <c r="AB60" s="418"/>
      <c r="AC60" s="418"/>
      <c r="AD60" s="419"/>
      <c r="AF60" s="84">
        <f>8*3000</f>
        <v>24000</v>
      </c>
    </row>
    <row r="61" spans="1:32" ht="27" customHeight="1" thickBot="1">
      <c r="A61" s="422" t="s">
        <v>112</v>
      </c>
      <c r="B61" s="423"/>
      <c r="C61" s="245" t="s">
        <v>432</v>
      </c>
      <c r="D61" s="246" t="s">
        <v>115</v>
      </c>
      <c r="E61" s="246" t="s">
        <v>433</v>
      </c>
      <c r="F61" s="424" t="s">
        <v>442</v>
      </c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30" t="s">
        <v>446</v>
      </c>
      <c r="B62" s="430"/>
      <c r="C62" s="430"/>
      <c r="D62" s="430"/>
      <c r="E62" s="43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31" t="s">
        <v>111</v>
      </c>
      <c r="B63" s="432"/>
      <c r="C63" s="247" t="s">
        <v>2</v>
      </c>
      <c r="D63" s="247" t="s">
        <v>37</v>
      </c>
      <c r="E63" s="247" t="s">
        <v>3</v>
      </c>
      <c r="F63" s="432" t="s">
        <v>109</v>
      </c>
      <c r="G63" s="432"/>
      <c r="H63" s="432"/>
      <c r="I63" s="432"/>
      <c r="J63" s="432"/>
      <c r="K63" s="432" t="s">
        <v>39</v>
      </c>
      <c r="L63" s="432"/>
      <c r="M63" s="247" t="s">
        <v>40</v>
      </c>
      <c r="N63" s="432" t="s">
        <v>41</v>
      </c>
      <c r="O63" s="432"/>
      <c r="P63" s="433" t="s">
        <v>42</v>
      </c>
      <c r="Q63" s="434"/>
      <c r="R63" s="433" t="s">
        <v>43</v>
      </c>
      <c r="S63" s="435"/>
      <c r="T63" s="435"/>
      <c r="U63" s="435"/>
      <c r="V63" s="435"/>
      <c r="W63" s="435"/>
      <c r="X63" s="435"/>
      <c r="Y63" s="435"/>
      <c r="Z63" s="435"/>
      <c r="AA63" s="434"/>
      <c r="AB63" s="432" t="s">
        <v>44</v>
      </c>
      <c r="AC63" s="432"/>
      <c r="AD63" s="436"/>
      <c r="AF63" s="84">
        <f>SUM(AF60:AF62)</f>
        <v>96000</v>
      </c>
    </row>
    <row r="64" spans="1:32" ht="25.5" customHeight="1">
      <c r="A64" s="437">
        <v>1</v>
      </c>
      <c r="B64" s="438"/>
      <c r="C64" s="104"/>
      <c r="D64" s="251"/>
      <c r="E64" s="248"/>
      <c r="F64" s="439"/>
      <c r="G64" s="440"/>
      <c r="H64" s="440"/>
      <c r="I64" s="440"/>
      <c r="J64" s="441"/>
      <c r="K64" s="442"/>
      <c r="L64" s="442"/>
      <c r="M64" s="51"/>
      <c r="N64" s="443"/>
      <c r="O64" s="443"/>
      <c r="P64" s="444"/>
      <c r="Q64" s="444"/>
      <c r="R64" s="418"/>
      <c r="S64" s="418"/>
      <c r="T64" s="418"/>
      <c r="U64" s="418"/>
      <c r="V64" s="418"/>
      <c r="W64" s="418"/>
      <c r="X64" s="418"/>
      <c r="Y64" s="418"/>
      <c r="Z64" s="418"/>
      <c r="AA64" s="418"/>
      <c r="AB64" s="442"/>
      <c r="AC64" s="442"/>
      <c r="AD64" s="445"/>
      <c r="AF64" s="50"/>
    </row>
    <row r="65" spans="1:32" ht="25.5" customHeight="1">
      <c r="A65" s="437">
        <v>2</v>
      </c>
      <c r="B65" s="438"/>
      <c r="C65" s="104"/>
      <c r="D65" s="251"/>
      <c r="E65" s="248"/>
      <c r="F65" s="439"/>
      <c r="G65" s="440"/>
      <c r="H65" s="440"/>
      <c r="I65" s="440"/>
      <c r="J65" s="441"/>
      <c r="K65" s="442"/>
      <c r="L65" s="442"/>
      <c r="M65" s="51"/>
      <c r="N65" s="443"/>
      <c r="O65" s="443"/>
      <c r="P65" s="444"/>
      <c r="Q65" s="444"/>
      <c r="R65" s="418"/>
      <c r="S65" s="418"/>
      <c r="T65" s="418"/>
      <c r="U65" s="418"/>
      <c r="V65" s="418"/>
      <c r="W65" s="418"/>
      <c r="X65" s="418"/>
      <c r="Y65" s="418"/>
      <c r="Z65" s="418"/>
      <c r="AA65" s="418"/>
      <c r="AB65" s="442"/>
      <c r="AC65" s="442"/>
      <c r="AD65" s="445"/>
      <c r="AF65" s="50"/>
    </row>
    <row r="66" spans="1:32" ht="25.5" customHeight="1">
      <c r="A66" s="437">
        <v>3</v>
      </c>
      <c r="B66" s="438"/>
      <c r="C66" s="104"/>
      <c r="D66" s="251"/>
      <c r="E66" s="248"/>
      <c r="F66" s="439"/>
      <c r="G66" s="440"/>
      <c r="H66" s="440"/>
      <c r="I66" s="440"/>
      <c r="J66" s="441"/>
      <c r="K66" s="442"/>
      <c r="L66" s="442"/>
      <c r="M66" s="51"/>
      <c r="N66" s="443"/>
      <c r="O66" s="443"/>
      <c r="P66" s="444"/>
      <c r="Q66" s="444"/>
      <c r="R66" s="418"/>
      <c r="S66" s="418"/>
      <c r="T66" s="418"/>
      <c r="U66" s="418"/>
      <c r="V66" s="418"/>
      <c r="W66" s="418"/>
      <c r="X66" s="418"/>
      <c r="Y66" s="418"/>
      <c r="Z66" s="418"/>
      <c r="AA66" s="418"/>
      <c r="AB66" s="442"/>
      <c r="AC66" s="442"/>
      <c r="AD66" s="445"/>
      <c r="AF66" s="50"/>
    </row>
    <row r="67" spans="1:32" ht="25.5" customHeight="1">
      <c r="A67" s="437">
        <v>4</v>
      </c>
      <c r="B67" s="438"/>
      <c r="C67" s="104"/>
      <c r="D67" s="251"/>
      <c r="E67" s="248"/>
      <c r="F67" s="439"/>
      <c r="G67" s="440"/>
      <c r="H67" s="440"/>
      <c r="I67" s="440"/>
      <c r="J67" s="441"/>
      <c r="K67" s="442"/>
      <c r="L67" s="442"/>
      <c r="M67" s="51"/>
      <c r="N67" s="443"/>
      <c r="O67" s="443"/>
      <c r="P67" s="444"/>
      <c r="Q67" s="444"/>
      <c r="R67" s="418"/>
      <c r="S67" s="418"/>
      <c r="T67" s="418"/>
      <c r="U67" s="418"/>
      <c r="V67" s="418"/>
      <c r="W67" s="418"/>
      <c r="X67" s="418"/>
      <c r="Y67" s="418"/>
      <c r="Z67" s="418"/>
      <c r="AA67" s="418"/>
      <c r="AB67" s="442"/>
      <c r="AC67" s="442"/>
      <c r="AD67" s="445"/>
      <c r="AF67" s="50"/>
    </row>
    <row r="68" spans="1:32" ht="25.5" customHeight="1">
      <c r="A68" s="437">
        <v>5</v>
      </c>
      <c r="B68" s="438"/>
      <c r="C68" s="104"/>
      <c r="D68" s="251"/>
      <c r="E68" s="248"/>
      <c r="F68" s="439"/>
      <c r="G68" s="440"/>
      <c r="H68" s="440"/>
      <c r="I68" s="440"/>
      <c r="J68" s="441"/>
      <c r="K68" s="442"/>
      <c r="L68" s="442"/>
      <c r="M68" s="51"/>
      <c r="N68" s="443"/>
      <c r="O68" s="443"/>
      <c r="P68" s="444"/>
      <c r="Q68" s="444"/>
      <c r="R68" s="418"/>
      <c r="S68" s="418"/>
      <c r="T68" s="418"/>
      <c r="U68" s="418"/>
      <c r="V68" s="418"/>
      <c r="W68" s="418"/>
      <c r="X68" s="418"/>
      <c r="Y68" s="418"/>
      <c r="Z68" s="418"/>
      <c r="AA68" s="418"/>
      <c r="AB68" s="442"/>
      <c r="AC68" s="442"/>
      <c r="AD68" s="445"/>
      <c r="AF68" s="50"/>
    </row>
    <row r="69" spans="1:32" ht="25.5" customHeight="1">
      <c r="A69" s="437">
        <v>6</v>
      </c>
      <c r="B69" s="438"/>
      <c r="C69" s="104"/>
      <c r="D69" s="251"/>
      <c r="E69" s="248"/>
      <c r="F69" s="439"/>
      <c r="G69" s="440"/>
      <c r="H69" s="440"/>
      <c r="I69" s="440"/>
      <c r="J69" s="441"/>
      <c r="K69" s="442"/>
      <c r="L69" s="442"/>
      <c r="M69" s="51"/>
      <c r="N69" s="443"/>
      <c r="O69" s="443"/>
      <c r="P69" s="444"/>
      <c r="Q69" s="444"/>
      <c r="R69" s="418"/>
      <c r="S69" s="418"/>
      <c r="T69" s="418"/>
      <c r="U69" s="418"/>
      <c r="V69" s="418"/>
      <c r="W69" s="418"/>
      <c r="X69" s="418"/>
      <c r="Y69" s="418"/>
      <c r="Z69" s="418"/>
      <c r="AA69" s="418"/>
      <c r="AB69" s="442"/>
      <c r="AC69" s="442"/>
      <c r="AD69" s="445"/>
      <c r="AF69" s="50"/>
    </row>
    <row r="70" spans="1:32" ht="25.5" customHeight="1">
      <c r="A70" s="437">
        <v>7</v>
      </c>
      <c r="B70" s="438"/>
      <c r="C70" s="104"/>
      <c r="D70" s="251"/>
      <c r="E70" s="248"/>
      <c r="F70" s="447"/>
      <c r="G70" s="442"/>
      <c r="H70" s="442"/>
      <c r="I70" s="442"/>
      <c r="J70" s="442"/>
      <c r="K70" s="442"/>
      <c r="L70" s="442"/>
      <c r="M70" s="51"/>
      <c r="N70" s="443"/>
      <c r="O70" s="443"/>
      <c r="P70" s="444"/>
      <c r="Q70" s="444"/>
      <c r="R70" s="418"/>
      <c r="S70" s="418"/>
      <c r="T70" s="418"/>
      <c r="U70" s="418"/>
      <c r="V70" s="418"/>
      <c r="W70" s="418"/>
      <c r="X70" s="418"/>
      <c r="Y70" s="418"/>
      <c r="Z70" s="418"/>
      <c r="AA70" s="418"/>
      <c r="AB70" s="442"/>
      <c r="AC70" s="442"/>
      <c r="AD70" s="445"/>
      <c r="AF70" s="50"/>
    </row>
    <row r="71" spans="1:32" ht="25.5" customHeight="1">
      <c r="A71" s="437">
        <v>8</v>
      </c>
      <c r="B71" s="438"/>
      <c r="C71" s="104"/>
      <c r="D71" s="251"/>
      <c r="E71" s="248"/>
      <c r="F71" s="447"/>
      <c r="G71" s="442"/>
      <c r="H71" s="442"/>
      <c r="I71" s="442"/>
      <c r="J71" s="442"/>
      <c r="K71" s="442"/>
      <c r="L71" s="442"/>
      <c r="M71" s="51"/>
      <c r="N71" s="443"/>
      <c r="O71" s="443"/>
      <c r="P71" s="444"/>
      <c r="Q71" s="444"/>
      <c r="R71" s="418"/>
      <c r="S71" s="418"/>
      <c r="T71" s="418"/>
      <c r="U71" s="418"/>
      <c r="V71" s="418"/>
      <c r="W71" s="418"/>
      <c r="X71" s="418"/>
      <c r="Y71" s="418"/>
      <c r="Z71" s="418"/>
      <c r="AA71" s="418"/>
      <c r="AB71" s="442"/>
      <c r="AC71" s="442"/>
      <c r="AD71" s="445"/>
      <c r="AF71" s="50"/>
    </row>
    <row r="72" spans="1:32" ht="25.5" customHeight="1">
      <c r="A72" s="437">
        <v>9</v>
      </c>
      <c r="B72" s="438"/>
      <c r="C72" s="104"/>
      <c r="D72" s="251"/>
      <c r="E72" s="248"/>
      <c r="F72" s="447"/>
      <c r="G72" s="442"/>
      <c r="H72" s="442"/>
      <c r="I72" s="442"/>
      <c r="J72" s="442"/>
      <c r="K72" s="442"/>
      <c r="L72" s="442"/>
      <c r="M72" s="51"/>
      <c r="N72" s="443"/>
      <c r="O72" s="443"/>
      <c r="P72" s="444"/>
      <c r="Q72" s="444"/>
      <c r="R72" s="418"/>
      <c r="S72" s="418"/>
      <c r="T72" s="418"/>
      <c r="U72" s="418"/>
      <c r="V72" s="418"/>
      <c r="W72" s="418"/>
      <c r="X72" s="418"/>
      <c r="Y72" s="418"/>
      <c r="Z72" s="418"/>
      <c r="AA72" s="418"/>
      <c r="AB72" s="442"/>
      <c r="AC72" s="442"/>
      <c r="AD72" s="445"/>
      <c r="AF72" s="50"/>
    </row>
    <row r="73" spans="1:32" ht="25.5" customHeight="1">
      <c r="A73" s="437">
        <v>10</v>
      </c>
      <c r="B73" s="438"/>
      <c r="C73" s="104"/>
      <c r="D73" s="251"/>
      <c r="E73" s="248"/>
      <c r="F73" s="447"/>
      <c r="G73" s="442"/>
      <c r="H73" s="442"/>
      <c r="I73" s="442"/>
      <c r="J73" s="442"/>
      <c r="K73" s="442"/>
      <c r="L73" s="442"/>
      <c r="M73" s="51"/>
      <c r="N73" s="443"/>
      <c r="O73" s="443"/>
      <c r="P73" s="444"/>
      <c r="Q73" s="444"/>
      <c r="R73" s="418"/>
      <c r="S73" s="418"/>
      <c r="T73" s="418"/>
      <c r="U73" s="418"/>
      <c r="V73" s="418"/>
      <c r="W73" s="418"/>
      <c r="X73" s="418"/>
      <c r="Y73" s="418"/>
      <c r="Z73" s="418"/>
      <c r="AA73" s="418"/>
      <c r="AB73" s="442"/>
      <c r="AC73" s="442"/>
      <c r="AD73" s="445"/>
      <c r="AF73" s="50"/>
    </row>
    <row r="74" spans="1:32" ht="26.25" customHeight="1" thickBot="1">
      <c r="A74" s="448" t="s">
        <v>447</v>
      </c>
      <c r="B74" s="448"/>
      <c r="C74" s="448"/>
      <c r="D74" s="448"/>
      <c r="E74" s="44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49" t="s">
        <v>134</v>
      </c>
      <c r="B75" s="450"/>
      <c r="C75" s="250" t="s">
        <v>2</v>
      </c>
      <c r="D75" s="250" t="s">
        <v>37</v>
      </c>
      <c r="E75" s="250" t="s">
        <v>128</v>
      </c>
      <c r="F75" s="450" t="s">
        <v>38</v>
      </c>
      <c r="G75" s="450"/>
      <c r="H75" s="450"/>
      <c r="I75" s="450"/>
      <c r="J75" s="450"/>
      <c r="K75" s="451" t="s">
        <v>58</v>
      </c>
      <c r="L75" s="452"/>
      <c r="M75" s="452"/>
      <c r="N75" s="452"/>
      <c r="O75" s="452"/>
      <c r="P75" s="452"/>
      <c r="Q75" s="452"/>
      <c r="R75" s="452"/>
      <c r="S75" s="453"/>
      <c r="T75" s="450" t="s">
        <v>49</v>
      </c>
      <c r="U75" s="450"/>
      <c r="V75" s="451" t="s">
        <v>50</v>
      </c>
      <c r="W75" s="453"/>
      <c r="X75" s="452" t="s">
        <v>51</v>
      </c>
      <c r="Y75" s="452"/>
      <c r="Z75" s="452"/>
      <c r="AA75" s="452"/>
      <c r="AB75" s="452"/>
      <c r="AC75" s="452"/>
      <c r="AD75" s="454"/>
      <c r="AF75" s="50"/>
    </row>
    <row r="76" spans="1:32" ht="33.75" customHeight="1">
      <c r="A76" s="463">
        <v>1</v>
      </c>
      <c r="B76" s="464"/>
      <c r="C76" s="252" t="s">
        <v>112</v>
      </c>
      <c r="D76" s="252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44118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55">
        <f>A76+1</f>
        <v>2</v>
      </c>
      <c r="B77" s="456"/>
      <c r="C77" s="251"/>
      <c r="D77" s="251"/>
      <c r="E77" s="32"/>
      <c r="F77" s="456"/>
      <c r="G77" s="456"/>
      <c r="H77" s="456"/>
      <c r="I77" s="456"/>
      <c r="J77" s="456"/>
      <c r="K77" s="457"/>
      <c r="L77" s="458"/>
      <c r="M77" s="458"/>
      <c r="N77" s="458"/>
      <c r="O77" s="458"/>
      <c r="P77" s="458"/>
      <c r="Q77" s="458"/>
      <c r="R77" s="458"/>
      <c r="S77" s="459"/>
      <c r="T77" s="460"/>
      <c r="U77" s="460"/>
      <c r="V77" s="460"/>
      <c r="W77" s="460"/>
      <c r="X77" s="461"/>
      <c r="Y77" s="461"/>
      <c r="Z77" s="461"/>
      <c r="AA77" s="461"/>
      <c r="AB77" s="461"/>
      <c r="AC77" s="461"/>
      <c r="AD77" s="462"/>
      <c r="AF77" s="50"/>
    </row>
    <row r="78" spans="1:32" ht="30" customHeight="1">
      <c r="A78" s="455">
        <f t="shared" ref="A78:A82" si="11">A77+1</f>
        <v>3</v>
      </c>
      <c r="B78" s="456"/>
      <c r="C78" s="251"/>
      <c r="D78" s="251"/>
      <c r="E78" s="32"/>
      <c r="F78" s="456"/>
      <c r="G78" s="456"/>
      <c r="H78" s="456"/>
      <c r="I78" s="456"/>
      <c r="J78" s="456"/>
      <c r="K78" s="457"/>
      <c r="L78" s="458"/>
      <c r="M78" s="458"/>
      <c r="N78" s="458"/>
      <c r="O78" s="458"/>
      <c r="P78" s="458"/>
      <c r="Q78" s="458"/>
      <c r="R78" s="458"/>
      <c r="S78" s="459"/>
      <c r="T78" s="460"/>
      <c r="U78" s="460"/>
      <c r="V78" s="460"/>
      <c r="W78" s="460"/>
      <c r="X78" s="461"/>
      <c r="Y78" s="461"/>
      <c r="Z78" s="461"/>
      <c r="AA78" s="461"/>
      <c r="AB78" s="461"/>
      <c r="AC78" s="461"/>
      <c r="AD78" s="462"/>
      <c r="AF78" s="50"/>
    </row>
    <row r="79" spans="1:32" ht="30" customHeight="1">
      <c r="A79" s="455">
        <f t="shared" si="11"/>
        <v>4</v>
      </c>
      <c r="B79" s="456"/>
      <c r="C79" s="251"/>
      <c r="D79" s="251"/>
      <c r="E79" s="32"/>
      <c r="F79" s="456"/>
      <c r="G79" s="456"/>
      <c r="H79" s="456"/>
      <c r="I79" s="456"/>
      <c r="J79" s="456"/>
      <c r="K79" s="457"/>
      <c r="L79" s="458"/>
      <c r="M79" s="458"/>
      <c r="N79" s="458"/>
      <c r="O79" s="458"/>
      <c r="P79" s="458"/>
      <c r="Q79" s="458"/>
      <c r="R79" s="458"/>
      <c r="S79" s="459"/>
      <c r="T79" s="460"/>
      <c r="U79" s="460"/>
      <c r="V79" s="460"/>
      <c r="W79" s="460"/>
      <c r="X79" s="461"/>
      <c r="Y79" s="461"/>
      <c r="Z79" s="461"/>
      <c r="AA79" s="461"/>
      <c r="AB79" s="461"/>
      <c r="AC79" s="461"/>
      <c r="AD79" s="462"/>
      <c r="AF79" s="50"/>
    </row>
    <row r="80" spans="1:32" ht="30" customHeight="1">
      <c r="A80" s="455">
        <f t="shared" si="11"/>
        <v>5</v>
      </c>
      <c r="B80" s="456"/>
      <c r="C80" s="251"/>
      <c r="D80" s="251"/>
      <c r="E80" s="32"/>
      <c r="F80" s="456"/>
      <c r="G80" s="456"/>
      <c r="H80" s="456"/>
      <c r="I80" s="456"/>
      <c r="J80" s="456"/>
      <c r="K80" s="457"/>
      <c r="L80" s="458"/>
      <c r="M80" s="458"/>
      <c r="N80" s="458"/>
      <c r="O80" s="458"/>
      <c r="P80" s="458"/>
      <c r="Q80" s="458"/>
      <c r="R80" s="458"/>
      <c r="S80" s="459"/>
      <c r="T80" s="460"/>
      <c r="U80" s="460"/>
      <c r="V80" s="460"/>
      <c r="W80" s="460"/>
      <c r="X80" s="461"/>
      <c r="Y80" s="461"/>
      <c r="Z80" s="461"/>
      <c r="AA80" s="461"/>
      <c r="AB80" s="461"/>
      <c r="AC80" s="461"/>
      <c r="AD80" s="462"/>
      <c r="AF80" s="50"/>
    </row>
    <row r="81" spans="1:32" ht="30" customHeight="1">
      <c r="A81" s="455">
        <f t="shared" si="11"/>
        <v>6</v>
      </c>
      <c r="B81" s="456"/>
      <c r="C81" s="251"/>
      <c r="D81" s="251"/>
      <c r="E81" s="32"/>
      <c r="F81" s="456"/>
      <c r="G81" s="456"/>
      <c r="H81" s="456"/>
      <c r="I81" s="456"/>
      <c r="J81" s="456"/>
      <c r="K81" s="457"/>
      <c r="L81" s="458"/>
      <c r="M81" s="458"/>
      <c r="N81" s="458"/>
      <c r="O81" s="458"/>
      <c r="P81" s="458"/>
      <c r="Q81" s="458"/>
      <c r="R81" s="458"/>
      <c r="S81" s="459"/>
      <c r="T81" s="460"/>
      <c r="U81" s="460"/>
      <c r="V81" s="460"/>
      <c r="W81" s="460"/>
      <c r="X81" s="461"/>
      <c r="Y81" s="461"/>
      <c r="Z81" s="461"/>
      <c r="AA81" s="461"/>
      <c r="AB81" s="461"/>
      <c r="AC81" s="461"/>
      <c r="AD81" s="462"/>
      <c r="AF81" s="50"/>
    </row>
    <row r="82" spans="1:32" ht="30" customHeight="1">
      <c r="A82" s="455">
        <f t="shared" si="11"/>
        <v>7</v>
      </c>
      <c r="B82" s="456"/>
      <c r="C82" s="251"/>
      <c r="D82" s="251"/>
      <c r="E82" s="32"/>
      <c r="F82" s="456"/>
      <c r="G82" s="456"/>
      <c r="H82" s="456"/>
      <c r="I82" s="456"/>
      <c r="J82" s="456"/>
      <c r="K82" s="457"/>
      <c r="L82" s="458"/>
      <c r="M82" s="458"/>
      <c r="N82" s="458"/>
      <c r="O82" s="458"/>
      <c r="P82" s="458"/>
      <c r="Q82" s="458"/>
      <c r="R82" s="458"/>
      <c r="S82" s="459"/>
      <c r="T82" s="460"/>
      <c r="U82" s="460"/>
      <c r="V82" s="460"/>
      <c r="W82" s="460"/>
      <c r="X82" s="461"/>
      <c r="Y82" s="461"/>
      <c r="Z82" s="461"/>
      <c r="AA82" s="461"/>
      <c r="AB82" s="461"/>
      <c r="AC82" s="461"/>
      <c r="AD82" s="462"/>
      <c r="AF82" s="50"/>
    </row>
    <row r="83" spans="1:32" ht="36" thickBot="1">
      <c r="A83" s="448" t="s">
        <v>448</v>
      </c>
      <c r="B83" s="448"/>
      <c r="C83" s="448"/>
      <c r="D83" s="448"/>
      <c r="E83" s="44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49" t="s">
        <v>111</v>
      </c>
      <c r="B84" s="450"/>
      <c r="C84" s="476" t="s">
        <v>52</v>
      </c>
      <c r="D84" s="476"/>
      <c r="E84" s="476" t="s">
        <v>53</v>
      </c>
      <c r="F84" s="476"/>
      <c r="G84" s="476"/>
      <c r="H84" s="476"/>
      <c r="I84" s="476"/>
      <c r="J84" s="476"/>
      <c r="K84" s="476" t="s">
        <v>54</v>
      </c>
      <c r="L84" s="476"/>
      <c r="M84" s="476"/>
      <c r="N84" s="476"/>
      <c r="O84" s="476"/>
      <c r="P84" s="476"/>
      <c r="Q84" s="476"/>
      <c r="R84" s="476"/>
      <c r="S84" s="476"/>
      <c r="T84" s="476" t="s">
        <v>55</v>
      </c>
      <c r="U84" s="476"/>
      <c r="V84" s="476" t="s">
        <v>56</v>
      </c>
      <c r="W84" s="476"/>
      <c r="X84" s="476"/>
      <c r="Y84" s="476" t="s">
        <v>51</v>
      </c>
      <c r="Z84" s="476"/>
      <c r="AA84" s="476"/>
      <c r="AB84" s="476"/>
      <c r="AC84" s="476"/>
      <c r="AD84" s="477"/>
      <c r="AF84" s="50"/>
    </row>
    <row r="85" spans="1:32" ht="30.75" customHeight="1">
      <c r="A85" s="463">
        <v>1</v>
      </c>
      <c r="B85" s="464"/>
      <c r="C85" s="478"/>
      <c r="D85" s="478"/>
      <c r="E85" s="478"/>
      <c r="F85" s="478"/>
      <c r="G85" s="478"/>
      <c r="H85" s="478"/>
      <c r="I85" s="478"/>
      <c r="J85" s="478"/>
      <c r="K85" s="478"/>
      <c r="L85" s="478"/>
      <c r="M85" s="478"/>
      <c r="N85" s="478"/>
      <c r="O85" s="478"/>
      <c r="P85" s="478"/>
      <c r="Q85" s="478"/>
      <c r="R85" s="478"/>
      <c r="S85" s="478"/>
      <c r="T85" s="478"/>
      <c r="U85" s="478"/>
      <c r="V85" s="479"/>
      <c r="W85" s="479"/>
      <c r="X85" s="479"/>
      <c r="Y85" s="480"/>
      <c r="Z85" s="480"/>
      <c r="AA85" s="480"/>
      <c r="AB85" s="480"/>
      <c r="AC85" s="480"/>
      <c r="AD85" s="481"/>
      <c r="AF85" s="50"/>
    </row>
    <row r="86" spans="1:32" ht="30.75" customHeight="1">
      <c r="A86" s="455">
        <v>2</v>
      </c>
      <c r="B86" s="456"/>
      <c r="C86" s="489"/>
      <c r="D86" s="489"/>
      <c r="E86" s="489"/>
      <c r="F86" s="489"/>
      <c r="G86" s="489"/>
      <c r="H86" s="489"/>
      <c r="I86" s="489"/>
      <c r="J86" s="489"/>
      <c r="K86" s="489"/>
      <c r="L86" s="489"/>
      <c r="M86" s="489"/>
      <c r="N86" s="489"/>
      <c r="O86" s="489"/>
      <c r="P86" s="489"/>
      <c r="Q86" s="489"/>
      <c r="R86" s="489"/>
      <c r="S86" s="489"/>
      <c r="T86" s="490"/>
      <c r="U86" s="490"/>
      <c r="V86" s="491"/>
      <c r="W86" s="491"/>
      <c r="X86" s="491"/>
      <c r="Y86" s="482"/>
      <c r="Z86" s="482"/>
      <c r="AA86" s="482"/>
      <c r="AB86" s="482"/>
      <c r="AC86" s="482"/>
      <c r="AD86" s="483"/>
      <c r="AF86" s="50"/>
    </row>
    <row r="87" spans="1:32" ht="30.75" customHeight="1" thickBot="1">
      <c r="A87" s="484">
        <v>3</v>
      </c>
      <c r="B87" s="485"/>
      <c r="C87" s="486"/>
      <c r="D87" s="486"/>
      <c r="E87" s="486"/>
      <c r="F87" s="486"/>
      <c r="G87" s="486"/>
      <c r="H87" s="486"/>
      <c r="I87" s="486"/>
      <c r="J87" s="486"/>
      <c r="K87" s="486"/>
      <c r="L87" s="486"/>
      <c r="M87" s="486"/>
      <c r="N87" s="486"/>
      <c r="O87" s="486"/>
      <c r="P87" s="486"/>
      <c r="Q87" s="486"/>
      <c r="R87" s="486"/>
      <c r="S87" s="486"/>
      <c r="T87" s="486"/>
      <c r="U87" s="486"/>
      <c r="V87" s="486"/>
      <c r="W87" s="486"/>
      <c r="X87" s="486"/>
      <c r="Y87" s="487"/>
      <c r="Z87" s="487"/>
      <c r="AA87" s="487"/>
      <c r="AB87" s="487"/>
      <c r="AC87" s="487"/>
      <c r="AD87" s="488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463B-8F80-4E2E-9E45-6A5975E25149}">
  <dimension ref="A1:AF87"/>
  <sheetViews>
    <sheetView view="pageBreakPreview" zoomScale="70" zoomScaleNormal="72" zoomScaleSheetLayoutView="70" workbookViewId="0">
      <selection activeCell="F79" sqref="F79:J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70" t="s">
        <v>449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5"/>
      <c r="T4" s="405"/>
      <c r="U4" s="405"/>
      <c r="V4" s="405"/>
      <c r="W4" s="406" t="s">
        <v>11</v>
      </c>
      <c r="X4" s="405"/>
      <c r="Y4" s="405"/>
      <c r="Z4" s="405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265" t="s">
        <v>17</v>
      </c>
      <c r="L5" s="265" t="s">
        <v>18</v>
      </c>
      <c r="M5" s="265" t="s">
        <v>19</v>
      </c>
      <c r="N5" s="26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376</v>
      </c>
      <c r="E6" s="53" t="s">
        <v>422</v>
      </c>
      <c r="F6" s="30" t="s">
        <v>144</v>
      </c>
      <c r="G6" s="12">
        <v>1</v>
      </c>
      <c r="H6" s="13">
        <v>24</v>
      </c>
      <c r="I6" s="7">
        <v>1200</v>
      </c>
      <c r="J6" s="14">
        <v>5632</v>
      </c>
      <c r="K6" s="15">
        <f>L6+2694+5632</f>
        <v>8326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>
        <v>24</v>
      </c>
      <c r="W6" s="5"/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0.54166666666666663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 t="s">
        <v>131</v>
      </c>
      <c r="E7" s="53" t="s">
        <v>139</v>
      </c>
      <c r="F7" s="12" t="s">
        <v>133</v>
      </c>
      <c r="G7" s="12">
        <v>1</v>
      </c>
      <c r="H7" s="13">
        <v>24</v>
      </c>
      <c r="I7" s="31">
        <v>50000</v>
      </c>
      <c r="J7" s="14">
        <v>5210</v>
      </c>
      <c r="K7" s="15">
        <f>L7+4913+5878+5650+6007+4705+3622+4848+4618</f>
        <v>45451</v>
      </c>
      <c r="L7" s="15">
        <f>2970+2240</f>
        <v>5210</v>
      </c>
      <c r="M7" s="15">
        <f t="shared" si="0"/>
        <v>5210</v>
      </c>
      <c r="N7" s="15">
        <v>0</v>
      </c>
      <c r="O7" s="58">
        <f t="shared" si="1"/>
        <v>0</v>
      </c>
      <c r="P7" s="39">
        <f t="shared" si="2"/>
        <v>23</v>
      </c>
      <c r="Q7" s="40">
        <f t="shared" si="3"/>
        <v>1</v>
      </c>
      <c r="R7" s="7"/>
      <c r="S7" s="6">
        <v>1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0.95833333333333337</v>
      </c>
      <c r="AD7" s="10">
        <f t="shared" si="6"/>
        <v>0.95833333333333337</v>
      </c>
      <c r="AE7" s="36">
        <f t="shared" si="7"/>
        <v>0.54166666666666663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/>
      <c r="E8" s="53" t="s">
        <v>321</v>
      </c>
      <c r="F8" s="30" t="s">
        <v>340</v>
      </c>
      <c r="G8" s="33">
        <v>1</v>
      </c>
      <c r="H8" s="35">
        <v>24</v>
      </c>
      <c r="I8" s="7">
        <v>50500</v>
      </c>
      <c r="J8" s="5">
        <v>1855</v>
      </c>
      <c r="K8" s="15">
        <f>L8+4349+2445+5035+5245+5660</f>
        <v>24589</v>
      </c>
      <c r="L8" s="15">
        <v>1855</v>
      </c>
      <c r="M8" s="15">
        <f t="shared" si="0"/>
        <v>1855</v>
      </c>
      <c r="N8" s="15">
        <v>0</v>
      </c>
      <c r="O8" s="58">
        <f t="shared" si="1"/>
        <v>0</v>
      </c>
      <c r="P8" s="39">
        <f t="shared" si="2"/>
        <v>8</v>
      </c>
      <c r="Q8" s="40">
        <f t="shared" si="3"/>
        <v>16</v>
      </c>
      <c r="R8" s="7"/>
      <c r="S8" s="6">
        <v>16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0.33333333333333331</v>
      </c>
      <c r="AD8" s="10">
        <f t="shared" si="6"/>
        <v>0.33333333333333331</v>
      </c>
      <c r="AE8" s="36">
        <f t="shared" si="7"/>
        <v>0.54166666666666663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119</v>
      </c>
      <c r="D9" s="52" t="s">
        <v>228</v>
      </c>
      <c r="E9" s="53" t="s">
        <v>369</v>
      </c>
      <c r="F9" s="30" t="s">
        <v>362</v>
      </c>
      <c r="G9" s="12">
        <v>1</v>
      </c>
      <c r="H9" s="13">
        <v>24</v>
      </c>
      <c r="I9" s="7">
        <v>20000</v>
      </c>
      <c r="J9" s="14">
        <v>5641</v>
      </c>
      <c r="K9" s="15">
        <f>L9+4978+5482+3821</f>
        <v>19922</v>
      </c>
      <c r="L9" s="15">
        <f>3017+2624</f>
        <v>5641</v>
      </c>
      <c r="M9" s="15">
        <f t="shared" si="0"/>
        <v>5641</v>
      </c>
      <c r="N9" s="15">
        <v>0</v>
      </c>
      <c r="O9" s="58">
        <f t="shared" si="1"/>
        <v>0</v>
      </c>
      <c r="P9" s="39">
        <f t="shared" si="2"/>
        <v>23</v>
      </c>
      <c r="Q9" s="40">
        <f t="shared" si="3"/>
        <v>1</v>
      </c>
      <c r="R9" s="7">
        <v>1</v>
      </c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0.95833333333333337</v>
      </c>
      <c r="AD9" s="10">
        <f t="shared" si="6"/>
        <v>0.95833333333333337</v>
      </c>
      <c r="AE9" s="36">
        <f t="shared" si="7"/>
        <v>0.54166666666666663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147</v>
      </c>
      <c r="E10" s="53" t="s">
        <v>388</v>
      </c>
      <c r="F10" s="30" t="s">
        <v>127</v>
      </c>
      <c r="G10" s="33">
        <v>1</v>
      </c>
      <c r="H10" s="35">
        <v>24</v>
      </c>
      <c r="I10" s="7">
        <v>36000</v>
      </c>
      <c r="J10" s="14">
        <v>5240</v>
      </c>
      <c r="K10" s="15">
        <f>L10+3274+4039</f>
        <v>12553</v>
      </c>
      <c r="L10" s="15">
        <f>3113+2127</f>
        <v>5240</v>
      </c>
      <c r="M10" s="15">
        <f t="shared" si="0"/>
        <v>5240</v>
      </c>
      <c r="N10" s="15">
        <v>0</v>
      </c>
      <c r="O10" s="58">
        <f t="shared" si="1"/>
        <v>0</v>
      </c>
      <c r="P10" s="39">
        <f t="shared" si="2"/>
        <v>22</v>
      </c>
      <c r="Q10" s="40">
        <f t="shared" si="3"/>
        <v>2</v>
      </c>
      <c r="R10" s="7"/>
      <c r="S10" s="6">
        <v>2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0.91666666666666663</v>
      </c>
      <c r="AD10" s="10">
        <f t="shared" si="6"/>
        <v>0.91666666666666663</v>
      </c>
      <c r="AE10" s="36">
        <f t="shared" si="7"/>
        <v>0.54166666666666663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263</v>
      </c>
      <c r="E11" s="53" t="s">
        <v>264</v>
      </c>
      <c r="F11" s="30" t="s">
        <v>206</v>
      </c>
      <c r="G11" s="33">
        <v>16</v>
      </c>
      <c r="H11" s="35">
        <v>24</v>
      </c>
      <c r="I11" s="7">
        <v>100000</v>
      </c>
      <c r="J11" s="14">
        <v>67990</v>
      </c>
      <c r="K11" s="15">
        <f>L11+49500+67990</f>
        <v>117490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0.54166666666666663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220</v>
      </c>
      <c r="F12" s="30" t="s">
        <v>142</v>
      </c>
      <c r="G12" s="12">
        <v>1</v>
      </c>
      <c r="H12" s="13">
        <v>22</v>
      </c>
      <c r="I12" s="31">
        <v>20000</v>
      </c>
      <c r="J12" s="5">
        <v>5011</v>
      </c>
      <c r="K12" s="15">
        <f>L12+4747</f>
        <v>9758</v>
      </c>
      <c r="L12" s="15">
        <f>2491+2520</f>
        <v>5011</v>
      </c>
      <c r="M12" s="15">
        <f t="shared" si="0"/>
        <v>5011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0.54166666666666663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450</v>
      </c>
      <c r="D13" s="52"/>
      <c r="E13" s="53" t="s">
        <v>445</v>
      </c>
      <c r="F13" s="30" t="s">
        <v>168</v>
      </c>
      <c r="G13" s="33">
        <v>1</v>
      </c>
      <c r="H13" s="35">
        <v>24</v>
      </c>
      <c r="I13" s="7">
        <v>2500</v>
      </c>
      <c r="J13" s="14">
        <v>4834</v>
      </c>
      <c r="K13" s="15">
        <f>L13</f>
        <v>4834</v>
      </c>
      <c r="L13" s="15">
        <f>2486+2348</f>
        <v>4834</v>
      </c>
      <c r="M13" s="15">
        <f t="shared" si="0"/>
        <v>4834</v>
      </c>
      <c r="N13" s="15">
        <v>0</v>
      </c>
      <c r="O13" s="58">
        <f t="shared" si="1"/>
        <v>0</v>
      </c>
      <c r="P13" s="39">
        <f t="shared" si="2"/>
        <v>23</v>
      </c>
      <c r="Q13" s="40">
        <f t="shared" si="3"/>
        <v>1</v>
      </c>
      <c r="R13" s="7"/>
      <c r="S13" s="6"/>
      <c r="T13" s="16">
        <v>1</v>
      </c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0.95833333333333337</v>
      </c>
      <c r="AD13" s="10">
        <f t="shared" si="6"/>
        <v>0.95833333333333337</v>
      </c>
      <c r="AE13" s="36">
        <f t="shared" si="7"/>
        <v>0.54166666666666663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433</v>
      </c>
      <c r="F14" s="30" t="s">
        <v>169</v>
      </c>
      <c r="G14" s="33">
        <v>1</v>
      </c>
      <c r="H14" s="35">
        <v>50</v>
      </c>
      <c r="I14" s="7">
        <v>300</v>
      </c>
      <c r="J14" s="5"/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 t="str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0.54166666666666663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125</v>
      </c>
      <c r="E15" s="53" t="s">
        <v>150</v>
      </c>
      <c r="F15" s="12" t="s">
        <v>138</v>
      </c>
      <c r="G15" s="12">
        <v>1</v>
      </c>
      <c r="H15" s="13">
        <v>24</v>
      </c>
      <c r="I15" s="31">
        <v>6500</v>
      </c>
      <c r="J15" s="14">
        <v>5214</v>
      </c>
      <c r="K15" s="15">
        <f>L15+2059+5272+5214</f>
        <v>12545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0.54166666666666663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119</v>
      </c>
      <c r="D16" s="52" t="s">
        <v>399</v>
      </c>
      <c r="E16" s="53" t="s">
        <v>423</v>
      </c>
      <c r="F16" s="30" t="s">
        <v>169</v>
      </c>
      <c r="G16" s="12" t="s">
        <v>424</v>
      </c>
      <c r="H16" s="13">
        <v>24</v>
      </c>
      <c r="I16" s="7">
        <v>3000</v>
      </c>
      <c r="J16" s="14">
        <v>3086</v>
      </c>
      <c r="K16" s="15">
        <f>L16+4862+3086</f>
        <v>7948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0.54166666666666663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112</v>
      </c>
      <c r="D17" s="52" t="s">
        <v>376</v>
      </c>
      <c r="E17" s="53" t="s">
        <v>370</v>
      </c>
      <c r="F17" s="30" t="s">
        <v>206</v>
      </c>
      <c r="G17" s="12">
        <v>1</v>
      </c>
      <c r="H17" s="13">
        <v>24</v>
      </c>
      <c r="I17" s="7">
        <v>50</v>
      </c>
      <c r="J17" s="14">
        <v>50</v>
      </c>
      <c r="K17" s="15">
        <f>L17+50</f>
        <v>50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0.54166666666666663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121</v>
      </c>
      <c r="D18" s="52" t="s">
        <v>115</v>
      </c>
      <c r="E18" s="53" t="s">
        <v>391</v>
      </c>
      <c r="F18" s="30" t="s">
        <v>142</v>
      </c>
      <c r="G18" s="33">
        <v>1</v>
      </c>
      <c r="H18" s="35">
        <v>24</v>
      </c>
      <c r="I18" s="7">
        <v>4000</v>
      </c>
      <c r="J18" s="14">
        <v>5535</v>
      </c>
      <c r="K18" s="15">
        <f>L18+2244</f>
        <v>7779</v>
      </c>
      <c r="L18" s="15">
        <f>2727+2808</f>
        <v>5535</v>
      </c>
      <c r="M18" s="15">
        <f t="shared" si="0"/>
        <v>5535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0.54166666666666663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431</v>
      </c>
      <c r="F19" s="30" t="s">
        <v>169</v>
      </c>
      <c r="G19" s="33">
        <v>1</v>
      </c>
      <c r="H19" s="35">
        <v>24</v>
      </c>
      <c r="I19" s="7">
        <v>3200</v>
      </c>
      <c r="J19" s="14">
        <v>4921</v>
      </c>
      <c r="K19" s="15">
        <f>L19+3893</f>
        <v>8814</v>
      </c>
      <c r="L19" s="15">
        <f>2563+2358</f>
        <v>4921</v>
      </c>
      <c r="M19" s="15">
        <f t="shared" si="0"/>
        <v>4921</v>
      </c>
      <c r="N19" s="15">
        <v>0</v>
      </c>
      <c r="O19" s="58">
        <f t="shared" si="1"/>
        <v>0</v>
      </c>
      <c r="P19" s="39">
        <f t="shared" si="2"/>
        <v>23</v>
      </c>
      <c r="Q19" s="40">
        <f t="shared" si="3"/>
        <v>1</v>
      </c>
      <c r="R19" s="7"/>
      <c r="S19" s="6">
        <v>1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0.95833333333333337</v>
      </c>
      <c r="AD19" s="10">
        <f t="shared" si="6"/>
        <v>0.95833333333333337</v>
      </c>
      <c r="AE19" s="36">
        <f t="shared" si="7"/>
        <v>0.54166666666666663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151</v>
      </c>
      <c r="F20" s="30" t="s">
        <v>142</v>
      </c>
      <c r="G20" s="12">
        <v>1</v>
      </c>
      <c r="H20" s="13">
        <v>24</v>
      </c>
      <c r="I20" s="7">
        <v>20000</v>
      </c>
      <c r="J20" s="14">
        <v>5452</v>
      </c>
      <c r="K20" s="15">
        <f>L20</f>
        <v>5452</v>
      </c>
      <c r="L20" s="15">
        <f>2692+2760</f>
        <v>5452</v>
      </c>
      <c r="M20" s="15">
        <f t="shared" si="0"/>
        <v>5452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0.54166666666666663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140</v>
      </c>
      <c r="F21" s="12" t="s">
        <v>114</v>
      </c>
      <c r="G21" s="12">
        <v>4</v>
      </c>
      <c r="H21" s="35">
        <v>20</v>
      </c>
      <c r="I21" s="7">
        <v>500000</v>
      </c>
      <c r="J21" s="14">
        <v>36104</v>
      </c>
      <c r="K21" s="15">
        <f>L21+29516+33412+34840+28200+28768+36912+36276+35708+30492+36736</f>
        <v>366964</v>
      </c>
      <c r="L21" s="15">
        <f>9026*4</f>
        <v>36104</v>
      </c>
      <c r="M21" s="15">
        <f t="shared" si="0"/>
        <v>36104</v>
      </c>
      <c r="N21" s="15">
        <v>0</v>
      </c>
      <c r="O21" s="58">
        <f t="shared" si="1"/>
        <v>0</v>
      </c>
      <c r="P21" s="39">
        <f t="shared" si="2"/>
        <v>14</v>
      </c>
      <c r="Q21" s="40">
        <f t="shared" si="3"/>
        <v>10</v>
      </c>
      <c r="R21" s="7"/>
      <c r="S21" s="6"/>
      <c r="T21" s="16"/>
      <c r="U21" s="16"/>
      <c r="V21" s="17">
        <v>10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0.58333333333333337</v>
      </c>
      <c r="AD21" s="10">
        <f t="shared" si="6"/>
        <v>0.58333333333333337</v>
      </c>
      <c r="AE21" s="36">
        <f t="shared" si="7"/>
        <v>0.54166666666666663</v>
      </c>
      <c r="AF21" s="84">
        <f t="shared" si="8"/>
        <v>16</v>
      </c>
    </row>
    <row r="22" spans="1:32" ht="31.5" customHeight="1" thickBot="1">
      <c r="A22" s="384" t="s">
        <v>34</v>
      </c>
      <c r="B22" s="385"/>
      <c r="C22" s="385"/>
      <c r="D22" s="385"/>
      <c r="E22" s="385"/>
      <c r="F22" s="385"/>
      <c r="G22" s="385"/>
      <c r="H22" s="386"/>
      <c r="I22" s="22">
        <f t="shared" ref="I22:N22" si="9">SUM(I6:I21)</f>
        <v>817250</v>
      </c>
      <c r="J22" s="19">
        <f t="shared" si="9"/>
        <v>161775</v>
      </c>
      <c r="K22" s="20">
        <f t="shared" si="9"/>
        <v>652475</v>
      </c>
      <c r="L22" s="21">
        <f t="shared" si="9"/>
        <v>79803</v>
      </c>
      <c r="M22" s="20">
        <f t="shared" si="9"/>
        <v>79803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208</v>
      </c>
      <c r="Q22" s="43">
        <f t="shared" si="10"/>
        <v>176</v>
      </c>
      <c r="R22" s="23">
        <f t="shared" si="10"/>
        <v>25</v>
      </c>
      <c r="S22" s="24">
        <f t="shared" si="10"/>
        <v>44</v>
      </c>
      <c r="T22" s="24">
        <f t="shared" si="10"/>
        <v>1</v>
      </c>
      <c r="U22" s="24">
        <f t="shared" si="10"/>
        <v>0</v>
      </c>
      <c r="V22" s="25">
        <f t="shared" si="10"/>
        <v>34</v>
      </c>
      <c r="W22" s="26">
        <f t="shared" si="10"/>
        <v>48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24</v>
      </c>
      <c r="AB22" s="28">
        <f>AVERAGE(AB6:AB21)</f>
        <v>0.66666666666666663</v>
      </c>
      <c r="AC22" s="4">
        <f>AVERAGE(AC6:AC21)</f>
        <v>0.54166666666666663</v>
      </c>
      <c r="AD22" s="4">
        <f>AVERAGE(AD6:AD21)</f>
        <v>0.54166666666666663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387" t="s">
        <v>45</v>
      </c>
      <c r="B49" s="387"/>
      <c r="C49" s="387"/>
      <c r="D49" s="387"/>
      <c r="E49" s="38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388" t="s">
        <v>451</v>
      </c>
      <c r="B50" s="389"/>
      <c r="C50" s="389"/>
      <c r="D50" s="389"/>
      <c r="E50" s="389"/>
      <c r="F50" s="389"/>
      <c r="G50" s="389"/>
      <c r="H50" s="389"/>
      <c r="I50" s="389"/>
      <c r="J50" s="389"/>
      <c r="K50" s="389"/>
      <c r="L50" s="389"/>
      <c r="M50" s="390"/>
      <c r="N50" s="391" t="s">
        <v>454</v>
      </c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  <c r="AA50" s="392"/>
      <c r="AB50" s="392"/>
      <c r="AC50" s="392"/>
      <c r="AD50" s="393"/>
    </row>
    <row r="51" spans="1:32" ht="27" customHeight="1">
      <c r="A51" s="394" t="s">
        <v>2</v>
      </c>
      <c r="B51" s="395"/>
      <c r="C51" s="264" t="s">
        <v>46</v>
      </c>
      <c r="D51" s="264" t="s">
        <v>47</v>
      </c>
      <c r="E51" s="264" t="s">
        <v>107</v>
      </c>
      <c r="F51" s="396" t="s">
        <v>106</v>
      </c>
      <c r="G51" s="397"/>
      <c r="H51" s="397"/>
      <c r="I51" s="397"/>
      <c r="J51" s="397"/>
      <c r="K51" s="397"/>
      <c r="L51" s="397"/>
      <c r="M51" s="398"/>
      <c r="N51" s="67" t="s">
        <v>110</v>
      </c>
      <c r="O51" s="264" t="s">
        <v>46</v>
      </c>
      <c r="P51" s="396" t="s">
        <v>47</v>
      </c>
      <c r="Q51" s="399"/>
      <c r="R51" s="396" t="s">
        <v>38</v>
      </c>
      <c r="S51" s="397"/>
      <c r="T51" s="397"/>
      <c r="U51" s="399"/>
      <c r="V51" s="396" t="s">
        <v>48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420" t="s">
        <v>119</v>
      </c>
      <c r="B52" s="421"/>
      <c r="C52" s="260" t="s">
        <v>129</v>
      </c>
      <c r="D52" s="260" t="s">
        <v>131</v>
      </c>
      <c r="E52" s="260" t="s">
        <v>139</v>
      </c>
      <c r="F52" s="412" t="s">
        <v>126</v>
      </c>
      <c r="G52" s="413"/>
      <c r="H52" s="413"/>
      <c r="I52" s="413"/>
      <c r="J52" s="413"/>
      <c r="K52" s="413"/>
      <c r="L52" s="413"/>
      <c r="M52" s="414"/>
      <c r="N52" s="259" t="s">
        <v>444</v>
      </c>
      <c r="O52" s="257" t="s">
        <v>136</v>
      </c>
      <c r="P52" s="415"/>
      <c r="Q52" s="416"/>
      <c r="R52" s="415" t="s">
        <v>455</v>
      </c>
      <c r="S52" s="417"/>
      <c r="T52" s="417"/>
      <c r="U52" s="416"/>
      <c r="V52" s="418" t="s">
        <v>130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10" t="s">
        <v>119</v>
      </c>
      <c r="B53" s="411"/>
      <c r="C53" s="263" t="s">
        <v>137</v>
      </c>
      <c r="D53" s="263" t="s">
        <v>439</v>
      </c>
      <c r="E53" s="260" t="s">
        <v>369</v>
      </c>
      <c r="F53" s="412" t="s">
        <v>126</v>
      </c>
      <c r="G53" s="413"/>
      <c r="H53" s="413"/>
      <c r="I53" s="413"/>
      <c r="J53" s="413"/>
      <c r="K53" s="413"/>
      <c r="L53" s="413"/>
      <c r="M53" s="414"/>
      <c r="N53" s="259" t="s">
        <v>118</v>
      </c>
      <c r="O53" s="257" t="s">
        <v>255</v>
      </c>
      <c r="P53" s="415" t="s">
        <v>125</v>
      </c>
      <c r="Q53" s="416"/>
      <c r="R53" s="415" t="s">
        <v>456</v>
      </c>
      <c r="S53" s="417"/>
      <c r="T53" s="417"/>
      <c r="U53" s="416"/>
      <c r="V53" s="418" t="s">
        <v>130</v>
      </c>
      <c r="W53" s="418"/>
      <c r="X53" s="418"/>
      <c r="Y53" s="418"/>
      <c r="Z53" s="418"/>
      <c r="AA53" s="418"/>
      <c r="AB53" s="418"/>
      <c r="AC53" s="418"/>
      <c r="AD53" s="419"/>
    </row>
    <row r="54" spans="1:32" ht="27" customHeight="1">
      <c r="A54" s="420" t="s">
        <v>450</v>
      </c>
      <c r="B54" s="421"/>
      <c r="C54" s="260" t="s">
        <v>136</v>
      </c>
      <c r="D54" s="260"/>
      <c r="E54" s="260" t="s">
        <v>445</v>
      </c>
      <c r="F54" s="412" t="s">
        <v>130</v>
      </c>
      <c r="G54" s="413"/>
      <c r="H54" s="413"/>
      <c r="I54" s="413"/>
      <c r="J54" s="413"/>
      <c r="K54" s="413"/>
      <c r="L54" s="413"/>
      <c r="M54" s="414"/>
      <c r="N54" s="259" t="s">
        <v>121</v>
      </c>
      <c r="O54" s="257" t="s">
        <v>143</v>
      </c>
      <c r="P54" s="415"/>
      <c r="Q54" s="416"/>
      <c r="R54" s="415" t="s">
        <v>321</v>
      </c>
      <c r="S54" s="417"/>
      <c r="T54" s="417"/>
      <c r="U54" s="416"/>
      <c r="V54" s="418" t="s">
        <v>126</v>
      </c>
      <c r="W54" s="418"/>
      <c r="X54" s="418"/>
      <c r="Y54" s="418"/>
      <c r="Z54" s="418"/>
      <c r="AA54" s="418"/>
      <c r="AB54" s="418"/>
      <c r="AC54" s="418"/>
      <c r="AD54" s="419"/>
    </row>
    <row r="55" spans="1:32" ht="27" customHeight="1">
      <c r="A55" s="410" t="s">
        <v>112</v>
      </c>
      <c r="B55" s="411"/>
      <c r="C55" s="263" t="s">
        <v>135</v>
      </c>
      <c r="D55" s="263" t="s">
        <v>115</v>
      </c>
      <c r="E55" s="260" t="s">
        <v>431</v>
      </c>
      <c r="F55" s="412" t="s">
        <v>452</v>
      </c>
      <c r="G55" s="413"/>
      <c r="H55" s="413"/>
      <c r="I55" s="413"/>
      <c r="J55" s="413"/>
      <c r="K55" s="413"/>
      <c r="L55" s="413"/>
      <c r="M55" s="414"/>
      <c r="N55" s="259" t="s">
        <v>118</v>
      </c>
      <c r="O55" s="257" t="s">
        <v>184</v>
      </c>
      <c r="P55" s="415"/>
      <c r="Q55" s="416"/>
      <c r="R55" s="415" t="s">
        <v>457</v>
      </c>
      <c r="S55" s="417"/>
      <c r="T55" s="417"/>
      <c r="U55" s="416"/>
      <c r="V55" s="418" t="s">
        <v>130</v>
      </c>
      <c r="W55" s="418"/>
      <c r="X55" s="418"/>
      <c r="Y55" s="418"/>
      <c r="Z55" s="418"/>
      <c r="AA55" s="418"/>
      <c r="AB55" s="418"/>
      <c r="AC55" s="418"/>
      <c r="AD55" s="419"/>
    </row>
    <row r="56" spans="1:32" ht="27" customHeight="1">
      <c r="A56" s="410" t="s">
        <v>112</v>
      </c>
      <c r="B56" s="411"/>
      <c r="C56" s="263" t="s">
        <v>187</v>
      </c>
      <c r="D56" s="263" t="s">
        <v>147</v>
      </c>
      <c r="E56" s="260" t="s">
        <v>388</v>
      </c>
      <c r="F56" s="412" t="s">
        <v>126</v>
      </c>
      <c r="G56" s="413"/>
      <c r="H56" s="413"/>
      <c r="I56" s="413"/>
      <c r="J56" s="413"/>
      <c r="K56" s="413"/>
      <c r="L56" s="413"/>
      <c r="M56" s="414"/>
      <c r="N56" s="259"/>
      <c r="O56" s="257"/>
      <c r="P56" s="415"/>
      <c r="Q56" s="416"/>
      <c r="R56" s="415"/>
      <c r="S56" s="417"/>
      <c r="T56" s="417"/>
      <c r="U56" s="416"/>
      <c r="V56" s="418"/>
      <c r="W56" s="418"/>
      <c r="X56" s="418"/>
      <c r="Y56" s="418"/>
      <c r="Z56" s="418"/>
      <c r="AA56" s="418"/>
      <c r="AB56" s="418"/>
      <c r="AC56" s="418"/>
      <c r="AD56" s="419"/>
    </row>
    <row r="57" spans="1:32" ht="27" customHeight="1">
      <c r="A57" s="410" t="s">
        <v>121</v>
      </c>
      <c r="B57" s="411"/>
      <c r="C57" s="263" t="s">
        <v>143</v>
      </c>
      <c r="D57" s="263"/>
      <c r="E57" s="260" t="s">
        <v>321</v>
      </c>
      <c r="F57" s="412" t="s">
        <v>453</v>
      </c>
      <c r="G57" s="413"/>
      <c r="H57" s="413"/>
      <c r="I57" s="413"/>
      <c r="J57" s="413"/>
      <c r="K57" s="413"/>
      <c r="L57" s="413"/>
      <c r="M57" s="414"/>
      <c r="N57" s="259"/>
      <c r="O57" s="257"/>
      <c r="P57" s="415"/>
      <c r="Q57" s="416"/>
      <c r="R57" s="415"/>
      <c r="S57" s="417"/>
      <c r="T57" s="417"/>
      <c r="U57" s="416"/>
      <c r="V57" s="418"/>
      <c r="W57" s="418"/>
      <c r="X57" s="418"/>
      <c r="Y57" s="418"/>
      <c r="Z57" s="418"/>
      <c r="AA57" s="418"/>
      <c r="AB57" s="418"/>
      <c r="AC57" s="418"/>
      <c r="AD57" s="419"/>
    </row>
    <row r="58" spans="1:32" ht="27" customHeight="1">
      <c r="A58" s="410"/>
      <c r="B58" s="411"/>
      <c r="C58" s="263"/>
      <c r="D58" s="263"/>
      <c r="E58" s="260"/>
      <c r="F58" s="412"/>
      <c r="G58" s="413"/>
      <c r="H58" s="413"/>
      <c r="I58" s="413"/>
      <c r="J58" s="413"/>
      <c r="K58" s="413"/>
      <c r="L58" s="413"/>
      <c r="M58" s="414"/>
      <c r="N58" s="259"/>
      <c r="O58" s="257"/>
      <c r="P58" s="415"/>
      <c r="Q58" s="416"/>
      <c r="R58" s="415"/>
      <c r="S58" s="417"/>
      <c r="T58" s="417"/>
      <c r="U58" s="416"/>
      <c r="V58" s="418"/>
      <c r="W58" s="418"/>
      <c r="X58" s="418"/>
      <c r="Y58" s="418"/>
      <c r="Z58" s="418"/>
      <c r="AA58" s="418"/>
      <c r="AB58" s="418"/>
      <c r="AC58" s="418"/>
      <c r="AD58" s="419"/>
    </row>
    <row r="59" spans="1:32" ht="27" customHeight="1">
      <c r="A59" s="420"/>
      <c r="B59" s="421"/>
      <c r="C59" s="260"/>
      <c r="D59" s="260"/>
      <c r="E59" s="260"/>
      <c r="F59" s="412"/>
      <c r="G59" s="413"/>
      <c r="H59" s="413"/>
      <c r="I59" s="413"/>
      <c r="J59" s="413"/>
      <c r="K59" s="413"/>
      <c r="L59" s="413"/>
      <c r="M59" s="414"/>
      <c r="N59" s="259"/>
      <c r="O59" s="257"/>
      <c r="P59" s="415"/>
      <c r="Q59" s="416"/>
      <c r="R59" s="421"/>
      <c r="S59" s="421"/>
      <c r="T59" s="421"/>
      <c r="U59" s="421"/>
      <c r="V59" s="418"/>
      <c r="W59" s="418"/>
      <c r="X59" s="418"/>
      <c r="Y59" s="418"/>
      <c r="Z59" s="418"/>
      <c r="AA59" s="418"/>
      <c r="AB59" s="418"/>
      <c r="AC59" s="418"/>
      <c r="AD59" s="419"/>
    </row>
    <row r="60" spans="1:32" ht="27" customHeight="1">
      <c r="A60" s="410"/>
      <c r="B60" s="411"/>
      <c r="C60" s="263"/>
      <c r="D60" s="263"/>
      <c r="E60" s="260"/>
      <c r="F60" s="412"/>
      <c r="G60" s="413"/>
      <c r="H60" s="413"/>
      <c r="I60" s="413"/>
      <c r="J60" s="413"/>
      <c r="K60" s="413"/>
      <c r="L60" s="413"/>
      <c r="M60" s="414"/>
      <c r="N60" s="259"/>
      <c r="O60" s="257"/>
      <c r="P60" s="421"/>
      <c r="Q60" s="421"/>
      <c r="R60" s="421"/>
      <c r="S60" s="421"/>
      <c r="T60" s="421"/>
      <c r="U60" s="421"/>
      <c r="V60" s="418"/>
      <c r="W60" s="418"/>
      <c r="X60" s="418"/>
      <c r="Y60" s="418"/>
      <c r="Z60" s="418"/>
      <c r="AA60" s="418"/>
      <c r="AB60" s="418"/>
      <c r="AC60" s="418"/>
      <c r="AD60" s="419"/>
      <c r="AF60" s="84">
        <f>8*3000</f>
        <v>24000</v>
      </c>
    </row>
    <row r="61" spans="1:32" ht="27" customHeight="1" thickBot="1">
      <c r="A61" s="422"/>
      <c r="B61" s="423"/>
      <c r="C61" s="261"/>
      <c r="D61" s="262"/>
      <c r="E61" s="262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30" t="s">
        <v>458</v>
      </c>
      <c r="B62" s="430"/>
      <c r="C62" s="430"/>
      <c r="D62" s="430"/>
      <c r="E62" s="43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31" t="s">
        <v>111</v>
      </c>
      <c r="B63" s="432"/>
      <c r="C63" s="258" t="s">
        <v>2</v>
      </c>
      <c r="D63" s="258" t="s">
        <v>37</v>
      </c>
      <c r="E63" s="258" t="s">
        <v>3</v>
      </c>
      <c r="F63" s="432" t="s">
        <v>109</v>
      </c>
      <c r="G63" s="432"/>
      <c r="H63" s="432"/>
      <c r="I63" s="432"/>
      <c r="J63" s="432"/>
      <c r="K63" s="432" t="s">
        <v>39</v>
      </c>
      <c r="L63" s="432"/>
      <c r="M63" s="258" t="s">
        <v>40</v>
      </c>
      <c r="N63" s="432" t="s">
        <v>41</v>
      </c>
      <c r="O63" s="432"/>
      <c r="P63" s="433" t="s">
        <v>42</v>
      </c>
      <c r="Q63" s="434"/>
      <c r="R63" s="433" t="s">
        <v>43</v>
      </c>
      <c r="S63" s="435"/>
      <c r="T63" s="435"/>
      <c r="U63" s="435"/>
      <c r="V63" s="435"/>
      <c r="W63" s="435"/>
      <c r="X63" s="435"/>
      <c r="Y63" s="435"/>
      <c r="Z63" s="435"/>
      <c r="AA63" s="434"/>
      <c r="AB63" s="432" t="s">
        <v>44</v>
      </c>
      <c r="AC63" s="432"/>
      <c r="AD63" s="436"/>
      <c r="AF63" s="84">
        <f>SUM(AF60:AF62)</f>
        <v>96000</v>
      </c>
    </row>
    <row r="64" spans="1:32" ht="25.5" customHeight="1">
      <c r="A64" s="437">
        <v>1</v>
      </c>
      <c r="B64" s="438"/>
      <c r="C64" s="104" t="s">
        <v>118</v>
      </c>
      <c r="D64" s="253"/>
      <c r="E64" s="256" t="s">
        <v>147</v>
      </c>
      <c r="F64" s="439" t="s">
        <v>459</v>
      </c>
      <c r="G64" s="440"/>
      <c r="H64" s="440"/>
      <c r="I64" s="440"/>
      <c r="J64" s="441"/>
      <c r="K64" s="442" t="s">
        <v>460</v>
      </c>
      <c r="L64" s="442"/>
      <c r="M64" s="51" t="s">
        <v>141</v>
      </c>
      <c r="N64" s="443" t="s">
        <v>145</v>
      </c>
      <c r="O64" s="443"/>
      <c r="P64" s="444">
        <v>200</v>
      </c>
      <c r="Q64" s="444"/>
      <c r="R64" s="418"/>
      <c r="S64" s="418"/>
      <c r="T64" s="418"/>
      <c r="U64" s="418"/>
      <c r="V64" s="418"/>
      <c r="W64" s="418"/>
      <c r="X64" s="418"/>
      <c r="Y64" s="418"/>
      <c r="Z64" s="418"/>
      <c r="AA64" s="418"/>
      <c r="AB64" s="442"/>
      <c r="AC64" s="442"/>
      <c r="AD64" s="445"/>
      <c r="AF64" s="50"/>
    </row>
    <row r="65" spans="1:32" ht="25.5" customHeight="1">
      <c r="A65" s="437">
        <v>2</v>
      </c>
      <c r="B65" s="438"/>
      <c r="C65" s="104" t="s">
        <v>118</v>
      </c>
      <c r="D65" s="253"/>
      <c r="E65" s="256" t="s">
        <v>115</v>
      </c>
      <c r="F65" s="439" t="s">
        <v>201</v>
      </c>
      <c r="G65" s="440"/>
      <c r="H65" s="440"/>
      <c r="I65" s="440"/>
      <c r="J65" s="441"/>
      <c r="K65" s="442" t="s">
        <v>142</v>
      </c>
      <c r="L65" s="442"/>
      <c r="M65" s="51" t="s">
        <v>288</v>
      </c>
      <c r="N65" s="443" t="s">
        <v>145</v>
      </c>
      <c r="O65" s="443"/>
      <c r="P65" s="444">
        <v>200</v>
      </c>
      <c r="Q65" s="444"/>
      <c r="R65" s="418"/>
      <c r="S65" s="418"/>
      <c r="T65" s="418"/>
      <c r="U65" s="418"/>
      <c r="V65" s="418"/>
      <c r="W65" s="418"/>
      <c r="X65" s="418"/>
      <c r="Y65" s="418"/>
      <c r="Z65" s="418"/>
      <c r="AA65" s="418"/>
      <c r="AB65" s="442"/>
      <c r="AC65" s="442"/>
      <c r="AD65" s="445"/>
      <c r="AF65" s="50"/>
    </row>
    <row r="66" spans="1:32" ht="25.5" customHeight="1">
      <c r="A66" s="437">
        <v>3</v>
      </c>
      <c r="B66" s="438"/>
      <c r="C66" s="104"/>
      <c r="D66" s="253"/>
      <c r="E66" s="256"/>
      <c r="F66" s="439"/>
      <c r="G66" s="440"/>
      <c r="H66" s="440"/>
      <c r="I66" s="440"/>
      <c r="J66" s="441"/>
      <c r="K66" s="442"/>
      <c r="L66" s="442"/>
      <c r="M66" s="51"/>
      <c r="N66" s="443"/>
      <c r="O66" s="443"/>
      <c r="P66" s="444"/>
      <c r="Q66" s="444"/>
      <c r="R66" s="418"/>
      <c r="S66" s="418"/>
      <c r="T66" s="418"/>
      <c r="U66" s="418"/>
      <c r="V66" s="418"/>
      <c r="W66" s="418"/>
      <c r="X66" s="418"/>
      <c r="Y66" s="418"/>
      <c r="Z66" s="418"/>
      <c r="AA66" s="418"/>
      <c r="AB66" s="442"/>
      <c r="AC66" s="442"/>
      <c r="AD66" s="445"/>
      <c r="AF66" s="50"/>
    </row>
    <row r="67" spans="1:32" ht="25.5" customHeight="1">
      <c r="A67" s="437">
        <v>4</v>
      </c>
      <c r="B67" s="438"/>
      <c r="C67" s="104"/>
      <c r="D67" s="253"/>
      <c r="E67" s="256"/>
      <c r="F67" s="439"/>
      <c r="G67" s="440"/>
      <c r="H67" s="440"/>
      <c r="I67" s="440"/>
      <c r="J67" s="441"/>
      <c r="K67" s="442"/>
      <c r="L67" s="442"/>
      <c r="M67" s="51"/>
      <c r="N67" s="443"/>
      <c r="O67" s="443"/>
      <c r="P67" s="444"/>
      <c r="Q67" s="444"/>
      <c r="R67" s="418"/>
      <c r="S67" s="418"/>
      <c r="T67" s="418"/>
      <c r="U67" s="418"/>
      <c r="V67" s="418"/>
      <c r="W67" s="418"/>
      <c r="X67" s="418"/>
      <c r="Y67" s="418"/>
      <c r="Z67" s="418"/>
      <c r="AA67" s="418"/>
      <c r="AB67" s="442"/>
      <c r="AC67" s="442"/>
      <c r="AD67" s="445"/>
      <c r="AF67" s="50"/>
    </row>
    <row r="68" spans="1:32" ht="25.5" customHeight="1">
      <c r="A68" s="437">
        <v>5</v>
      </c>
      <c r="B68" s="438"/>
      <c r="C68" s="104"/>
      <c r="D68" s="253"/>
      <c r="E68" s="256"/>
      <c r="F68" s="439"/>
      <c r="G68" s="440"/>
      <c r="H68" s="440"/>
      <c r="I68" s="440"/>
      <c r="J68" s="441"/>
      <c r="K68" s="442"/>
      <c r="L68" s="442"/>
      <c r="M68" s="51"/>
      <c r="N68" s="443"/>
      <c r="O68" s="443"/>
      <c r="P68" s="444"/>
      <c r="Q68" s="444"/>
      <c r="R68" s="418"/>
      <c r="S68" s="418"/>
      <c r="T68" s="418"/>
      <c r="U68" s="418"/>
      <c r="V68" s="418"/>
      <c r="W68" s="418"/>
      <c r="X68" s="418"/>
      <c r="Y68" s="418"/>
      <c r="Z68" s="418"/>
      <c r="AA68" s="418"/>
      <c r="AB68" s="442"/>
      <c r="AC68" s="442"/>
      <c r="AD68" s="445"/>
      <c r="AF68" s="50"/>
    </row>
    <row r="69" spans="1:32" ht="25.5" customHeight="1">
      <c r="A69" s="437">
        <v>6</v>
      </c>
      <c r="B69" s="438"/>
      <c r="C69" s="104"/>
      <c r="D69" s="253"/>
      <c r="E69" s="256"/>
      <c r="F69" s="439"/>
      <c r="G69" s="440"/>
      <c r="H69" s="440"/>
      <c r="I69" s="440"/>
      <c r="J69" s="441"/>
      <c r="K69" s="442"/>
      <c r="L69" s="442"/>
      <c r="M69" s="51"/>
      <c r="N69" s="443"/>
      <c r="O69" s="443"/>
      <c r="P69" s="444"/>
      <c r="Q69" s="444"/>
      <c r="R69" s="418"/>
      <c r="S69" s="418"/>
      <c r="T69" s="418"/>
      <c r="U69" s="418"/>
      <c r="V69" s="418"/>
      <c r="W69" s="418"/>
      <c r="X69" s="418"/>
      <c r="Y69" s="418"/>
      <c r="Z69" s="418"/>
      <c r="AA69" s="418"/>
      <c r="AB69" s="442"/>
      <c r="AC69" s="442"/>
      <c r="AD69" s="445"/>
      <c r="AF69" s="50"/>
    </row>
    <row r="70" spans="1:32" ht="25.5" customHeight="1">
      <c r="A70" s="437">
        <v>7</v>
      </c>
      <c r="B70" s="438"/>
      <c r="C70" s="104"/>
      <c r="D70" s="253"/>
      <c r="E70" s="256"/>
      <c r="F70" s="447"/>
      <c r="G70" s="442"/>
      <c r="H70" s="442"/>
      <c r="I70" s="442"/>
      <c r="J70" s="442"/>
      <c r="K70" s="442"/>
      <c r="L70" s="442"/>
      <c r="M70" s="51"/>
      <c r="N70" s="443"/>
      <c r="O70" s="443"/>
      <c r="P70" s="444"/>
      <c r="Q70" s="444"/>
      <c r="R70" s="418"/>
      <c r="S70" s="418"/>
      <c r="T70" s="418"/>
      <c r="U70" s="418"/>
      <c r="V70" s="418"/>
      <c r="W70" s="418"/>
      <c r="X70" s="418"/>
      <c r="Y70" s="418"/>
      <c r="Z70" s="418"/>
      <c r="AA70" s="418"/>
      <c r="AB70" s="442"/>
      <c r="AC70" s="442"/>
      <c r="AD70" s="445"/>
      <c r="AF70" s="50"/>
    </row>
    <row r="71" spans="1:32" ht="25.5" customHeight="1">
      <c r="A71" s="437">
        <v>8</v>
      </c>
      <c r="B71" s="438"/>
      <c r="C71" s="104"/>
      <c r="D71" s="253"/>
      <c r="E71" s="256"/>
      <c r="F71" s="447"/>
      <c r="G71" s="442"/>
      <c r="H71" s="442"/>
      <c r="I71" s="442"/>
      <c r="J71" s="442"/>
      <c r="K71" s="442"/>
      <c r="L71" s="442"/>
      <c r="M71" s="51"/>
      <c r="N71" s="443"/>
      <c r="O71" s="443"/>
      <c r="P71" s="444"/>
      <c r="Q71" s="444"/>
      <c r="R71" s="418"/>
      <c r="S71" s="418"/>
      <c r="T71" s="418"/>
      <c r="U71" s="418"/>
      <c r="V71" s="418"/>
      <c r="W71" s="418"/>
      <c r="X71" s="418"/>
      <c r="Y71" s="418"/>
      <c r="Z71" s="418"/>
      <c r="AA71" s="418"/>
      <c r="AB71" s="442"/>
      <c r="AC71" s="442"/>
      <c r="AD71" s="445"/>
      <c r="AF71" s="50"/>
    </row>
    <row r="72" spans="1:32" ht="25.5" customHeight="1">
      <c r="A72" s="437">
        <v>9</v>
      </c>
      <c r="B72" s="438"/>
      <c r="C72" s="104"/>
      <c r="D72" s="253"/>
      <c r="E72" s="256"/>
      <c r="F72" s="447"/>
      <c r="G72" s="442"/>
      <c r="H72" s="442"/>
      <c r="I72" s="442"/>
      <c r="J72" s="442"/>
      <c r="K72" s="442"/>
      <c r="L72" s="442"/>
      <c r="M72" s="51"/>
      <c r="N72" s="443"/>
      <c r="O72" s="443"/>
      <c r="P72" s="444"/>
      <c r="Q72" s="444"/>
      <c r="R72" s="418"/>
      <c r="S72" s="418"/>
      <c r="T72" s="418"/>
      <c r="U72" s="418"/>
      <c r="V72" s="418"/>
      <c r="W72" s="418"/>
      <c r="X72" s="418"/>
      <c r="Y72" s="418"/>
      <c r="Z72" s="418"/>
      <c r="AA72" s="418"/>
      <c r="AB72" s="442"/>
      <c r="AC72" s="442"/>
      <c r="AD72" s="445"/>
      <c r="AF72" s="50"/>
    </row>
    <row r="73" spans="1:32" ht="25.5" customHeight="1">
      <c r="A73" s="437">
        <v>10</v>
      </c>
      <c r="B73" s="438"/>
      <c r="C73" s="104"/>
      <c r="D73" s="253"/>
      <c r="E73" s="256"/>
      <c r="F73" s="447"/>
      <c r="G73" s="442"/>
      <c r="H73" s="442"/>
      <c r="I73" s="442"/>
      <c r="J73" s="442"/>
      <c r="K73" s="442"/>
      <c r="L73" s="442"/>
      <c r="M73" s="51"/>
      <c r="N73" s="443"/>
      <c r="O73" s="443"/>
      <c r="P73" s="444"/>
      <c r="Q73" s="444"/>
      <c r="R73" s="418"/>
      <c r="S73" s="418"/>
      <c r="T73" s="418"/>
      <c r="U73" s="418"/>
      <c r="V73" s="418"/>
      <c r="W73" s="418"/>
      <c r="X73" s="418"/>
      <c r="Y73" s="418"/>
      <c r="Z73" s="418"/>
      <c r="AA73" s="418"/>
      <c r="AB73" s="442"/>
      <c r="AC73" s="442"/>
      <c r="AD73" s="445"/>
      <c r="AF73" s="50"/>
    </row>
    <row r="74" spans="1:32" ht="26.25" customHeight="1" thickBot="1">
      <c r="A74" s="448" t="s">
        <v>461</v>
      </c>
      <c r="B74" s="448"/>
      <c r="C74" s="448"/>
      <c r="D74" s="448"/>
      <c r="E74" s="44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49" t="s">
        <v>134</v>
      </c>
      <c r="B75" s="450"/>
      <c r="C75" s="255" t="s">
        <v>2</v>
      </c>
      <c r="D75" s="255" t="s">
        <v>37</v>
      </c>
      <c r="E75" s="255" t="s">
        <v>128</v>
      </c>
      <c r="F75" s="450" t="s">
        <v>38</v>
      </c>
      <c r="G75" s="450"/>
      <c r="H75" s="450"/>
      <c r="I75" s="450"/>
      <c r="J75" s="450"/>
      <c r="K75" s="451" t="s">
        <v>58</v>
      </c>
      <c r="L75" s="452"/>
      <c r="M75" s="452"/>
      <c r="N75" s="452"/>
      <c r="O75" s="452"/>
      <c r="P75" s="452"/>
      <c r="Q75" s="452"/>
      <c r="R75" s="452"/>
      <c r="S75" s="453"/>
      <c r="T75" s="450" t="s">
        <v>49</v>
      </c>
      <c r="U75" s="450"/>
      <c r="V75" s="451" t="s">
        <v>50</v>
      </c>
      <c r="W75" s="453"/>
      <c r="X75" s="452" t="s">
        <v>51</v>
      </c>
      <c r="Y75" s="452"/>
      <c r="Z75" s="452"/>
      <c r="AA75" s="452"/>
      <c r="AB75" s="452"/>
      <c r="AC75" s="452"/>
      <c r="AD75" s="454"/>
      <c r="AF75" s="50"/>
    </row>
    <row r="76" spans="1:32" ht="33.75" customHeight="1">
      <c r="A76" s="463">
        <v>1</v>
      </c>
      <c r="B76" s="464"/>
      <c r="C76" s="254" t="s">
        <v>112</v>
      </c>
      <c r="D76" s="254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44118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55">
        <f>A76+1</f>
        <v>2</v>
      </c>
      <c r="B77" s="456"/>
      <c r="C77" s="253"/>
      <c r="D77" s="253"/>
      <c r="E77" s="32"/>
      <c r="F77" s="456"/>
      <c r="G77" s="456"/>
      <c r="H77" s="456"/>
      <c r="I77" s="456"/>
      <c r="J77" s="456"/>
      <c r="K77" s="457"/>
      <c r="L77" s="458"/>
      <c r="M77" s="458"/>
      <c r="N77" s="458"/>
      <c r="O77" s="458"/>
      <c r="P77" s="458"/>
      <c r="Q77" s="458"/>
      <c r="R77" s="458"/>
      <c r="S77" s="459"/>
      <c r="T77" s="460"/>
      <c r="U77" s="460"/>
      <c r="V77" s="460"/>
      <c r="W77" s="460"/>
      <c r="X77" s="461"/>
      <c r="Y77" s="461"/>
      <c r="Z77" s="461"/>
      <c r="AA77" s="461"/>
      <c r="AB77" s="461"/>
      <c r="AC77" s="461"/>
      <c r="AD77" s="462"/>
      <c r="AF77" s="50"/>
    </row>
    <row r="78" spans="1:32" ht="30" customHeight="1">
      <c r="A78" s="455">
        <f t="shared" ref="A78:A82" si="11">A77+1</f>
        <v>3</v>
      </c>
      <c r="B78" s="456"/>
      <c r="C78" s="253"/>
      <c r="D78" s="253"/>
      <c r="E78" s="32"/>
      <c r="F78" s="456"/>
      <c r="G78" s="456"/>
      <c r="H78" s="456"/>
      <c r="I78" s="456"/>
      <c r="J78" s="456"/>
      <c r="K78" s="457"/>
      <c r="L78" s="458"/>
      <c r="M78" s="458"/>
      <c r="N78" s="458"/>
      <c r="O78" s="458"/>
      <c r="P78" s="458"/>
      <c r="Q78" s="458"/>
      <c r="R78" s="458"/>
      <c r="S78" s="459"/>
      <c r="T78" s="460"/>
      <c r="U78" s="460"/>
      <c r="V78" s="460"/>
      <c r="W78" s="460"/>
      <c r="X78" s="461"/>
      <c r="Y78" s="461"/>
      <c r="Z78" s="461"/>
      <c r="AA78" s="461"/>
      <c r="AB78" s="461"/>
      <c r="AC78" s="461"/>
      <c r="AD78" s="462"/>
      <c r="AF78" s="50"/>
    </row>
    <row r="79" spans="1:32" ht="30" customHeight="1">
      <c r="A79" s="455">
        <f t="shared" si="11"/>
        <v>4</v>
      </c>
      <c r="B79" s="456"/>
      <c r="C79" s="253"/>
      <c r="D79" s="253"/>
      <c r="E79" s="32"/>
      <c r="F79" s="456"/>
      <c r="G79" s="456"/>
      <c r="H79" s="456"/>
      <c r="I79" s="456"/>
      <c r="J79" s="456"/>
      <c r="K79" s="457"/>
      <c r="L79" s="458"/>
      <c r="M79" s="458"/>
      <c r="N79" s="458"/>
      <c r="O79" s="458"/>
      <c r="P79" s="458"/>
      <c r="Q79" s="458"/>
      <c r="R79" s="458"/>
      <c r="S79" s="459"/>
      <c r="T79" s="460"/>
      <c r="U79" s="460"/>
      <c r="V79" s="460"/>
      <c r="W79" s="460"/>
      <c r="X79" s="461"/>
      <c r="Y79" s="461"/>
      <c r="Z79" s="461"/>
      <c r="AA79" s="461"/>
      <c r="AB79" s="461"/>
      <c r="AC79" s="461"/>
      <c r="AD79" s="462"/>
      <c r="AF79" s="50"/>
    </row>
    <row r="80" spans="1:32" ht="30" customHeight="1">
      <c r="A80" s="455">
        <f t="shared" si="11"/>
        <v>5</v>
      </c>
      <c r="B80" s="456"/>
      <c r="C80" s="253"/>
      <c r="D80" s="253"/>
      <c r="E80" s="32"/>
      <c r="F80" s="456"/>
      <c r="G80" s="456"/>
      <c r="H80" s="456"/>
      <c r="I80" s="456"/>
      <c r="J80" s="456"/>
      <c r="K80" s="457"/>
      <c r="L80" s="458"/>
      <c r="M80" s="458"/>
      <c r="N80" s="458"/>
      <c r="O80" s="458"/>
      <c r="P80" s="458"/>
      <c r="Q80" s="458"/>
      <c r="R80" s="458"/>
      <c r="S80" s="459"/>
      <c r="T80" s="460"/>
      <c r="U80" s="460"/>
      <c r="V80" s="460"/>
      <c r="W80" s="460"/>
      <c r="X80" s="461"/>
      <c r="Y80" s="461"/>
      <c r="Z80" s="461"/>
      <c r="AA80" s="461"/>
      <c r="AB80" s="461"/>
      <c r="AC80" s="461"/>
      <c r="AD80" s="462"/>
      <c r="AF80" s="50"/>
    </row>
    <row r="81" spans="1:32" ht="30" customHeight="1">
      <c r="A81" s="455">
        <f t="shared" si="11"/>
        <v>6</v>
      </c>
      <c r="B81" s="456"/>
      <c r="C81" s="253"/>
      <c r="D81" s="253"/>
      <c r="E81" s="32"/>
      <c r="F81" s="456"/>
      <c r="G81" s="456"/>
      <c r="H81" s="456"/>
      <c r="I81" s="456"/>
      <c r="J81" s="456"/>
      <c r="K81" s="457"/>
      <c r="L81" s="458"/>
      <c r="M81" s="458"/>
      <c r="N81" s="458"/>
      <c r="O81" s="458"/>
      <c r="P81" s="458"/>
      <c r="Q81" s="458"/>
      <c r="R81" s="458"/>
      <c r="S81" s="459"/>
      <c r="T81" s="460"/>
      <c r="U81" s="460"/>
      <c r="V81" s="460"/>
      <c r="W81" s="460"/>
      <c r="X81" s="461"/>
      <c r="Y81" s="461"/>
      <c r="Z81" s="461"/>
      <c r="AA81" s="461"/>
      <c r="AB81" s="461"/>
      <c r="AC81" s="461"/>
      <c r="AD81" s="462"/>
      <c r="AF81" s="50"/>
    </row>
    <row r="82" spans="1:32" ht="30" customHeight="1">
      <c r="A82" s="455">
        <f t="shared" si="11"/>
        <v>7</v>
      </c>
      <c r="B82" s="456"/>
      <c r="C82" s="253"/>
      <c r="D82" s="253"/>
      <c r="E82" s="32"/>
      <c r="F82" s="456"/>
      <c r="G82" s="456"/>
      <c r="H82" s="456"/>
      <c r="I82" s="456"/>
      <c r="J82" s="456"/>
      <c r="K82" s="457"/>
      <c r="L82" s="458"/>
      <c r="M82" s="458"/>
      <c r="N82" s="458"/>
      <c r="O82" s="458"/>
      <c r="P82" s="458"/>
      <c r="Q82" s="458"/>
      <c r="R82" s="458"/>
      <c r="S82" s="459"/>
      <c r="T82" s="460"/>
      <c r="U82" s="460"/>
      <c r="V82" s="460"/>
      <c r="W82" s="460"/>
      <c r="X82" s="461"/>
      <c r="Y82" s="461"/>
      <c r="Z82" s="461"/>
      <c r="AA82" s="461"/>
      <c r="AB82" s="461"/>
      <c r="AC82" s="461"/>
      <c r="AD82" s="462"/>
      <c r="AF82" s="50"/>
    </row>
    <row r="83" spans="1:32" ht="36" thickBot="1">
      <c r="A83" s="448" t="s">
        <v>462</v>
      </c>
      <c r="B83" s="448"/>
      <c r="C83" s="448"/>
      <c r="D83" s="448"/>
      <c r="E83" s="44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49" t="s">
        <v>111</v>
      </c>
      <c r="B84" s="450"/>
      <c r="C84" s="476" t="s">
        <v>52</v>
      </c>
      <c r="D84" s="476"/>
      <c r="E84" s="476" t="s">
        <v>53</v>
      </c>
      <c r="F84" s="476"/>
      <c r="G84" s="476"/>
      <c r="H84" s="476"/>
      <c r="I84" s="476"/>
      <c r="J84" s="476"/>
      <c r="K84" s="476" t="s">
        <v>54</v>
      </c>
      <c r="L84" s="476"/>
      <c r="M84" s="476"/>
      <c r="N84" s="476"/>
      <c r="O84" s="476"/>
      <c r="P84" s="476"/>
      <c r="Q84" s="476"/>
      <c r="R84" s="476"/>
      <c r="S84" s="476"/>
      <c r="T84" s="476" t="s">
        <v>55</v>
      </c>
      <c r="U84" s="476"/>
      <c r="V84" s="476" t="s">
        <v>56</v>
      </c>
      <c r="W84" s="476"/>
      <c r="X84" s="476"/>
      <c r="Y84" s="476" t="s">
        <v>51</v>
      </c>
      <c r="Z84" s="476"/>
      <c r="AA84" s="476"/>
      <c r="AB84" s="476"/>
      <c r="AC84" s="476"/>
      <c r="AD84" s="477"/>
      <c r="AF84" s="50"/>
    </row>
    <row r="85" spans="1:32" ht="30.75" customHeight="1">
      <c r="A85" s="463">
        <v>1</v>
      </c>
      <c r="B85" s="464"/>
      <c r="C85" s="478"/>
      <c r="D85" s="478"/>
      <c r="E85" s="478"/>
      <c r="F85" s="478"/>
      <c r="G85" s="478"/>
      <c r="H85" s="478"/>
      <c r="I85" s="478"/>
      <c r="J85" s="478"/>
      <c r="K85" s="478"/>
      <c r="L85" s="478"/>
      <c r="M85" s="478"/>
      <c r="N85" s="478"/>
      <c r="O85" s="478"/>
      <c r="P85" s="478"/>
      <c r="Q85" s="478"/>
      <c r="R85" s="478"/>
      <c r="S85" s="478"/>
      <c r="T85" s="478"/>
      <c r="U85" s="478"/>
      <c r="V85" s="479"/>
      <c r="W85" s="479"/>
      <c r="X85" s="479"/>
      <c r="Y85" s="480"/>
      <c r="Z85" s="480"/>
      <c r="AA85" s="480"/>
      <c r="AB85" s="480"/>
      <c r="AC85" s="480"/>
      <c r="AD85" s="481"/>
      <c r="AF85" s="50"/>
    </row>
    <row r="86" spans="1:32" ht="30.75" customHeight="1">
      <c r="A86" s="455">
        <v>2</v>
      </c>
      <c r="B86" s="456"/>
      <c r="C86" s="489"/>
      <c r="D86" s="489"/>
      <c r="E86" s="489"/>
      <c r="F86" s="489"/>
      <c r="G86" s="489"/>
      <c r="H86" s="489"/>
      <c r="I86" s="489"/>
      <c r="J86" s="489"/>
      <c r="K86" s="489"/>
      <c r="L86" s="489"/>
      <c r="M86" s="489"/>
      <c r="N86" s="489"/>
      <c r="O86" s="489"/>
      <c r="P86" s="489"/>
      <c r="Q86" s="489"/>
      <c r="R86" s="489"/>
      <c r="S86" s="489"/>
      <c r="T86" s="490"/>
      <c r="U86" s="490"/>
      <c r="V86" s="491"/>
      <c r="W86" s="491"/>
      <c r="X86" s="491"/>
      <c r="Y86" s="482"/>
      <c r="Z86" s="482"/>
      <c r="AA86" s="482"/>
      <c r="AB86" s="482"/>
      <c r="AC86" s="482"/>
      <c r="AD86" s="483"/>
      <c r="AF86" s="50"/>
    </row>
    <row r="87" spans="1:32" ht="30.75" customHeight="1" thickBot="1">
      <c r="A87" s="484">
        <v>3</v>
      </c>
      <c r="B87" s="485"/>
      <c r="C87" s="486"/>
      <c r="D87" s="486"/>
      <c r="E87" s="486"/>
      <c r="F87" s="486"/>
      <c r="G87" s="486"/>
      <c r="H87" s="486"/>
      <c r="I87" s="486"/>
      <c r="J87" s="486"/>
      <c r="K87" s="486"/>
      <c r="L87" s="486"/>
      <c r="M87" s="486"/>
      <c r="N87" s="486"/>
      <c r="O87" s="486"/>
      <c r="P87" s="486"/>
      <c r="Q87" s="486"/>
      <c r="R87" s="486"/>
      <c r="S87" s="486"/>
      <c r="T87" s="486"/>
      <c r="U87" s="486"/>
      <c r="V87" s="486"/>
      <c r="W87" s="486"/>
      <c r="X87" s="486"/>
      <c r="Y87" s="487"/>
      <c r="Z87" s="487"/>
      <c r="AA87" s="487"/>
      <c r="AB87" s="487"/>
      <c r="AC87" s="487"/>
      <c r="AD87" s="488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0DFB-66DC-4F0B-80E8-2469AAE9CD66}">
  <dimension ref="A1:AF87"/>
  <sheetViews>
    <sheetView view="pageBreakPreview" zoomScale="70" zoomScaleNormal="72" zoomScaleSheetLayoutView="70" workbookViewId="0">
      <selection activeCell="L14" sqref="L1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70" t="s">
        <v>463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5"/>
      <c r="T4" s="405"/>
      <c r="U4" s="405"/>
      <c r="V4" s="405"/>
      <c r="W4" s="406" t="s">
        <v>11</v>
      </c>
      <c r="X4" s="405"/>
      <c r="Y4" s="405"/>
      <c r="Z4" s="405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266" t="s">
        <v>17</v>
      </c>
      <c r="L5" s="266" t="s">
        <v>18</v>
      </c>
      <c r="M5" s="266" t="s">
        <v>19</v>
      </c>
      <c r="N5" s="26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125</v>
      </c>
      <c r="E6" s="53" t="s">
        <v>456</v>
      </c>
      <c r="F6" s="30" t="s">
        <v>206</v>
      </c>
      <c r="G6" s="12">
        <v>1</v>
      </c>
      <c r="H6" s="13">
        <v>24</v>
      </c>
      <c r="I6" s="7">
        <v>1600</v>
      </c>
      <c r="J6" s="14">
        <v>2743</v>
      </c>
      <c r="K6" s="15">
        <f>L6</f>
        <v>2743</v>
      </c>
      <c r="L6" s="15">
        <f>2743</f>
        <v>2743</v>
      </c>
      <c r="M6" s="15">
        <f t="shared" ref="M6:M21" si="0">L6-N6</f>
        <v>2743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15</v>
      </c>
      <c r="Q6" s="40">
        <f t="shared" ref="Q6:Q21" si="3">SUM(R6:AA6)</f>
        <v>9</v>
      </c>
      <c r="R6" s="7"/>
      <c r="S6" s="6"/>
      <c r="T6" s="16"/>
      <c r="U6" s="16"/>
      <c r="V6" s="17"/>
      <c r="W6" s="5"/>
      <c r="X6" s="16"/>
      <c r="Y6" s="16"/>
      <c r="Z6" s="16"/>
      <c r="AA6" s="18">
        <v>9</v>
      </c>
      <c r="AB6" s="8">
        <f t="shared" ref="AB6:AB21" si="4">IF(J6=0,"0",(L6/J6))</f>
        <v>1</v>
      </c>
      <c r="AC6" s="9">
        <f t="shared" ref="AC6:AC21" si="5">IF(P6=0,"0",(P6/24))</f>
        <v>0.625</v>
      </c>
      <c r="AD6" s="10">
        <f t="shared" ref="AD6:AD21" si="6">AC6*AB6*(1-O6)</f>
        <v>0.625</v>
      </c>
      <c r="AE6" s="36">
        <f t="shared" ref="AE6:AE21" si="7">$AD$22</f>
        <v>0.57812500000000011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 t="s">
        <v>131</v>
      </c>
      <c r="E7" s="53" t="s">
        <v>139</v>
      </c>
      <c r="F7" s="12" t="s">
        <v>133</v>
      </c>
      <c r="G7" s="12">
        <v>1</v>
      </c>
      <c r="H7" s="13">
        <v>24</v>
      </c>
      <c r="I7" s="31">
        <v>50000</v>
      </c>
      <c r="J7" s="14">
        <v>6035</v>
      </c>
      <c r="K7" s="15">
        <f>L7+4913+5878+5650+6007+4705+3622+4848+4618+5210</f>
        <v>51486</v>
      </c>
      <c r="L7" s="15">
        <f>2979+3056</f>
        <v>6035</v>
      </c>
      <c r="M7" s="15">
        <f t="shared" si="0"/>
        <v>6035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0.57812500000000011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/>
      <c r="E8" s="53" t="s">
        <v>321</v>
      </c>
      <c r="F8" s="30" t="s">
        <v>340</v>
      </c>
      <c r="G8" s="33">
        <v>1</v>
      </c>
      <c r="H8" s="35">
        <v>24</v>
      </c>
      <c r="I8" s="7">
        <v>50500</v>
      </c>
      <c r="J8" s="5">
        <v>3016</v>
      </c>
      <c r="K8" s="15">
        <f>L8+4349+2445+5035+5245+5660+1855</f>
        <v>27605</v>
      </c>
      <c r="L8" s="15">
        <f>3016</f>
        <v>3016</v>
      </c>
      <c r="M8" s="15">
        <f t="shared" si="0"/>
        <v>3016</v>
      </c>
      <c r="N8" s="15">
        <v>0</v>
      </c>
      <c r="O8" s="58">
        <f t="shared" si="1"/>
        <v>0</v>
      </c>
      <c r="P8" s="39">
        <f t="shared" si="2"/>
        <v>14</v>
      </c>
      <c r="Q8" s="40">
        <f t="shared" si="3"/>
        <v>10</v>
      </c>
      <c r="R8" s="7"/>
      <c r="S8" s="6">
        <v>10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0.58333333333333337</v>
      </c>
      <c r="AD8" s="10">
        <f t="shared" si="6"/>
        <v>0.58333333333333337</v>
      </c>
      <c r="AE8" s="36">
        <f t="shared" si="7"/>
        <v>0.57812500000000011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119</v>
      </c>
      <c r="D9" s="52" t="s">
        <v>228</v>
      </c>
      <c r="E9" s="53" t="s">
        <v>369</v>
      </c>
      <c r="F9" s="30" t="s">
        <v>362</v>
      </c>
      <c r="G9" s="12">
        <v>1</v>
      </c>
      <c r="H9" s="13">
        <v>24</v>
      </c>
      <c r="I9" s="7">
        <v>20000</v>
      </c>
      <c r="J9" s="14">
        <v>6156</v>
      </c>
      <c r="K9" s="15">
        <f>L9+4978+5482+3821+5641</f>
        <v>26078</v>
      </c>
      <c r="L9" s="15">
        <f>3031+3125</f>
        <v>6156</v>
      </c>
      <c r="M9" s="15">
        <f t="shared" si="0"/>
        <v>6156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0.57812500000000011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147</v>
      </c>
      <c r="E10" s="53" t="s">
        <v>388</v>
      </c>
      <c r="F10" s="30" t="s">
        <v>127</v>
      </c>
      <c r="G10" s="33">
        <v>1</v>
      </c>
      <c r="H10" s="35">
        <v>24</v>
      </c>
      <c r="I10" s="7">
        <v>36000</v>
      </c>
      <c r="J10" s="14">
        <v>6353</v>
      </c>
      <c r="K10" s="15">
        <f>L10+3274+4039+5240</f>
        <v>18906</v>
      </c>
      <c r="L10" s="15">
        <f>3102+3251</f>
        <v>6353</v>
      </c>
      <c r="M10" s="15">
        <f t="shared" si="0"/>
        <v>6353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0.57812500000000011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263</v>
      </c>
      <c r="E11" s="53" t="s">
        <v>264</v>
      </c>
      <c r="F11" s="30" t="s">
        <v>206</v>
      </c>
      <c r="G11" s="33">
        <v>16</v>
      </c>
      <c r="H11" s="35">
        <v>24</v>
      </c>
      <c r="I11" s="7">
        <v>100000</v>
      </c>
      <c r="J11" s="14">
        <v>67990</v>
      </c>
      <c r="K11" s="15">
        <f>L11+49500+67990</f>
        <v>117490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0.57812500000000011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220</v>
      </c>
      <c r="F12" s="30" t="s">
        <v>142</v>
      </c>
      <c r="G12" s="12">
        <v>1</v>
      </c>
      <c r="H12" s="13">
        <v>22</v>
      </c>
      <c r="I12" s="31">
        <v>20000</v>
      </c>
      <c r="J12" s="5">
        <v>5057</v>
      </c>
      <c r="K12" s="15">
        <f>L12+4747+5011</f>
        <v>14815</v>
      </c>
      <c r="L12" s="15">
        <f>2485+2572</f>
        <v>5057</v>
      </c>
      <c r="M12" s="15">
        <f t="shared" si="0"/>
        <v>5057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0.57812500000000011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450</v>
      </c>
      <c r="D13" s="52"/>
      <c r="E13" s="53" t="s">
        <v>455</v>
      </c>
      <c r="F13" s="30" t="s">
        <v>168</v>
      </c>
      <c r="G13" s="33">
        <v>1</v>
      </c>
      <c r="H13" s="35">
        <v>24</v>
      </c>
      <c r="I13" s="7">
        <v>1000</v>
      </c>
      <c r="J13" s="14">
        <v>4308</v>
      </c>
      <c r="K13" s="15">
        <f>L13</f>
        <v>4308</v>
      </c>
      <c r="L13" s="15">
        <f>2363+1945</f>
        <v>4308</v>
      </c>
      <c r="M13" s="15">
        <f t="shared" si="0"/>
        <v>4308</v>
      </c>
      <c r="N13" s="15">
        <v>0</v>
      </c>
      <c r="O13" s="58">
        <f t="shared" si="1"/>
        <v>0</v>
      </c>
      <c r="P13" s="39">
        <f t="shared" si="2"/>
        <v>21</v>
      </c>
      <c r="Q13" s="40">
        <f t="shared" si="3"/>
        <v>3</v>
      </c>
      <c r="R13" s="7"/>
      <c r="S13" s="6"/>
      <c r="T13" s="16">
        <v>3</v>
      </c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0.875</v>
      </c>
      <c r="AD13" s="10">
        <f t="shared" si="6"/>
        <v>0.875</v>
      </c>
      <c r="AE13" s="36">
        <f t="shared" si="7"/>
        <v>0.57812500000000011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433</v>
      </c>
      <c r="F14" s="30" t="s">
        <v>169</v>
      </c>
      <c r="G14" s="33">
        <v>1</v>
      </c>
      <c r="H14" s="35">
        <v>50</v>
      </c>
      <c r="I14" s="7">
        <v>300</v>
      </c>
      <c r="J14" s="5"/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24</v>
      </c>
      <c r="AB14" s="8" t="str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0.57812500000000011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125</v>
      </c>
      <c r="E15" s="53" t="s">
        <v>150</v>
      </c>
      <c r="F15" s="12" t="s">
        <v>138</v>
      </c>
      <c r="G15" s="12">
        <v>1</v>
      </c>
      <c r="H15" s="13">
        <v>24</v>
      </c>
      <c r="I15" s="31">
        <v>6500</v>
      </c>
      <c r="J15" s="14">
        <v>5214</v>
      </c>
      <c r="K15" s="15">
        <f>L15+2059+5272+5214</f>
        <v>12545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0.57812500000000011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119</v>
      </c>
      <c r="D16" s="52" t="s">
        <v>399</v>
      </c>
      <c r="E16" s="53" t="s">
        <v>423</v>
      </c>
      <c r="F16" s="30" t="s">
        <v>169</v>
      </c>
      <c r="G16" s="12" t="s">
        <v>424</v>
      </c>
      <c r="H16" s="13">
        <v>24</v>
      </c>
      <c r="I16" s="7">
        <v>3000</v>
      </c>
      <c r="J16" s="14">
        <v>3086</v>
      </c>
      <c r="K16" s="15">
        <f>L16+4862+3086</f>
        <v>7948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0.57812500000000011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112</v>
      </c>
      <c r="D17" s="52" t="s">
        <v>376</v>
      </c>
      <c r="E17" s="53" t="s">
        <v>370</v>
      </c>
      <c r="F17" s="30" t="s">
        <v>206</v>
      </c>
      <c r="G17" s="12">
        <v>1</v>
      </c>
      <c r="H17" s="13">
        <v>24</v>
      </c>
      <c r="I17" s="7">
        <v>50</v>
      </c>
      <c r="J17" s="14">
        <v>50</v>
      </c>
      <c r="K17" s="15">
        <f>L17+50</f>
        <v>50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0.57812500000000011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457</v>
      </c>
      <c r="F18" s="30" t="s">
        <v>169</v>
      </c>
      <c r="G18" s="33">
        <v>1</v>
      </c>
      <c r="H18" s="35">
        <v>24</v>
      </c>
      <c r="I18" s="7">
        <v>1200</v>
      </c>
      <c r="J18" s="14">
        <v>3031</v>
      </c>
      <c r="K18" s="15">
        <f>L18</f>
        <v>3031</v>
      </c>
      <c r="L18" s="15">
        <f>384+2647</f>
        <v>3031</v>
      </c>
      <c r="M18" s="15">
        <f t="shared" si="0"/>
        <v>3031</v>
      </c>
      <c r="N18" s="15">
        <v>0</v>
      </c>
      <c r="O18" s="58">
        <f t="shared" si="1"/>
        <v>0</v>
      </c>
      <c r="P18" s="39">
        <f t="shared" si="2"/>
        <v>14</v>
      </c>
      <c r="Q18" s="40">
        <f t="shared" si="3"/>
        <v>10</v>
      </c>
      <c r="R18" s="7"/>
      <c r="S18" s="6">
        <v>10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0.58333333333333337</v>
      </c>
      <c r="AD18" s="10">
        <f t="shared" si="6"/>
        <v>0.58333333333333337</v>
      </c>
      <c r="AE18" s="36">
        <f t="shared" si="7"/>
        <v>0.57812500000000011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431</v>
      </c>
      <c r="F19" s="30" t="s">
        <v>169</v>
      </c>
      <c r="G19" s="33">
        <v>1</v>
      </c>
      <c r="H19" s="35">
        <v>24</v>
      </c>
      <c r="I19" s="7">
        <v>3200</v>
      </c>
      <c r="J19" s="14">
        <v>5201</v>
      </c>
      <c r="K19" s="15">
        <f>L19+3893+4921</f>
        <v>14015</v>
      </c>
      <c r="L19" s="15">
        <f>2531+2670</f>
        <v>5201</v>
      </c>
      <c r="M19" s="15">
        <f t="shared" si="0"/>
        <v>5201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0.57812500000000011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151</v>
      </c>
      <c r="F20" s="30" t="s">
        <v>142</v>
      </c>
      <c r="G20" s="12">
        <v>1</v>
      </c>
      <c r="H20" s="13">
        <v>24</v>
      </c>
      <c r="I20" s="7">
        <v>20000</v>
      </c>
      <c r="J20" s="14">
        <v>5525</v>
      </c>
      <c r="K20" s="15">
        <f>L20+5452</f>
        <v>10977</v>
      </c>
      <c r="L20" s="15">
        <f>2719+2806</f>
        <v>5525</v>
      </c>
      <c r="M20" s="15">
        <f t="shared" si="0"/>
        <v>5525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0.57812500000000011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140</v>
      </c>
      <c r="F21" s="12" t="s">
        <v>114</v>
      </c>
      <c r="G21" s="12">
        <v>4</v>
      </c>
      <c r="H21" s="35">
        <v>20</v>
      </c>
      <c r="I21" s="7">
        <v>500000</v>
      </c>
      <c r="J21" s="14">
        <v>39680</v>
      </c>
      <c r="K21" s="15">
        <f>L21+29516+33412+34840+28200+28768+36912+36276+35708+30492+36736+36104</f>
        <v>406644</v>
      </c>
      <c r="L21" s="15">
        <f>9920*4</f>
        <v>39680</v>
      </c>
      <c r="M21" s="15">
        <f t="shared" si="0"/>
        <v>39680</v>
      </c>
      <c r="N21" s="15">
        <v>0</v>
      </c>
      <c r="O21" s="58">
        <f t="shared" si="1"/>
        <v>0</v>
      </c>
      <c r="P21" s="39">
        <f t="shared" si="2"/>
        <v>14</v>
      </c>
      <c r="Q21" s="40">
        <f t="shared" si="3"/>
        <v>10</v>
      </c>
      <c r="R21" s="7"/>
      <c r="S21" s="6"/>
      <c r="T21" s="16"/>
      <c r="U21" s="16"/>
      <c r="V21" s="17">
        <v>10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0.58333333333333337</v>
      </c>
      <c r="AD21" s="10">
        <f t="shared" si="6"/>
        <v>0.58333333333333337</v>
      </c>
      <c r="AE21" s="36">
        <f t="shared" si="7"/>
        <v>0.57812500000000011</v>
      </c>
      <c r="AF21" s="84">
        <f t="shared" si="8"/>
        <v>16</v>
      </c>
    </row>
    <row r="22" spans="1:32" ht="31.5" customHeight="1" thickBot="1">
      <c r="A22" s="384" t="s">
        <v>34</v>
      </c>
      <c r="B22" s="385"/>
      <c r="C22" s="385"/>
      <c r="D22" s="385"/>
      <c r="E22" s="385"/>
      <c r="F22" s="385"/>
      <c r="G22" s="385"/>
      <c r="H22" s="386"/>
      <c r="I22" s="22">
        <f t="shared" ref="I22:N22" si="9">SUM(I6:I21)</f>
        <v>813350</v>
      </c>
      <c r="J22" s="19">
        <f t="shared" si="9"/>
        <v>163445</v>
      </c>
      <c r="K22" s="20">
        <f t="shared" si="9"/>
        <v>718641</v>
      </c>
      <c r="L22" s="21">
        <f t="shared" si="9"/>
        <v>87105</v>
      </c>
      <c r="M22" s="20">
        <f t="shared" si="9"/>
        <v>87105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222</v>
      </c>
      <c r="Q22" s="43">
        <f t="shared" si="10"/>
        <v>162</v>
      </c>
      <c r="R22" s="23">
        <f t="shared" si="10"/>
        <v>24</v>
      </c>
      <c r="S22" s="24">
        <f t="shared" si="10"/>
        <v>20</v>
      </c>
      <c r="T22" s="24">
        <f t="shared" si="10"/>
        <v>3</v>
      </c>
      <c r="U22" s="24">
        <f t="shared" si="10"/>
        <v>0</v>
      </c>
      <c r="V22" s="25">
        <f t="shared" si="10"/>
        <v>10</v>
      </c>
      <c r="W22" s="26">
        <f t="shared" si="10"/>
        <v>48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57</v>
      </c>
      <c r="AB22" s="28">
        <f>AVERAGE(AB6:AB21)</f>
        <v>0.73333333333333328</v>
      </c>
      <c r="AC22" s="4">
        <f>AVERAGE(AC6:AC21)</f>
        <v>0.57812500000000011</v>
      </c>
      <c r="AD22" s="4">
        <f>AVERAGE(AD6:AD21)</f>
        <v>0.57812500000000011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387" t="s">
        <v>45</v>
      </c>
      <c r="B49" s="387"/>
      <c r="C49" s="387"/>
      <c r="D49" s="387"/>
      <c r="E49" s="38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388" t="s">
        <v>464</v>
      </c>
      <c r="B50" s="389"/>
      <c r="C50" s="389"/>
      <c r="D50" s="389"/>
      <c r="E50" s="389"/>
      <c r="F50" s="389"/>
      <c r="G50" s="389"/>
      <c r="H50" s="389"/>
      <c r="I50" s="389"/>
      <c r="J50" s="389"/>
      <c r="K50" s="389"/>
      <c r="L50" s="389"/>
      <c r="M50" s="390"/>
      <c r="N50" s="391" t="s">
        <v>466</v>
      </c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  <c r="AA50" s="392"/>
      <c r="AB50" s="392"/>
      <c r="AC50" s="392"/>
      <c r="AD50" s="393"/>
    </row>
    <row r="51" spans="1:32" ht="27" customHeight="1">
      <c r="A51" s="394" t="s">
        <v>2</v>
      </c>
      <c r="B51" s="395"/>
      <c r="C51" s="267" t="s">
        <v>46</v>
      </c>
      <c r="D51" s="267" t="s">
        <v>47</v>
      </c>
      <c r="E51" s="267" t="s">
        <v>107</v>
      </c>
      <c r="F51" s="396" t="s">
        <v>106</v>
      </c>
      <c r="G51" s="397"/>
      <c r="H51" s="397"/>
      <c r="I51" s="397"/>
      <c r="J51" s="397"/>
      <c r="K51" s="397"/>
      <c r="L51" s="397"/>
      <c r="M51" s="398"/>
      <c r="N51" s="67" t="s">
        <v>110</v>
      </c>
      <c r="O51" s="267" t="s">
        <v>46</v>
      </c>
      <c r="P51" s="396" t="s">
        <v>47</v>
      </c>
      <c r="Q51" s="399"/>
      <c r="R51" s="396" t="s">
        <v>38</v>
      </c>
      <c r="S51" s="397"/>
      <c r="T51" s="397"/>
      <c r="U51" s="399"/>
      <c r="V51" s="396" t="s">
        <v>48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420" t="s">
        <v>118</v>
      </c>
      <c r="B52" s="421"/>
      <c r="C52" s="270" t="s">
        <v>255</v>
      </c>
      <c r="D52" s="270" t="s">
        <v>125</v>
      </c>
      <c r="E52" s="270" t="s">
        <v>456</v>
      </c>
      <c r="F52" s="412" t="s">
        <v>130</v>
      </c>
      <c r="G52" s="413"/>
      <c r="H52" s="413"/>
      <c r="I52" s="413"/>
      <c r="J52" s="413"/>
      <c r="K52" s="413"/>
      <c r="L52" s="413"/>
      <c r="M52" s="414"/>
      <c r="N52" s="269" t="s">
        <v>118</v>
      </c>
      <c r="O52" s="275" t="s">
        <v>184</v>
      </c>
      <c r="P52" s="415"/>
      <c r="Q52" s="416"/>
      <c r="R52" s="415" t="s">
        <v>457</v>
      </c>
      <c r="S52" s="417"/>
      <c r="T52" s="417"/>
      <c r="U52" s="416"/>
      <c r="V52" s="418" t="s">
        <v>126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10" t="s">
        <v>121</v>
      </c>
      <c r="B53" s="411"/>
      <c r="C53" s="268" t="s">
        <v>143</v>
      </c>
      <c r="D53" s="268"/>
      <c r="E53" s="270" t="s">
        <v>321</v>
      </c>
      <c r="F53" s="412" t="s">
        <v>465</v>
      </c>
      <c r="G53" s="413"/>
      <c r="H53" s="413"/>
      <c r="I53" s="413"/>
      <c r="J53" s="413"/>
      <c r="K53" s="413"/>
      <c r="L53" s="413"/>
      <c r="M53" s="414"/>
      <c r="N53" s="269" t="s">
        <v>112</v>
      </c>
      <c r="O53" s="275" t="s">
        <v>432</v>
      </c>
      <c r="P53" s="415" t="s">
        <v>115</v>
      </c>
      <c r="Q53" s="416"/>
      <c r="R53" s="415" t="s">
        <v>153</v>
      </c>
      <c r="S53" s="417"/>
      <c r="T53" s="417"/>
      <c r="U53" s="416"/>
      <c r="V53" s="418" t="s">
        <v>130</v>
      </c>
      <c r="W53" s="418"/>
      <c r="X53" s="418"/>
      <c r="Y53" s="418"/>
      <c r="Z53" s="418"/>
      <c r="AA53" s="418"/>
      <c r="AB53" s="418"/>
      <c r="AC53" s="418"/>
      <c r="AD53" s="419"/>
    </row>
    <row r="54" spans="1:32" ht="27" customHeight="1">
      <c r="A54" s="420" t="s">
        <v>450</v>
      </c>
      <c r="B54" s="421"/>
      <c r="C54" s="270" t="s">
        <v>136</v>
      </c>
      <c r="D54" s="270"/>
      <c r="E54" s="270" t="s">
        <v>455</v>
      </c>
      <c r="F54" s="412" t="s">
        <v>130</v>
      </c>
      <c r="G54" s="413"/>
      <c r="H54" s="413"/>
      <c r="I54" s="413"/>
      <c r="J54" s="413"/>
      <c r="K54" s="413"/>
      <c r="L54" s="413"/>
      <c r="M54" s="414"/>
      <c r="N54" s="269" t="s">
        <v>119</v>
      </c>
      <c r="O54" s="275" t="s">
        <v>230</v>
      </c>
      <c r="P54" s="415" t="s">
        <v>467</v>
      </c>
      <c r="Q54" s="416"/>
      <c r="R54" s="415" t="s">
        <v>468</v>
      </c>
      <c r="S54" s="417"/>
      <c r="T54" s="417"/>
      <c r="U54" s="416"/>
      <c r="V54" s="418" t="s">
        <v>469</v>
      </c>
      <c r="W54" s="418"/>
      <c r="X54" s="418"/>
      <c r="Y54" s="418"/>
      <c r="Z54" s="418"/>
      <c r="AA54" s="418"/>
      <c r="AB54" s="418"/>
      <c r="AC54" s="418"/>
      <c r="AD54" s="419"/>
    </row>
    <row r="55" spans="1:32" ht="27" customHeight="1">
      <c r="A55" s="410" t="s">
        <v>118</v>
      </c>
      <c r="B55" s="411"/>
      <c r="C55" s="268" t="s">
        <v>184</v>
      </c>
      <c r="D55" s="268" t="s">
        <v>115</v>
      </c>
      <c r="E55" s="270" t="s">
        <v>457</v>
      </c>
      <c r="F55" s="412" t="s">
        <v>181</v>
      </c>
      <c r="G55" s="413"/>
      <c r="H55" s="413"/>
      <c r="I55" s="413"/>
      <c r="J55" s="413"/>
      <c r="K55" s="413"/>
      <c r="L55" s="413"/>
      <c r="M55" s="414"/>
      <c r="N55" s="269"/>
      <c r="O55" s="275"/>
      <c r="P55" s="415"/>
      <c r="Q55" s="416"/>
      <c r="R55" s="415"/>
      <c r="S55" s="417"/>
      <c r="T55" s="417"/>
      <c r="U55" s="416"/>
      <c r="V55" s="418"/>
      <c r="W55" s="418"/>
      <c r="X55" s="418"/>
      <c r="Y55" s="418"/>
      <c r="Z55" s="418"/>
      <c r="AA55" s="418"/>
      <c r="AB55" s="418"/>
      <c r="AC55" s="418"/>
      <c r="AD55" s="419"/>
    </row>
    <row r="56" spans="1:32" ht="27" customHeight="1">
      <c r="A56" s="410"/>
      <c r="B56" s="411"/>
      <c r="C56" s="268"/>
      <c r="D56" s="268"/>
      <c r="E56" s="270"/>
      <c r="F56" s="412"/>
      <c r="G56" s="413"/>
      <c r="H56" s="413"/>
      <c r="I56" s="413"/>
      <c r="J56" s="413"/>
      <c r="K56" s="413"/>
      <c r="L56" s="413"/>
      <c r="M56" s="414"/>
      <c r="N56" s="269"/>
      <c r="O56" s="275"/>
      <c r="P56" s="415"/>
      <c r="Q56" s="416"/>
      <c r="R56" s="415"/>
      <c r="S56" s="417"/>
      <c r="T56" s="417"/>
      <c r="U56" s="416"/>
      <c r="V56" s="418"/>
      <c r="W56" s="418"/>
      <c r="X56" s="418"/>
      <c r="Y56" s="418"/>
      <c r="Z56" s="418"/>
      <c r="AA56" s="418"/>
      <c r="AB56" s="418"/>
      <c r="AC56" s="418"/>
      <c r="AD56" s="419"/>
    </row>
    <row r="57" spans="1:32" ht="27" customHeight="1">
      <c r="A57" s="410"/>
      <c r="B57" s="411"/>
      <c r="C57" s="268"/>
      <c r="D57" s="268"/>
      <c r="E57" s="270"/>
      <c r="F57" s="412"/>
      <c r="G57" s="413"/>
      <c r="H57" s="413"/>
      <c r="I57" s="413"/>
      <c r="J57" s="413"/>
      <c r="K57" s="413"/>
      <c r="L57" s="413"/>
      <c r="M57" s="414"/>
      <c r="N57" s="269"/>
      <c r="O57" s="275"/>
      <c r="P57" s="415"/>
      <c r="Q57" s="416"/>
      <c r="R57" s="415"/>
      <c r="S57" s="417"/>
      <c r="T57" s="417"/>
      <c r="U57" s="416"/>
      <c r="V57" s="418"/>
      <c r="W57" s="418"/>
      <c r="X57" s="418"/>
      <c r="Y57" s="418"/>
      <c r="Z57" s="418"/>
      <c r="AA57" s="418"/>
      <c r="AB57" s="418"/>
      <c r="AC57" s="418"/>
      <c r="AD57" s="419"/>
    </row>
    <row r="58" spans="1:32" ht="27" customHeight="1">
      <c r="A58" s="410"/>
      <c r="B58" s="411"/>
      <c r="C58" s="268"/>
      <c r="D58" s="268"/>
      <c r="E58" s="270"/>
      <c r="F58" s="412"/>
      <c r="G58" s="413"/>
      <c r="H58" s="413"/>
      <c r="I58" s="413"/>
      <c r="J58" s="413"/>
      <c r="K58" s="413"/>
      <c r="L58" s="413"/>
      <c r="M58" s="414"/>
      <c r="N58" s="269"/>
      <c r="O58" s="275"/>
      <c r="P58" s="415"/>
      <c r="Q58" s="416"/>
      <c r="R58" s="415"/>
      <c r="S58" s="417"/>
      <c r="T58" s="417"/>
      <c r="U58" s="416"/>
      <c r="V58" s="418"/>
      <c r="W58" s="418"/>
      <c r="X58" s="418"/>
      <c r="Y58" s="418"/>
      <c r="Z58" s="418"/>
      <c r="AA58" s="418"/>
      <c r="AB58" s="418"/>
      <c r="AC58" s="418"/>
      <c r="AD58" s="419"/>
    </row>
    <row r="59" spans="1:32" ht="27" customHeight="1">
      <c r="A59" s="420"/>
      <c r="B59" s="421"/>
      <c r="C59" s="270"/>
      <c r="D59" s="270"/>
      <c r="E59" s="270"/>
      <c r="F59" s="412"/>
      <c r="G59" s="413"/>
      <c r="H59" s="413"/>
      <c r="I59" s="413"/>
      <c r="J59" s="413"/>
      <c r="K59" s="413"/>
      <c r="L59" s="413"/>
      <c r="M59" s="414"/>
      <c r="N59" s="269"/>
      <c r="O59" s="275"/>
      <c r="P59" s="415"/>
      <c r="Q59" s="416"/>
      <c r="R59" s="421"/>
      <c r="S59" s="421"/>
      <c r="T59" s="421"/>
      <c r="U59" s="421"/>
      <c r="V59" s="418"/>
      <c r="W59" s="418"/>
      <c r="X59" s="418"/>
      <c r="Y59" s="418"/>
      <c r="Z59" s="418"/>
      <c r="AA59" s="418"/>
      <c r="AB59" s="418"/>
      <c r="AC59" s="418"/>
      <c r="AD59" s="419"/>
    </row>
    <row r="60" spans="1:32" ht="27" customHeight="1">
      <c r="A60" s="410"/>
      <c r="B60" s="411"/>
      <c r="C60" s="268"/>
      <c r="D60" s="268"/>
      <c r="E60" s="270"/>
      <c r="F60" s="412"/>
      <c r="G60" s="413"/>
      <c r="H60" s="413"/>
      <c r="I60" s="413"/>
      <c r="J60" s="413"/>
      <c r="K60" s="413"/>
      <c r="L60" s="413"/>
      <c r="M60" s="414"/>
      <c r="N60" s="269"/>
      <c r="O60" s="275"/>
      <c r="P60" s="421"/>
      <c r="Q60" s="421"/>
      <c r="R60" s="421"/>
      <c r="S60" s="421"/>
      <c r="T60" s="421"/>
      <c r="U60" s="421"/>
      <c r="V60" s="418"/>
      <c r="W60" s="418"/>
      <c r="X60" s="418"/>
      <c r="Y60" s="418"/>
      <c r="Z60" s="418"/>
      <c r="AA60" s="418"/>
      <c r="AB60" s="418"/>
      <c r="AC60" s="418"/>
      <c r="AD60" s="419"/>
      <c r="AF60" s="84">
        <f>8*3000</f>
        <v>24000</v>
      </c>
    </row>
    <row r="61" spans="1:32" ht="27" customHeight="1" thickBot="1">
      <c r="A61" s="422"/>
      <c r="B61" s="423"/>
      <c r="C61" s="271"/>
      <c r="D61" s="272"/>
      <c r="E61" s="272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30" t="s">
        <v>470</v>
      </c>
      <c r="B62" s="430"/>
      <c r="C62" s="430"/>
      <c r="D62" s="430"/>
      <c r="E62" s="43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31" t="s">
        <v>111</v>
      </c>
      <c r="B63" s="432"/>
      <c r="C63" s="273" t="s">
        <v>2</v>
      </c>
      <c r="D63" s="273" t="s">
        <v>37</v>
      </c>
      <c r="E63" s="273" t="s">
        <v>3</v>
      </c>
      <c r="F63" s="432" t="s">
        <v>109</v>
      </c>
      <c r="G63" s="432"/>
      <c r="H63" s="432"/>
      <c r="I63" s="432"/>
      <c r="J63" s="432"/>
      <c r="K63" s="432" t="s">
        <v>39</v>
      </c>
      <c r="L63" s="432"/>
      <c r="M63" s="273" t="s">
        <v>40</v>
      </c>
      <c r="N63" s="432" t="s">
        <v>41</v>
      </c>
      <c r="O63" s="432"/>
      <c r="P63" s="433" t="s">
        <v>42</v>
      </c>
      <c r="Q63" s="434"/>
      <c r="R63" s="433" t="s">
        <v>43</v>
      </c>
      <c r="S63" s="435"/>
      <c r="T63" s="435"/>
      <c r="U63" s="435"/>
      <c r="V63" s="435"/>
      <c r="W63" s="435"/>
      <c r="X63" s="435"/>
      <c r="Y63" s="435"/>
      <c r="Z63" s="435"/>
      <c r="AA63" s="434"/>
      <c r="AB63" s="432" t="s">
        <v>44</v>
      </c>
      <c r="AC63" s="432"/>
      <c r="AD63" s="436"/>
      <c r="AF63" s="84">
        <f>SUM(AF60:AF62)</f>
        <v>96000</v>
      </c>
    </row>
    <row r="64" spans="1:32" ht="25.5" customHeight="1">
      <c r="A64" s="437">
        <v>1</v>
      </c>
      <c r="B64" s="438"/>
      <c r="C64" s="104" t="s">
        <v>121</v>
      </c>
      <c r="D64" s="277"/>
      <c r="E64" s="274"/>
      <c r="F64" s="439" t="s">
        <v>471</v>
      </c>
      <c r="G64" s="440"/>
      <c r="H64" s="440"/>
      <c r="I64" s="440"/>
      <c r="J64" s="441"/>
      <c r="K64" s="442" t="s">
        <v>473</v>
      </c>
      <c r="L64" s="442"/>
      <c r="M64" s="51" t="s">
        <v>474</v>
      </c>
      <c r="N64" s="443" t="s">
        <v>255</v>
      </c>
      <c r="O64" s="443"/>
      <c r="P64" s="444" t="s">
        <v>475</v>
      </c>
      <c r="Q64" s="444"/>
      <c r="R64" s="418"/>
      <c r="S64" s="418"/>
      <c r="T64" s="418"/>
      <c r="U64" s="418"/>
      <c r="V64" s="418"/>
      <c r="W64" s="418"/>
      <c r="X64" s="418"/>
      <c r="Y64" s="418"/>
      <c r="Z64" s="418"/>
      <c r="AA64" s="418"/>
      <c r="AB64" s="442"/>
      <c r="AC64" s="442"/>
      <c r="AD64" s="445"/>
      <c r="AF64" s="50"/>
    </row>
    <row r="65" spans="1:32" ht="25.5" customHeight="1">
      <c r="A65" s="437">
        <v>2</v>
      </c>
      <c r="B65" s="438"/>
      <c r="C65" s="104" t="s">
        <v>121</v>
      </c>
      <c r="D65" s="277"/>
      <c r="E65" s="274"/>
      <c r="F65" s="439" t="s">
        <v>472</v>
      </c>
      <c r="G65" s="440"/>
      <c r="H65" s="440"/>
      <c r="I65" s="440"/>
      <c r="J65" s="441"/>
      <c r="K65" s="442" t="s">
        <v>473</v>
      </c>
      <c r="L65" s="442"/>
      <c r="M65" s="51" t="s">
        <v>474</v>
      </c>
      <c r="N65" s="443" t="s">
        <v>145</v>
      </c>
      <c r="O65" s="443"/>
      <c r="P65" s="444" t="s">
        <v>475</v>
      </c>
      <c r="Q65" s="444"/>
      <c r="R65" s="418"/>
      <c r="S65" s="418"/>
      <c r="T65" s="418"/>
      <c r="U65" s="418"/>
      <c r="V65" s="418"/>
      <c r="W65" s="418"/>
      <c r="X65" s="418"/>
      <c r="Y65" s="418"/>
      <c r="Z65" s="418"/>
      <c r="AA65" s="418"/>
      <c r="AB65" s="442"/>
      <c r="AC65" s="442"/>
      <c r="AD65" s="445"/>
      <c r="AF65" s="50"/>
    </row>
    <row r="66" spans="1:32" ht="25.5" customHeight="1">
      <c r="A66" s="437">
        <v>3</v>
      </c>
      <c r="B66" s="438"/>
      <c r="C66" s="104" t="s">
        <v>112</v>
      </c>
      <c r="D66" s="277"/>
      <c r="E66" s="274" t="s">
        <v>115</v>
      </c>
      <c r="F66" s="439" t="s">
        <v>476</v>
      </c>
      <c r="G66" s="440"/>
      <c r="H66" s="440"/>
      <c r="I66" s="440"/>
      <c r="J66" s="441"/>
      <c r="K66" s="442" t="s">
        <v>477</v>
      </c>
      <c r="L66" s="442"/>
      <c r="M66" s="51" t="s">
        <v>358</v>
      </c>
      <c r="N66" s="443" t="s">
        <v>432</v>
      </c>
      <c r="O66" s="443"/>
      <c r="P66" s="444">
        <v>50</v>
      </c>
      <c r="Q66" s="444"/>
      <c r="R66" s="418"/>
      <c r="S66" s="418"/>
      <c r="T66" s="418"/>
      <c r="U66" s="418"/>
      <c r="V66" s="418"/>
      <c r="W66" s="418"/>
      <c r="X66" s="418"/>
      <c r="Y66" s="418"/>
      <c r="Z66" s="418"/>
      <c r="AA66" s="418"/>
      <c r="AB66" s="442"/>
      <c r="AC66" s="442"/>
      <c r="AD66" s="445"/>
      <c r="AF66" s="50"/>
    </row>
    <row r="67" spans="1:32" ht="25.5" customHeight="1">
      <c r="A67" s="437">
        <v>4</v>
      </c>
      <c r="B67" s="438"/>
      <c r="C67" s="104" t="s">
        <v>118</v>
      </c>
      <c r="D67" s="277"/>
      <c r="E67" s="274" t="s">
        <v>131</v>
      </c>
      <c r="F67" s="439" t="s">
        <v>406</v>
      </c>
      <c r="G67" s="440"/>
      <c r="H67" s="440"/>
      <c r="I67" s="440"/>
      <c r="J67" s="441"/>
      <c r="K67" s="442" t="s">
        <v>403</v>
      </c>
      <c r="L67" s="442"/>
      <c r="M67" s="51" t="s">
        <v>141</v>
      </c>
      <c r="N67" s="443" t="s">
        <v>335</v>
      </c>
      <c r="O67" s="443"/>
      <c r="P67" s="444">
        <v>200</v>
      </c>
      <c r="Q67" s="444"/>
      <c r="R67" s="418"/>
      <c r="S67" s="418"/>
      <c r="T67" s="418"/>
      <c r="U67" s="418"/>
      <c r="V67" s="418"/>
      <c r="W67" s="418"/>
      <c r="X67" s="418"/>
      <c r="Y67" s="418"/>
      <c r="Z67" s="418"/>
      <c r="AA67" s="418"/>
      <c r="AB67" s="442"/>
      <c r="AC67" s="442"/>
      <c r="AD67" s="445"/>
      <c r="AF67" s="50"/>
    </row>
    <row r="68" spans="1:32" ht="25.5" customHeight="1">
      <c r="A68" s="437">
        <v>5</v>
      </c>
      <c r="B68" s="438"/>
      <c r="C68" s="104"/>
      <c r="D68" s="277"/>
      <c r="E68" s="274"/>
      <c r="F68" s="439"/>
      <c r="G68" s="440"/>
      <c r="H68" s="440"/>
      <c r="I68" s="440"/>
      <c r="J68" s="441"/>
      <c r="K68" s="442"/>
      <c r="L68" s="442"/>
      <c r="M68" s="51"/>
      <c r="N68" s="443"/>
      <c r="O68" s="443"/>
      <c r="P68" s="444"/>
      <c r="Q68" s="444"/>
      <c r="R68" s="418"/>
      <c r="S68" s="418"/>
      <c r="T68" s="418"/>
      <c r="U68" s="418"/>
      <c r="V68" s="418"/>
      <c r="W68" s="418"/>
      <c r="X68" s="418"/>
      <c r="Y68" s="418"/>
      <c r="Z68" s="418"/>
      <c r="AA68" s="418"/>
      <c r="AB68" s="442"/>
      <c r="AC68" s="442"/>
      <c r="AD68" s="445"/>
      <c r="AF68" s="50"/>
    </row>
    <row r="69" spans="1:32" ht="25.5" customHeight="1">
      <c r="A69" s="437">
        <v>6</v>
      </c>
      <c r="B69" s="438"/>
      <c r="C69" s="104"/>
      <c r="D69" s="277"/>
      <c r="E69" s="274"/>
      <c r="F69" s="439"/>
      <c r="G69" s="440"/>
      <c r="H69" s="440"/>
      <c r="I69" s="440"/>
      <c r="J69" s="441"/>
      <c r="K69" s="442"/>
      <c r="L69" s="442"/>
      <c r="M69" s="51"/>
      <c r="N69" s="443"/>
      <c r="O69" s="443"/>
      <c r="P69" s="444"/>
      <c r="Q69" s="444"/>
      <c r="R69" s="418"/>
      <c r="S69" s="418"/>
      <c r="T69" s="418"/>
      <c r="U69" s="418"/>
      <c r="V69" s="418"/>
      <c r="W69" s="418"/>
      <c r="X69" s="418"/>
      <c r="Y69" s="418"/>
      <c r="Z69" s="418"/>
      <c r="AA69" s="418"/>
      <c r="AB69" s="442"/>
      <c r="AC69" s="442"/>
      <c r="AD69" s="445"/>
      <c r="AF69" s="50"/>
    </row>
    <row r="70" spans="1:32" ht="25.5" customHeight="1">
      <c r="A70" s="437">
        <v>7</v>
      </c>
      <c r="B70" s="438"/>
      <c r="C70" s="104"/>
      <c r="D70" s="277"/>
      <c r="E70" s="274"/>
      <c r="F70" s="447"/>
      <c r="G70" s="442"/>
      <c r="H70" s="442"/>
      <c r="I70" s="442"/>
      <c r="J70" s="442"/>
      <c r="K70" s="442"/>
      <c r="L70" s="442"/>
      <c r="M70" s="51"/>
      <c r="N70" s="443"/>
      <c r="O70" s="443"/>
      <c r="P70" s="444"/>
      <c r="Q70" s="444"/>
      <c r="R70" s="418"/>
      <c r="S70" s="418"/>
      <c r="T70" s="418"/>
      <c r="U70" s="418"/>
      <c r="V70" s="418"/>
      <c r="W70" s="418"/>
      <c r="X70" s="418"/>
      <c r="Y70" s="418"/>
      <c r="Z70" s="418"/>
      <c r="AA70" s="418"/>
      <c r="AB70" s="442"/>
      <c r="AC70" s="442"/>
      <c r="AD70" s="445"/>
      <c r="AF70" s="50"/>
    </row>
    <row r="71" spans="1:32" ht="25.5" customHeight="1">
      <c r="A71" s="437">
        <v>8</v>
      </c>
      <c r="B71" s="438"/>
      <c r="C71" s="104"/>
      <c r="D71" s="277"/>
      <c r="E71" s="274"/>
      <c r="F71" s="447"/>
      <c r="G71" s="442"/>
      <c r="H71" s="442"/>
      <c r="I71" s="442"/>
      <c r="J71" s="442"/>
      <c r="K71" s="442"/>
      <c r="L71" s="442"/>
      <c r="M71" s="51"/>
      <c r="N71" s="443"/>
      <c r="O71" s="443"/>
      <c r="P71" s="444"/>
      <c r="Q71" s="444"/>
      <c r="R71" s="418"/>
      <c r="S71" s="418"/>
      <c r="T71" s="418"/>
      <c r="U71" s="418"/>
      <c r="V71" s="418"/>
      <c r="W71" s="418"/>
      <c r="X71" s="418"/>
      <c r="Y71" s="418"/>
      <c r="Z71" s="418"/>
      <c r="AA71" s="418"/>
      <c r="AB71" s="442"/>
      <c r="AC71" s="442"/>
      <c r="AD71" s="445"/>
      <c r="AF71" s="50"/>
    </row>
    <row r="72" spans="1:32" ht="25.5" customHeight="1">
      <c r="A72" s="437">
        <v>9</v>
      </c>
      <c r="B72" s="438"/>
      <c r="C72" s="104"/>
      <c r="D72" s="277"/>
      <c r="E72" s="274"/>
      <c r="F72" s="447"/>
      <c r="G72" s="442"/>
      <c r="H72" s="442"/>
      <c r="I72" s="442"/>
      <c r="J72" s="442"/>
      <c r="K72" s="442"/>
      <c r="L72" s="442"/>
      <c r="M72" s="51"/>
      <c r="N72" s="443"/>
      <c r="O72" s="443"/>
      <c r="P72" s="444"/>
      <c r="Q72" s="444"/>
      <c r="R72" s="418"/>
      <c r="S72" s="418"/>
      <c r="T72" s="418"/>
      <c r="U72" s="418"/>
      <c r="V72" s="418"/>
      <c r="W72" s="418"/>
      <c r="X72" s="418"/>
      <c r="Y72" s="418"/>
      <c r="Z72" s="418"/>
      <c r="AA72" s="418"/>
      <c r="AB72" s="442"/>
      <c r="AC72" s="442"/>
      <c r="AD72" s="445"/>
      <c r="AF72" s="50"/>
    </row>
    <row r="73" spans="1:32" ht="25.5" customHeight="1">
      <c r="A73" s="437">
        <v>10</v>
      </c>
      <c r="B73" s="438"/>
      <c r="C73" s="104"/>
      <c r="D73" s="277"/>
      <c r="E73" s="274"/>
      <c r="F73" s="447"/>
      <c r="G73" s="442"/>
      <c r="H73" s="442"/>
      <c r="I73" s="442"/>
      <c r="J73" s="442"/>
      <c r="K73" s="442"/>
      <c r="L73" s="442"/>
      <c r="M73" s="51"/>
      <c r="N73" s="443"/>
      <c r="O73" s="443"/>
      <c r="P73" s="444"/>
      <c r="Q73" s="444"/>
      <c r="R73" s="418"/>
      <c r="S73" s="418"/>
      <c r="T73" s="418"/>
      <c r="U73" s="418"/>
      <c r="V73" s="418"/>
      <c r="W73" s="418"/>
      <c r="X73" s="418"/>
      <c r="Y73" s="418"/>
      <c r="Z73" s="418"/>
      <c r="AA73" s="418"/>
      <c r="AB73" s="442"/>
      <c r="AC73" s="442"/>
      <c r="AD73" s="445"/>
      <c r="AF73" s="50"/>
    </row>
    <row r="74" spans="1:32" ht="26.25" customHeight="1" thickBot="1">
      <c r="A74" s="448" t="s">
        <v>478</v>
      </c>
      <c r="B74" s="448"/>
      <c r="C74" s="448"/>
      <c r="D74" s="448"/>
      <c r="E74" s="44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49" t="s">
        <v>134</v>
      </c>
      <c r="B75" s="450"/>
      <c r="C75" s="276" t="s">
        <v>2</v>
      </c>
      <c r="D75" s="276" t="s">
        <v>37</v>
      </c>
      <c r="E75" s="276" t="s">
        <v>128</v>
      </c>
      <c r="F75" s="450" t="s">
        <v>38</v>
      </c>
      <c r="G75" s="450"/>
      <c r="H75" s="450"/>
      <c r="I75" s="450"/>
      <c r="J75" s="450"/>
      <c r="K75" s="451" t="s">
        <v>58</v>
      </c>
      <c r="L75" s="452"/>
      <c r="M75" s="452"/>
      <c r="N75" s="452"/>
      <c r="O75" s="452"/>
      <c r="P75" s="452"/>
      <c r="Q75" s="452"/>
      <c r="R75" s="452"/>
      <c r="S75" s="453"/>
      <c r="T75" s="450" t="s">
        <v>49</v>
      </c>
      <c r="U75" s="450"/>
      <c r="V75" s="451" t="s">
        <v>50</v>
      </c>
      <c r="W75" s="453"/>
      <c r="X75" s="452" t="s">
        <v>51</v>
      </c>
      <c r="Y75" s="452"/>
      <c r="Z75" s="452"/>
      <c r="AA75" s="452"/>
      <c r="AB75" s="452"/>
      <c r="AC75" s="452"/>
      <c r="AD75" s="454"/>
      <c r="AF75" s="50"/>
    </row>
    <row r="76" spans="1:32" ht="33.75" customHeight="1">
      <c r="A76" s="463">
        <v>1</v>
      </c>
      <c r="B76" s="464"/>
      <c r="C76" s="278" t="s">
        <v>112</v>
      </c>
      <c r="D76" s="278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44118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55">
        <f>A76+1</f>
        <v>2</v>
      </c>
      <c r="B77" s="456"/>
      <c r="C77" s="277"/>
      <c r="D77" s="277"/>
      <c r="E77" s="32"/>
      <c r="F77" s="456"/>
      <c r="G77" s="456"/>
      <c r="H77" s="456"/>
      <c r="I77" s="456"/>
      <c r="J77" s="456"/>
      <c r="K77" s="457"/>
      <c r="L77" s="458"/>
      <c r="M77" s="458"/>
      <c r="N77" s="458"/>
      <c r="O77" s="458"/>
      <c r="P77" s="458"/>
      <c r="Q77" s="458"/>
      <c r="R77" s="458"/>
      <c r="S77" s="459"/>
      <c r="T77" s="460"/>
      <c r="U77" s="460"/>
      <c r="V77" s="460"/>
      <c r="W77" s="460"/>
      <c r="X77" s="461"/>
      <c r="Y77" s="461"/>
      <c r="Z77" s="461"/>
      <c r="AA77" s="461"/>
      <c r="AB77" s="461"/>
      <c r="AC77" s="461"/>
      <c r="AD77" s="462"/>
      <c r="AF77" s="50"/>
    </row>
    <row r="78" spans="1:32" ht="30" customHeight="1">
      <c r="A78" s="455">
        <f t="shared" ref="A78:A82" si="11">A77+1</f>
        <v>3</v>
      </c>
      <c r="B78" s="456"/>
      <c r="C78" s="277"/>
      <c r="D78" s="277"/>
      <c r="E78" s="32"/>
      <c r="F78" s="456"/>
      <c r="G78" s="456"/>
      <c r="H78" s="456"/>
      <c r="I78" s="456"/>
      <c r="J78" s="456"/>
      <c r="K78" s="457"/>
      <c r="L78" s="458"/>
      <c r="M78" s="458"/>
      <c r="N78" s="458"/>
      <c r="O78" s="458"/>
      <c r="P78" s="458"/>
      <c r="Q78" s="458"/>
      <c r="R78" s="458"/>
      <c r="S78" s="459"/>
      <c r="T78" s="460"/>
      <c r="U78" s="460"/>
      <c r="V78" s="460"/>
      <c r="W78" s="460"/>
      <c r="X78" s="461"/>
      <c r="Y78" s="461"/>
      <c r="Z78" s="461"/>
      <c r="AA78" s="461"/>
      <c r="AB78" s="461"/>
      <c r="AC78" s="461"/>
      <c r="AD78" s="462"/>
      <c r="AF78" s="50"/>
    </row>
    <row r="79" spans="1:32" ht="30" customHeight="1">
      <c r="A79" s="455">
        <f t="shared" si="11"/>
        <v>4</v>
      </c>
      <c r="B79" s="456"/>
      <c r="C79" s="277"/>
      <c r="D79" s="277"/>
      <c r="E79" s="32"/>
      <c r="F79" s="456"/>
      <c r="G79" s="456"/>
      <c r="H79" s="456"/>
      <c r="I79" s="456"/>
      <c r="J79" s="456"/>
      <c r="K79" s="457"/>
      <c r="L79" s="458"/>
      <c r="M79" s="458"/>
      <c r="N79" s="458"/>
      <c r="O79" s="458"/>
      <c r="P79" s="458"/>
      <c r="Q79" s="458"/>
      <c r="R79" s="458"/>
      <c r="S79" s="459"/>
      <c r="T79" s="460"/>
      <c r="U79" s="460"/>
      <c r="V79" s="460"/>
      <c r="W79" s="460"/>
      <c r="X79" s="461"/>
      <c r="Y79" s="461"/>
      <c r="Z79" s="461"/>
      <c r="AA79" s="461"/>
      <c r="AB79" s="461"/>
      <c r="AC79" s="461"/>
      <c r="AD79" s="462"/>
      <c r="AF79" s="50"/>
    </row>
    <row r="80" spans="1:32" ht="30" customHeight="1">
      <c r="A80" s="455">
        <f t="shared" si="11"/>
        <v>5</v>
      </c>
      <c r="B80" s="456"/>
      <c r="C80" s="277"/>
      <c r="D80" s="277"/>
      <c r="E80" s="32"/>
      <c r="F80" s="456"/>
      <c r="G80" s="456"/>
      <c r="H80" s="456"/>
      <c r="I80" s="456"/>
      <c r="J80" s="456"/>
      <c r="K80" s="457"/>
      <c r="L80" s="458"/>
      <c r="M80" s="458"/>
      <c r="N80" s="458"/>
      <c r="O80" s="458"/>
      <c r="P80" s="458"/>
      <c r="Q80" s="458"/>
      <c r="R80" s="458"/>
      <c r="S80" s="459"/>
      <c r="T80" s="460"/>
      <c r="U80" s="460"/>
      <c r="V80" s="460"/>
      <c r="W80" s="460"/>
      <c r="X80" s="461"/>
      <c r="Y80" s="461"/>
      <c r="Z80" s="461"/>
      <c r="AA80" s="461"/>
      <c r="AB80" s="461"/>
      <c r="AC80" s="461"/>
      <c r="AD80" s="462"/>
      <c r="AF80" s="50"/>
    </row>
    <row r="81" spans="1:32" ht="30" customHeight="1">
      <c r="A81" s="455">
        <f t="shared" si="11"/>
        <v>6</v>
      </c>
      <c r="B81" s="456"/>
      <c r="C81" s="277"/>
      <c r="D81" s="277"/>
      <c r="E81" s="32"/>
      <c r="F81" s="456"/>
      <c r="G81" s="456"/>
      <c r="H81" s="456"/>
      <c r="I81" s="456"/>
      <c r="J81" s="456"/>
      <c r="K81" s="457"/>
      <c r="L81" s="458"/>
      <c r="M81" s="458"/>
      <c r="N81" s="458"/>
      <c r="O81" s="458"/>
      <c r="P81" s="458"/>
      <c r="Q81" s="458"/>
      <c r="R81" s="458"/>
      <c r="S81" s="459"/>
      <c r="T81" s="460"/>
      <c r="U81" s="460"/>
      <c r="V81" s="460"/>
      <c r="W81" s="460"/>
      <c r="X81" s="461"/>
      <c r="Y81" s="461"/>
      <c r="Z81" s="461"/>
      <c r="AA81" s="461"/>
      <c r="AB81" s="461"/>
      <c r="AC81" s="461"/>
      <c r="AD81" s="462"/>
      <c r="AF81" s="50"/>
    </row>
    <row r="82" spans="1:32" ht="30" customHeight="1">
      <c r="A82" s="455">
        <f t="shared" si="11"/>
        <v>7</v>
      </c>
      <c r="B82" s="456"/>
      <c r="C82" s="277"/>
      <c r="D82" s="277"/>
      <c r="E82" s="32"/>
      <c r="F82" s="456"/>
      <c r="G82" s="456"/>
      <c r="H82" s="456"/>
      <c r="I82" s="456"/>
      <c r="J82" s="456"/>
      <c r="K82" s="457"/>
      <c r="L82" s="458"/>
      <c r="M82" s="458"/>
      <c r="N82" s="458"/>
      <c r="O82" s="458"/>
      <c r="P82" s="458"/>
      <c r="Q82" s="458"/>
      <c r="R82" s="458"/>
      <c r="S82" s="459"/>
      <c r="T82" s="460"/>
      <c r="U82" s="460"/>
      <c r="V82" s="460"/>
      <c r="W82" s="460"/>
      <c r="X82" s="461"/>
      <c r="Y82" s="461"/>
      <c r="Z82" s="461"/>
      <c r="AA82" s="461"/>
      <c r="AB82" s="461"/>
      <c r="AC82" s="461"/>
      <c r="AD82" s="462"/>
      <c r="AF82" s="50"/>
    </row>
    <row r="83" spans="1:32" ht="36" thickBot="1">
      <c r="A83" s="448" t="s">
        <v>479</v>
      </c>
      <c r="B83" s="448"/>
      <c r="C83" s="448"/>
      <c r="D83" s="448"/>
      <c r="E83" s="44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49" t="s">
        <v>111</v>
      </c>
      <c r="B84" s="450"/>
      <c r="C84" s="476" t="s">
        <v>52</v>
      </c>
      <c r="D84" s="476"/>
      <c r="E84" s="476" t="s">
        <v>53</v>
      </c>
      <c r="F84" s="476"/>
      <c r="G84" s="476"/>
      <c r="H84" s="476"/>
      <c r="I84" s="476"/>
      <c r="J84" s="476"/>
      <c r="K84" s="476" t="s">
        <v>54</v>
      </c>
      <c r="L84" s="476"/>
      <c r="M84" s="476"/>
      <c r="N84" s="476"/>
      <c r="O84" s="476"/>
      <c r="P84" s="476"/>
      <c r="Q84" s="476"/>
      <c r="R84" s="476"/>
      <c r="S84" s="476"/>
      <c r="T84" s="476" t="s">
        <v>55</v>
      </c>
      <c r="U84" s="476"/>
      <c r="V84" s="476" t="s">
        <v>56</v>
      </c>
      <c r="W84" s="476"/>
      <c r="X84" s="476"/>
      <c r="Y84" s="476" t="s">
        <v>51</v>
      </c>
      <c r="Z84" s="476"/>
      <c r="AA84" s="476"/>
      <c r="AB84" s="476"/>
      <c r="AC84" s="476"/>
      <c r="AD84" s="477"/>
      <c r="AF84" s="50"/>
    </row>
    <row r="85" spans="1:32" ht="30.75" customHeight="1">
      <c r="A85" s="463">
        <v>1</v>
      </c>
      <c r="B85" s="464"/>
      <c r="C85" s="478"/>
      <c r="D85" s="478"/>
      <c r="E85" s="478"/>
      <c r="F85" s="478"/>
      <c r="G85" s="478"/>
      <c r="H85" s="478"/>
      <c r="I85" s="478"/>
      <c r="J85" s="478"/>
      <c r="K85" s="478"/>
      <c r="L85" s="478"/>
      <c r="M85" s="478"/>
      <c r="N85" s="478"/>
      <c r="O85" s="478"/>
      <c r="P85" s="478"/>
      <c r="Q85" s="478"/>
      <c r="R85" s="478"/>
      <c r="S85" s="478"/>
      <c r="T85" s="478"/>
      <c r="U85" s="478"/>
      <c r="V85" s="479"/>
      <c r="W85" s="479"/>
      <c r="X85" s="479"/>
      <c r="Y85" s="480"/>
      <c r="Z85" s="480"/>
      <c r="AA85" s="480"/>
      <c r="AB85" s="480"/>
      <c r="AC85" s="480"/>
      <c r="AD85" s="481"/>
      <c r="AF85" s="50"/>
    </row>
    <row r="86" spans="1:32" ht="30.75" customHeight="1">
      <c r="A86" s="455">
        <v>2</v>
      </c>
      <c r="B86" s="456"/>
      <c r="C86" s="489"/>
      <c r="D86" s="489"/>
      <c r="E86" s="489"/>
      <c r="F86" s="489"/>
      <c r="G86" s="489"/>
      <c r="H86" s="489"/>
      <c r="I86" s="489"/>
      <c r="J86" s="489"/>
      <c r="K86" s="489"/>
      <c r="L86" s="489"/>
      <c r="M86" s="489"/>
      <c r="N86" s="489"/>
      <c r="O86" s="489"/>
      <c r="P86" s="489"/>
      <c r="Q86" s="489"/>
      <c r="R86" s="489"/>
      <c r="S86" s="489"/>
      <c r="T86" s="490"/>
      <c r="U86" s="490"/>
      <c r="V86" s="491"/>
      <c r="W86" s="491"/>
      <c r="X86" s="491"/>
      <c r="Y86" s="482"/>
      <c r="Z86" s="482"/>
      <c r="AA86" s="482"/>
      <c r="AB86" s="482"/>
      <c r="AC86" s="482"/>
      <c r="AD86" s="483"/>
      <c r="AF86" s="50"/>
    </row>
    <row r="87" spans="1:32" ht="30.75" customHeight="1" thickBot="1">
      <c r="A87" s="484">
        <v>3</v>
      </c>
      <c r="B87" s="485"/>
      <c r="C87" s="486"/>
      <c r="D87" s="486"/>
      <c r="E87" s="486"/>
      <c r="F87" s="486"/>
      <c r="G87" s="486"/>
      <c r="H87" s="486"/>
      <c r="I87" s="486"/>
      <c r="J87" s="486"/>
      <c r="K87" s="486"/>
      <c r="L87" s="486"/>
      <c r="M87" s="486"/>
      <c r="N87" s="486"/>
      <c r="O87" s="486"/>
      <c r="P87" s="486"/>
      <c r="Q87" s="486"/>
      <c r="R87" s="486"/>
      <c r="S87" s="486"/>
      <c r="T87" s="486"/>
      <c r="U87" s="486"/>
      <c r="V87" s="486"/>
      <c r="W87" s="486"/>
      <c r="X87" s="486"/>
      <c r="Y87" s="487"/>
      <c r="Z87" s="487"/>
      <c r="AA87" s="487"/>
      <c r="AB87" s="487"/>
      <c r="AC87" s="487"/>
      <c r="AD87" s="488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4ED6-6648-4095-B076-F405E36A78AE}">
  <dimension ref="A1:AF87"/>
  <sheetViews>
    <sheetView view="pageBreakPreview" zoomScale="70" zoomScaleNormal="72" zoomScaleSheetLayoutView="70" workbookViewId="0">
      <selection activeCell="K80" sqref="K80:S8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70" t="s">
        <v>480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5"/>
      <c r="T4" s="405"/>
      <c r="U4" s="405"/>
      <c r="V4" s="405"/>
      <c r="W4" s="406" t="s">
        <v>11</v>
      </c>
      <c r="X4" s="405"/>
      <c r="Y4" s="405"/>
      <c r="Z4" s="405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291" t="s">
        <v>17</v>
      </c>
      <c r="L5" s="291" t="s">
        <v>18</v>
      </c>
      <c r="M5" s="291" t="s">
        <v>19</v>
      </c>
      <c r="N5" s="29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125</v>
      </c>
      <c r="E6" s="53" t="s">
        <v>456</v>
      </c>
      <c r="F6" s="30" t="s">
        <v>206</v>
      </c>
      <c r="G6" s="12">
        <v>1</v>
      </c>
      <c r="H6" s="13">
        <v>24</v>
      </c>
      <c r="I6" s="7">
        <v>1600</v>
      </c>
      <c r="J6" s="14">
        <v>1902</v>
      </c>
      <c r="K6" s="15">
        <f>L6+2743</f>
        <v>4645</v>
      </c>
      <c r="L6" s="15">
        <f>1902</f>
        <v>1902</v>
      </c>
      <c r="M6" s="15">
        <f t="shared" ref="M6:M21" si="0">L6-N6</f>
        <v>1902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10</v>
      </c>
      <c r="Q6" s="40">
        <f t="shared" ref="Q6:Q21" si="3">SUM(R6:AA6)</f>
        <v>14</v>
      </c>
      <c r="R6" s="7"/>
      <c r="S6" s="6"/>
      <c r="T6" s="16"/>
      <c r="U6" s="16"/>
      <c r="V6" s="17"/>
      <c r="W6" s="5">
        <v>14</v>
      </c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0.41666666666666669</v>
      </c>
      <c r="AD6" s="10">
        <f t="shared" ref="AD6:AD21" si="6">AC6*AB6*(1-O6)</f>
        <v>0.41666666666666669</v>
      </c>
      <c r="AE6" s="36">
        <f t="shared" ref="AE6:AE21" si="7">$AD$22</f>
        <v>0.47135416666666669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119</v>
      </c>
      <c r="D7" s="52" t="s">
        <v>131</v>
      </c>
      <c r="E7" s="53" t="s">
        <v>139</v>
      </c>
      <c r="F7" s="12" t="s">
        <v>133</v>
      </c>
      <c r="G7" s="12">
        <v>1</v>
      </c>
      <c r="H7" s="13">
        <v>24</v>
      </c>
      <c r="I7" s="31">
        <v>50000</v>
      </c>
      <c r="J7" s="14">
        <v>6260</v>
      </c>
      <c r="K7" s="15">
        <f>L7+4913+5878+5650+6007+4705+3622+4848+4618+5210+6035</f>
        <v>57746</v>
      </c>
      <c r="L7" s="15">
        <f>3025+3235</f>
        <v>6260</v>
      </c>
      <c r="M7" s="15">
        <f t="shared" si="0"/>
        <v>6260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0.47135416666666669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/>
      <c r="E8" s="53" t="s">
        <v>321</v>
      </c>
      <c r="F8" s="30" t="s">
        <v>340</v>
      </c>
      <c r="G8" s="33">
        <v>1</v>
      </c>
      <c r="H8" s="35">
        <v>24</v>
      </c>
      <c r="I8" s="7">
        <v>50500</v>
      </c>
      <c r="J8" s="5">
        <v>5569</v>
      </c>
      <c r="K8" s="15">
        <f>L8+4349+2445+5035+5245+5660+1855+3016</f>
        <v>33174</v>
      </c>
      <c r="L8" s="15">
        <f>2754+2815</f>
        <v>5569</v>
      </c>
      <c r="M8" s="15">
        <f t="shared" si="0"/>
        <v>5569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0.47135416666666669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119</v>
      </c>
      <c r="D9" s="52" t="s">
        <v>228</v>
      </c>
      <c r="E9" s="53" t="s">
        <v>369</v>
      </c>
      <c r="F9" s="30" t="s">
        <v>362</v>
      </c>
      <c r="G9" s="12">
        <v>1</v>
      </c>
      <c r="H9" s="13">
        <v>24</v>
      </c>
      <c r="I9" s="7">
        <v>20000</v>
      </c>
      <c r="J9" s="14">
        <v>5519</v>
      </c>
      <c r="K9" s="15">
        <f>L9+4978+5482+3821+5641+6156</f>
        <v>31597</v>
      </c>
      <c r="L9" s="15">
        <f>3067+2452</f>
        <v>5519</v>
      </c>
      <c r="M9" s="15">
        <f t="shared" si="0"/>
        <v>5519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0.47135416666666669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147</v>
      </c>
      <c r="E10" s="53" t="s">
        <v>388</v>
      </c>
      <c r="F10" s="30" t="s">
        <v>127</v>
      </c>
      <c r="G10" s="33">
        <v>1</v>
      </c>
      <c r="H10" s="35">
        <v>24</v>
      </c>
      <c r="I10" s="7">
        <v>36000</v>
      </c>
      <c r="J10" s="14">
        <v>6363</v>
      </c>
      <c r="K10" s="15">
        <f>L10+3274+4039+5240+6353</f>
        <v>25269</v>
      </c>
      <c r="L10" s="15">
        <f>3186+3177</f>
        <v>6363</v>
      </c>
      <c r="M10" s="15">
        <f t="shared" si="0"/>
        <v>6363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0.47135416666666669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263</v>
      </c>
      <c r="E11" s="53" t="s">
        <v>264</v>
      </c>
      <c r="F11" s="30" t="s">
        <v>206</v>
      </c>
      <c r="G11" s="33">
        <v>16</v>
      </c>
      <c r="H11" s="35">
        <v>24</v>
      </c>
      <c r="I11" s="7">
        <v>100000</v>
      </c>
      <c r="J11" s="14">
        <v>67990</v>
      </c>
      <c r="K11" s="15">
        <f>L11+49500+67990</f>
        <v>117490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0.47135416666666669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220</v>
      </c>
      <c r="F12" s="30" t="s">
        <v>142</v>
      </c>
      <c r="G12" s="12">
        <v>1</v>
      </c>
      <c r="H12" s="13">
        <v>22</v>
      </c>
      <c r="I12" s="31">
        <v>20000</v>
      </c>
      <c r="J12" s="5">
        <v>5241</v>
      </c>
      <c r="K12" s="15">
        <f>L12+4747+5011+5057</f>
        <v>20056</v>
      </c>
      <c r="L12" s="15">
        <f>2512+2729</f>
        <v>5241</v>
      </c>
      <c r="M12" s="15">
        <f t="shared" si="0"/>
        <v>5241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0.47135416666666669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450</v>
      </c>
      <c r="D13" s="52"/>
      <c r="E13" s="53" t="s">
        <v>455</v>
      </c>
      <c r="F13" s="30" t="s">
        <v>168</v>
      </c>
      <c r="G13" s="33">
        <v>1</v>
      </c>
      <c r="H13" s="35">
        <v>24</v>
      </c>
      <c r="I13" s="7">
        <v>1000</v>
      </c>
      <c r="J13" s="14">
        <v>4308</v>
      </c>
      <c r="K13" s="15">
        <f>L13+4308</f>
        <v>4308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/>
      <c r="X13" s="16"/>
      <c r="Y13" s="16"/>
      <c r="Z13" s="16"/>
      <c r="AA13" s="18">
        <v>24</v>
      </c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0.47135416666666669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153</v>
      </c>
      <c r="F14" s="30" t="s">
        <v>144</v>
      </c>
      <c r="G14" s="33">
        <v>1</v>
      </c>
      <c r="H14" s="35">
        <v>50</v>
      </c>
      <c r="I14" s="7">
        <v>200</v>
      </c>
      <c r="J14" s="5">
        <v>392</v>
      </c>
      <c r="K14" s="15">
        <f>L14</f>
        <v>392</v>
      </c>
      <c r="L14" s="15">
        <v>392</v>
      </c>
      <c r="M14" s="15">
        <f t="shared" si="0"/>
        <v>392</v>
      </c>
      <c r="N14" s="15">
        <v>0</v>
      </c>
      <c r="O14" s="58">
        <f t="shared" si="1"/>
        <v>0</v>
      </c>
      <c r="P14" s="39">
        <f t="shared" si="2"/>
        <v>7</v>
      </c>
      <c r="Q14" s="40">
        <f t="shared" si="3"/>
        <v>17</v>
      </c>
      <c r="R14" s="7"/>
      <c r="S14" s="6"/>
      <c r="T14" s="16"/>
      <c r="U14" s="16"/>
      <c r="V14" s="17"/>
      <c r="W14" s="5">
        <v>17</v>
      </c>
      <c r="X14" s="16"/>
      <c r="Y14" s="16"/>
      <c r="Z14" s="16"/>
      <c r="AA14" s="18"/>
      <c r="AB14" s="8">
        <f t="shared" si="4"/>
        <v>1</v>
      </c>
      <c r="AC14" s="9">
        <f t="shared" si="5"/>
        <v>0.29166666666666669</v>
      </c>
      <c r="AD14" s="10">
        <f t="shared" si="6"/>
        <v>0.29166666666666669</v>
      </c>
      <c r="AE14" s="36">
        <f t="shared" si="7"/>
        <v>0.47135416666666669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125</v>
      </c>
      <c r="E15" s="53" t="s">
        <v>150</v>
      </c>
      <c r="F15" s="12" t="s">
        <v>138</v>
      </c>
      <c r="G15" s="12">
        <v>1</v>
      </c>
      <c r="H15" s="13">
        <v>24</v>
      </c>
      <c r="I15" s="31">
        <v>6500</v>
      </c>
      <c r="J15" s="14">
        <v>5214</v>
      </c>
      <c r="K15" s="15">
        <f>L15+2059+5272+5214</f>
        <v>12545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0.47135416666666669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119</v>
      </c>
      <c r="D16" s="52" t="s">
        <v>399</v>
      </c>
      <c r="E16" s="53" t="s">
        <v>423</v>
      </c>
      <c r="F16" s="30" t="s">
        <v>169</v>
      </c>
      <c r="G16" s="12" t="s">
        <v>424</v>
      </c>
      <c r="H16" s="13">
        <v>24</v>
      </c>
      <c r="I16" s="7">
        <v>3000</v>
      </c>
      <c r="J16" s="14">
        <v>3086</v>
      </c>
      <c r="K16" s="15">
        <f>L16+4862+3086</f>
        <v>7948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0.47135416666666669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119</v>
      </c>
      <c r="D17" s="52" t="s">
        <v>481</v>
      </c>
      <c r="E17" s="53" t="s">
        <v>468</v>
      </c>
      <c r="F17" s="30" t="s">
        <v>132</v>
      </c>
      <c r="G17" s="12">
        <v>2</v>
      </c>
      <c r="H17" s="13">
        <v>24</v>
      </c>
      <c r="I17" s="7">
        <v>2000</v>
      </c>
      <c r="J17" s="14">
        <v>2400</v>
      </c>
      <c r="K17" s="15">
        <f>L17</f>
        <v>2400</v>
      </c>
      <c r="L17" s="15">
        <f>2400</f>
        <v>2400</v>
      </c>
      <c r="M17" s="15">
        <f t="shared" si="0"/>
        <v>2400</v>
      </c>
      <c r="N17" s="15">
        <v>0</v>
      </c>
      <c r="O17" s="58">
        <f t="shared" si="1"/>
        <v>0</v>
      </c>
      <c r="P17" s="39">
        <f t="shared" si="2"/>
        <v>6</v>
      </c>
      <c r="Q17" s="40">
        <f t="shared" si="3"/>
        <v>18</v>
      </c>
      <c r="R17" s="7"/>
      <c r="S17" s="6"/>
      <c r="T17" s="16"/>
      <c r="U17" s="16"/>
      <c r="V17" s="17"/>
      <c r="W17" s="5">
        <v>18</v>
      </c>
      <c r="X17" s="16"/>
      <c r="Y17" s="16"/>
      <c r="Z17" s="16"/>
      <c r="AA17" s="18"/>
      <c r="AB17" s="8">
        <f t="shared" si="4"/>
        <v>1</v>
      </c>
      <c r="AC17" s="9">
        <f t="shared" si="5"/>
        <v>0.25</v>
      </c>
      <c r="AD17" s="10">
        <f t="shared" si="6"/>
        <v>0.25</v>
      </c>
      <c r="AE17" s="36">
        <f t="shared" si="7"/>
        <v>0.47135416666666669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457</v>
      </c>
      <c r="F18" s="30" t="s">
        <v>169</v>
      </c>
      <c r="G18" s="33">
        <v>1</v>
      </c>
      <c r="H18" s="35">
        <v>24</v>
      </c>
      <c r="I18" s="7">
        <v>1200</v>
      </c>
      <c r="J18" s="14">
        <v>3031</v>
      </c>
      <c r="K18" s="15">
        <f>L18+3031</f>
        <v>3031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0.47135416666666669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431</v>
      </c>
      <c r="F19" s="30" t="s">
        <v>169</v>
      </c>
      <c r="G19" s="33">
        <v>1</v>
      </c>
      <c r="H19" s="35">
        <v>24</v>
      </c>
      <c r="I19" s="7">
        <v>3200</v>
      </c>
      <c r="J19" s="14">
        <v>5201</v>
      </c>
      <c r="K19" s="15">
        <f>L19+3893+4921+5201</f>
        <v>14015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0.47135416666666669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151</v>
      </c>
      <c r="F20" s="30" t="s">
        <v>142</v>
      </c>
      <c r="G20" s="12">
        <v>1</v>
      </c>
      <c r="H20" s="13">
        <v>24</v>
      </c>
      <c r="I20" s="7">
        <v>20000</v>
      </c>
      <c r="J20" s="14">
        <v>5570</v>
      </c>
      <c r="K20" s="15">
        <f>L20+5452+5525</f>
        <v>16547</v>
      </c>
      <c r="L20" s="15">
        <f>2805+2765</f>
        <v>5570</v>
      </c>
      <c r="M20" s="15">
        <f t="shared" si="0"/>
        <v>5570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0.47135416666666669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140</v>
      </c>
      <c r="F21" s="12" t="s">
        <v>114</v>
      </c>
      <c r="G21" s="12">
        <v>4</v>
      </c>
      <c r="H21" s="35">
        <v>20</v>
      </c>
      <c r="I21" s="7">
        <v>500000</v>
      </c>
      <c r="J21" s="14">
        <v>36096</v>
      </c>
      <c r="K21" s="15">
        <f>L21+29516+33412+34840+28200+28768+36912+36276+35708+30492+36736+36104+39680</f>
        <v>442740</v>
      </c>
      <c r="L21" s="15">
        <f>9024*4</f>
        <v>36096</v>
      </c>
      <c r="M21" s="15">
        <f t="shared" si="0"/>
        <v>36096</v>
      </c>
      <c r="N21" s="15">
        <v>0</v>
      </c>
      <c r="O21" s="58">
        <f t="shared" si="1"/>
        <v>0</v>
      </c>
      <c r="P21" s="39">
        <f t="shared" si="2"/>
        <v>14</v>
      </c>
      <c r="Q21" s="40">
        <f t="shared" si="3"/>
        <v>10</v>
      </c>
      <c r="R21" s="7"/>
      <c r="S21" s="6"/>
      <c r="T21" s="16"/>
      <c r="U21" s="16"/>
      <c r="V21" s="17">
        <v>10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0.58333333333333337</v>
      </c>
      <c r="AD21" s="10">
        <f t="shared" si="6"/>
        <v>0.58333333333333337</v>
      </c>
      <c r="AE21" s="36">
        <f t="shared" si="7"/>
        <v>0.47135416666666669</v>
      </c>
      <c r="AF21" s="84">
        <f t="shared" si="8"/>
        <v>16</v>
      </c>
    </row>
    <row r="22" spans="1:32" ht="31.5" customHeight="1" thickBot="1">
      <c r="A22" s="384" t="s">
        <v>34</v>
      </c>
      <c r="B22" s="385"/>
      <c r="C22" s="385"/>
      <c r="D22" s="385"/>
      <c r="E22" s="385"/>
      <c r="F22" s="385"/>
      <c r="G22" s="385"/>
      <c r="H22" s="386"/>
      <c r="I22" s="22">
        <f t="shared" ref="I22:N22" si="9">SUM(I6:I21)</f>
        <v>815200</v>
      </c>
      <c r="J22" s="19">
        <f t="shared" si="9"/>
        <v>164142</v>
      </c>
      <c r="K22" s="20">
        <f t="shared" si="9"/>
        <v>793903</v>
      </c>
      <c r="L22" s="21">
        <f t="shared" si="9"/>
        <v>75312</v>
      </c>
      <c r="M22" s="20">
        <f t="shared" si="9"/>
        <v>75312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181</v>
      </c>
      <c r="Q22" s="43">
        <f t="shared" si="10"/>
        <v>203</v>
      </c>
      <c r="R22" s="23">
        <f t="shared" si="10"/>
        <v>24</v>
      </c>
      <c r="S22" s="24">
        <f t="shared" si="10"/>
        <v>0</v>
      </c>
      <c r="T22" s="24">
        <f t="shared" si="10"/>
        <v>0</v>
      </c>
      <c r="U22" s="24">
        <f t="shared" si="10"/>
        <v>0</v>
      </c>
      <c r="V22" s="25">
        <f t="shared" si="10"/>
        <v>10</v>
      </c>
      <c r="W22" s="26">
        <f t="shared" si="10"/>
        <v>97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72</v>
      </c>
      <c r="AB22" s="28">
        <f>AVERAGE(AB6:AB21)</f>
        <v>0.625</v>
      </c>
      <c r="AC22" s="4">
        <f>AVERAGE(AC6:AC21)</f>
        <v>0.47135416666666669</v>
      </c>
      <c r="AD22" s="4">
        <f>AVERAGE(AD6:AD21)</f>
        <v>0.47135416666666669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387" t="s">
        <v>45</v>
      </c>
      <c r="B49" s="387"/>
      <c r="C49" s="387"/>
      <c r="D49" s="387"/>
      <c r="E49" s="38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388" t="s">
        <v>482</v>
      </c>
      <c r="B50" s="389"/>
      <c r="C50" s="389"/>
      <c r="D50" s="389"/>
      <c r="E50" s="389"/>
      <c r="F50" s="389"/>
      <c r="G50" s="389"/>
      <c r="H50" s="389"/>
      <c r="I50" s="389"/>
      <c r="J50" s="389"/>
      <c r="K50" s="389"/>
      <c r="L50" s="389"/>
      <c r="M50" s="390"/>
      <c r="N50" s="391" t="s">
        <v>483</v>
      </c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  <c r="AA50" s="392"/>
      <c r="AB50" s="392"/>
      <c r="AC50" s="392"/>
      <c r="AD50" s="393"/>
    </row>
    <row r="51" spans="1:32" ht="27" customHeight="1">
      <c r="A51" s="394" t="s">
        <v>2</v>
      </c>
      <c r="B51" s="395"/>
      <c r="C51" s="290" t="s">
        <v>46</v>
      </c>
      <c r="D51" s="290" t="s">
        <v>47</v>
      </c>
      <c r="E51" s="290" t="s">
        <v>107</v>
      </c>
      <c r="F51" s="396" t="s">
        <v>106</v>
      </c>
      <c r="G51" s="397"/>
      <c r="H51" s="397"/>
      <c r="I51" s="397"/>
      <c r="J51" s="397"/>
      <c r="K51" s="397"/>
      <c r="L51" s="397"/>
      <c r="M51" s="398"/>
      <c r="N51" s="67" t="s">
        <v>110</v>
      </c>
      <c r="O51" s="290" t="s">
        <v>46</v>
      </c>
      <c r="P51" s="396" t="s">
        <v>47</v>
      </c>
      <c r="Q51" s="399"/>
      <c r="R51" s="396" t="s">
        <v>38</v>
      </c>
      <c r="S51" s="397"/>
      <c r="T51" s="397"/>
      <c r="U51" s="399"/>
      <c r="V51" s="396" t="s">
        <v>48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420" t="s">
        <v>119</v>
      </c>
      <c r="B52" s="421"/>
      <c r="C52" s="286" t="s">
        <v>230</v>
      </c>
      <c r="D52" s="286" t="s">
        <v>481</v>
      </c>
      <c r="E52" s="286" t="s">
        <v>468</v>
      </c>
      <c r="F52" s="412" t="s">
        <v>469</v>
      </c>
      <c r="G52" s="413"/>
      <c r="H52" s="413"/>
      <c r="I52" s="413"/>
      <c r="J52" s="413"/>
      <c r="K52" s="413"/>
      <c r="L52" s="413"/>
      <c r="M52" s="414"/>
      <c r="N52" s="285" t="s">
        <v>119</v>
      </c>
      <c r="O52" s="283" t="s">
        <v>129</v>
      </c>
      <c r="P52" s="415" t="s">
        <v>131</v>
      </c>
      <c r="Q52" s="416"/>
      <c r="R52" s="415" t="s">
        <v>139</v>
      </c>
      <c r="S52" s="417"/>
      <c r="T52" s="417"/>
      <c r="U52" s="416"/>
      <c r="V52" s="418" t="s">
        <v>247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10" t="s">
        <v>112</v>
      </c>
      <c r="B53" s="411"/>
      <c r="C53" s="289" t="s">
        <v>432</v>
      </c>
      <c r="D53" s="289" t="s">
        <v>115</v>
      </c>
      <c r="E53" s="286" t="s">
        <v>153</v>
      </c>
      <c r="F53" s="412" t="s">
        <v>130</v>
      </c>
      <c r="G53" s="413"/>
      <c r="H53" s="413"/>
      <c r="I53" s="413"/>
      <c r="J53" s="413"/>
      <c r="K53" s="413"/>
      <c r="L53" s="413"/>
      <c r="M53" s="414"/>
      <c r="N53" s="285" t="s">
        <v>121</v>
      </c>
      <c r="O53" s="283" t="s">
        <v>137</v>
      </c>
      <c r="P53" s="415"/>
      <c r="Q53" s="416"/>
      <c r="R53" s="415" t="s">
        <v>354</v>
      </c>
      <c r="S53" s="417"/>
      <c r="T53" s="417"/>
      <c r="U53" s="416"/>
      <c r="V53" s="418" t="s">
        <v>469</v>
      </c>
      <c r="W53" s="418"/>
      <c r="X53" s="418"/>
      <c r="Y53" s="418"/>
      <c r="Z53" s="418"/>
      <c r="AA53" s="418"/>
      <c r="AB53" s="418"/>
      <c r="AC53" s="418"/>
      <c r="AD53" s="419"/>
    </row>
    <row r="54" spans="1:32" ht="27" customHeight="1">
      <c r="A54" s="420"/>
      <c r="B54" s="421"/>
      <c r="C54" s="286"/>
      <c r="D54" s="286"/>
      <c r="E54" s="286"/>
      <c r="F54" s="412"/>
      <c r="G54" s="413"/>
      <c r="H54" s="413"/>
      <c r="I54" s="413"/>
      <c r="J54" s="413"/>
      <c r="K54" s="413"/>
      <c r="L54" s="413"/>
      <c r="M54" s="414"/>
      <c r="N54" s="285" t="s">
        <v>121</v>
      </c>
      <c r="O54" s="283" t="s">
        <v>230</v>
      </c>
      <c r="P54" s="415"/>
      <c r="Q54" s="416"/>
      <c r="R54" s="415" t="s">
        <v>355</v>
      </c>
      <c r="S54" s="417"/>
      <c r="T54" s="417"/>
      <c r="U54" s="416"/>
      <c r="V54" s="418" t="s">
        <v>469</v>
      </c>
      <c r="W54" s="418"/>
      <c r="X54" s="418"/>
      <c r="Y54" s="418"/>
      <c r="Z54" s="418"/>
      <c r="AA54" s="418"/>
      <c r="AB54" s="418"/>
      <c r="AC54" s="418"/>
      <c r="AD54" s="419"/>
    </row>
    <row r="55" spans="1:32" ht="27" customHeight="1">
      <c r="A55" s="410"/>
      <c r="B55" s="411"/>
      <c r="C55" s="289"/>
      <c r="D55" s="289"/>
      <c r="E55" s="286"/>
      <c r="F55" s="412"/>
      <c r="G55" s="413"/>
      <c r="H55" s="413"/>
      <c r="I55" s="413"/>
      <c r="J55" s="413"/>
      <c r="K55" s="413"/>
      <c r="L55" s="413"/>
      <c r="M55" s="414"/>
      <c r="N55" s="285" t="s">
        <v>121</v>
      </c>
      <c r="O55" s="283" t="s">
        <v>184</v>
      </c>
      <c r="P55" s="415"/>
      <c r="Q55" s="416"/>
      <c r="R55" s="415" t="s">
        <v>357</v>
      </c>
      <c r="S55" s="417"/>
      <c r="T55" s="417"/>
      <c r="U55" s="416"/>
      <c r="V55" s="418" t="s">
        <v>469</v>
      </c>
      <c r="W55" s="418"/>
      <c r="X55" s="418"/>
      <c r="Y55" s="418"/>
      <c r="Z55" s="418"/>
      <c r="AA55" s="418"/>
      <c r="AB55" s="418"/>
      <c r="AC55" s="418"/>
      <c r="AD55" s="419"/>
    </row>
    <row r="56" spans="1:32" ht="27" customHeight="1">
      <c r="A56" s="410"/>
      <c r="B56" s="411"/>
      <c r="C56" s="289"/>
      <c r="D56" s="289"/>
      <c r="E56" s="286"/>
      <c r="F56" s="412"/>
      <c r="G56" s="413"/>
      <c r="H56" s="413"/>
      <c r="I56" s="413"/>
      <c r="J56" s="413"/>
      <c r="K56" s="413"/>
      <c r="L56" s="413"/>
      <c r="M56" s="414"/>
      <c r="N56" s="285"/>
      <c r="O56" s="283"/>
      <c r="P56" s="415"/>
      <c r="Q56" s="416"/>
      <c r="R56" s="415"/>
      <c r="S56" s="417"/>
      <c r="T56" s="417"/>
      <c r="U56" s="416"/>
      <c r="V56" s="418"/>
      <c r="W56" s="418"/>
      <c r="X56" s="418"/>
      <c r="Y56" s="418"/>
      <c r="Z56" s="418"/>
      <c r="AA56" s="418"/>
      <c r="AB56" s="418"/>
      <c r="AC56" s="418"/>
      <c r="AD56" s="419"/>
    </row>
    <row r="57" spans="1:32" ht="27" customHeight="1">
      <c r="A57" s="410"/>
      <c r="B57" s="411"/>
      <c r="C57" s="289"/>
      <c r="D57" s="289"/>
      <c r="E57" s="286"/>
      <c r="F57" s="412"/>
      <c r="G57" s="413"/>
      <c r="H57" s="413"/>
      <c r="I57" s="413"/>
      <c r="J57" s="413"/>
      <c r="K57" s="413"/>
      <c r="L57" s="413"/>
      <c r="M57" s="414"/>
      <c r="N57" s="285"/>
      <c r="O57" s="283"/>
      <c r="P57" s="415"/>
      <c r="Q57" s="416"/>
      <c r="R57" s="415"/>
      <c r="S57" s="417"/>
      <c r="T57" s="417"/>
      <c r="U57" s="416"/>
      <c r="V57" s="418"/>
      <c r="W57" s="418"/>
      <c r="X57" s="418"/>
      <c r="Y57" s="418"/>
      <c r="Z57" s="418"/>
      <c r="AA57" s="418"/>
      <c r="AB57" s="418"/>
      <c r="AC57" s="418"/>
      <c r="AD57" s="419"/>
    </row>
    <row r="58" spans="1:32" ht="27" customHeight="1">
      <c r="A58" s="410"/>
      <c r="B58" s="411"/>
      <c r="C58" s="289"/>
      <c r="D58" s="289"/>
      <c r="E58" s="286"/>
      <c r="F58" s="412"/>
      <c r="G58" s="413"/>
      <c r="H58" s="413"/>
      <c r="I58" s="413"/>
      <c r="J58" s="413"/>
      <c r="K58" s="413"/>
      <c r="L58" s="413"/>
      <c r="M58" s="414"/>
      <c r="N58" s="285"/>
      <c r="O58" s="283"/>
      <c r="P58" s="415"/>
      <c r="Q58" s="416"/>
      <c r="R58" s="415"/>
      <c r="S58" s="417"/>
      <c r="T58" s="417"/>
      <c r="U58" s="416"/>
      <c r="V58" s="418"/>
      <c r="W58" s="418"/>
      <c r="X58" s="418"/>
      <c r="Y58" s="418"/>
      <c r="Z58" s="418"/>
      <c r="AA58" s="418"/>
      <c r="AB58" s="418"/>
      <c r="AC58" s="418"/>
      <c r="AD58" s="419"/>
    </row>
    <row r="59" spans="1:32" ht="27" customHeight="1">
      <c r="A59" s="420"/>
      <c r="B59" s="421"/>
      <c r="C59" s="286"/>
      <c r="D59" s="286"/>
      <c r="E59" s="286"/>
      <c r="F59" s="412"/>
      <c r="G59" s="413"/>
      <c r="H59" s="413"/>
      <c r="I59" s="413"/>
      <c r="J59" s="413"/>
      <c r="K59" s="413"/>
      <c r="L59" s="413"/>
      <c r="M59" s="414"/>
      <c r="N59" s="285"/>
      <c r="O59" s="283"/>
      <c r="P59" s="415"/>
      <c r="Q59" s="416"/>
      <c r="R59" s="421"/>
      <c r="S59" s="421"/>
      <c r="T59" s="421"/>
      <c r="U59" s="421"/>
      <c r="V59" s="418"/>
      <c r="W59" s="418"/>
      <c r="X59" s="418"/>
      <c r="Y59" s="418"/>
      <c r="Z59" s="418"/>
      <c r="AA59" s="418"/>
      <c r="AB59" s="418"/>
      <c r="AC59" s="418"/>
      <c r="AD59" s="419"/>
    </row>
    <row r="60" spans="1:32" ht="27" customHeight="1">
      <c r="A60" s="410"/>
      <c r="B60" s="411"/>
      <c r="C60" s="289"/>
      <c r="D60" s="289"/>
      <c r="E60" s="286"/>
      <c r="F60" s="412"/>
      <c r="G60" s="413"/>
      <c r="H60" s="413"/>
      <c r="I60" s="413"/>
      <c r="J60" s="413"/>
      <c r="K60" s="413"/>
      <c r="L60" s="413"/>
      <c r="M60" s="414"/>
      <c r="N60" s="285"/>
      <c r="O60" s="283"/>
      <c r="P60" s="421"/>
      <c r="Q60" s="421"/>
      <c r="R60" s="421"/>
      <c r="S60" s="421"/>
      <c r="T60" s="421"/>
      <c r="U60" s="421"/>
      <c r="V60" s="418"/>
      <c r="W60" s="418"/>
      <c r="X60" s="418"/>
      <c r="Y60" s="418"/>
      <c r="Z60" s="418"/>
      <c r="AA60" s="418"/>
      <c r="AB60" s="418"/>
      <c r="AC60" s="418"/>
      <c r="AD60" s="419"/>
      <c r="AF60" s="84">
        <f>8*3000</f>
        <v>24000</v>
      </c>
    </row>
    <row r="61" spans="1:32" ht="27" customHeight="1" thickBot="1">
      <c r="A61" s="422"/>
      <c r="B61" s="423"/>
      <c r="C61" s="287"/>
      <c r="D61" s="288"/>
      <c r="E61" s="288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30" t="s">
        <v>484</v>
      </c>
      <c r="B62" s="430"/>
      <c r="C62" s="430"/>
      <c r="D62" s="430"/>
      <c r="E62" s="43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31" t="s">
        <v>111</v>
      </c>
      <c r="B63" s="432"/>
      <c r="C63" s="284" t="s">
        <v>2</v>
      </c>
      <c r="D63" s="284" t="s">
        <v>37</v>
      </c>
      <c r="E63" s="284" t="s">
        <v>3</v>
      </c>
      <c r="F63" s="432" t="s">
        <v>109</v>
      </c>
      <c r="G63" s="432"/>
      <c r="H63" s="432"/>
      <c r="I63" s="432"/>
      <c r="J63" s="432"/>
      <c r="K63" s="432" t="s">
        <v>39</v>
      </c>
      <c r="L63" s="432"/>
      <c r="M63" s="284" t="s">
        <v>40</v>
      </c>
      <c r="N63" s="432" t="s">
        <v>41</v>
      </c>
      <c r="O63" s="432"/>
      <c r="P63" s="433" t="s">
        <v>42</v>
      </c>
      <c r="Q63" s="434"/>
      <c r="R63" s="433" t="s">
        <v>43</v>
      </c>
      <c r="S63" s="435"/>
      <c r="T63" s="435"/>
      <c r="U63" s="435"/>
      <c r="V63" s="435"/>
      <c r="W63" s="435"/>
      <c r="X63" s="435"/>
      <c r="Y63" s="435"/>
      <c r="Z63" s="435"/>
      <c r="AA63" s="434"/>
      <c r="AB63" s="432" t="s">
        <v>44</v>
      </c>
      <c r="AC63" s="432"/>
      <c r="AD63" s="436"/>
      <c r="AF63" s="84">
        <f>SUM(AF60:AF62)</f>
        <v>96000</v>
      </c>
    </row>
    <row r="64" spans="1:32" ht="25.5" customHeight="1">
      <c r="A64" s="437">
        <v>1</v>
      </c>
      <c r="B64" s="438"/>
      <c r="C64" s="104" t="s">
        <v>119</v>
      </c>
      <c r="D64" s="279"/>
      <c r="E64" s="282" t="s">
        <v>486</v>
      </c>
      <c r="F64" s="439" t="s">
        <v>485</v>
      </c>
      <c r="G64" s="440"/>
      <c r="H64" s="440"/>
      <c r="I64" s="440"/>
      <c r="J64" s="441"/>
      <c r="K64" s="442">
        <v>7301</v>
      </c>
      <c r="L64" s="442"/>
      <c r="M64" s="51" t="s">
        <v>487</v>
      </c>
      <c r="N64" s="443" t="s">
        <v>136</v>
      </c>
      <c r="O64" s="443"/>
      <c r="P64" s="444">
        <v>100</v>
      </c>
      <c r="Q64" s="444"/>
      <c r="R64" s="418" t="s">
        <v>488</v>
      </c>
      <c r="S64" s="418"/>
      <c r="T64" s="418"/>
      <c r="U64" s="418"/>
      <c r="V64" s="418"/>
      <c r="W64" s="418"/>
      <c r="X64" s="418"/>
      <c r="Y64" s="418"/>
      <c r="Z64" s="418"/>
      <c r="AA64" s="418"/>
      <c r="AB64" s="442"/>
      <c r="AC64" s="442"/>
      <c r="AD64" s="445"/>
      <c r="AF64" s="50"/>
    </row>
    <row r="65" spans="1:32" ht="25.5" customHeight="1">
      <c r="A65" s="437">
        <v>2</v>
      </c>
      <c r="B65" s="438"/>
      <c r="C65" s="104" t="s">
        <v>119</v>
      </c>
      <c r="D65" s="279"/>
      <c r="E65" s="282" t="s">
        <v>231</v>
      </c>
      <c r="F65" s="439" t="s">
        <v>489</v>
      </c>
      <c r="G65" s="440"/>
      <c r="H65" s="440"/>
      <c r="I65" s="440"/>
      <c r="J65" s="441"/>
      <c r="K65" s="442" t="s">
        <v>132</v>
      </c>
      <c r="L65" s="442"/>
      <c r="M65" s="51" t="s">
        <v>358</v>
      </c>
      <c r="N65" s="443" t="s">
        <v>335</v>
      </c>
      <c r="O65" s="443"/>
      <c r="P65" s="444">
        <v>50</v>
      </c>
      <c r="Q65" s="444"/>
      <c r="R65" s="418"/>
      <c r="S65" s="418"/>
      <c r="T65" s="418"/>
      <c r="U65" s="418"/>
      <c r="V65" s="418"/>
      <c r="W65" s="418"/>
      <c r="X65" s="418"/>
      <c r="Y65" s="418"/>
      <c r="Z65" s="418"/>
      <c r="AA65" s="418"/>
      <c r="AB65" s="442"/>
      <c r="AC65" s="442"/>
      <c r="AD65" s="445"/>
      <c r="AF65" s="50"/>
    </row>
    <row r="66" spans="1:32" ht="25.5" customHeight="1">
      <c r="A66" s="437">
        <v>3</v>
      </c>
      <c r="B66" s="438"/>
      <c r="C66" s="104" t="s">
        <v>119</v>
      </c>
      <c r="D66" s="279"/>
      <c r="E66" s="282" t="s">
        <v>491</v>
      </c>
      <c r="F66" s="439" t="s">
        <v>490</v>
      </c>
      <c r="G66" s="440"/>
      <c r="H66" s="440"/>
      <c r="I66" s="440"/>
      <c r="J66" s="441"/>
      <c r="K66" s="442" t="s">
        <v>132</v>
      </c>
      <c r="L66" s="442"/>
      <c r="M66" s="51" t="s">
        <v>358</v>
      </c>
      <c r="N66" s="443" t="s">
        <v>335</v>
      </c>
      <c r="O66" s="443"/>
      <c r="P66" s="444">
        <v>100</v>
      </c>
      <c r="Q66" s="444"/>
      <c r="R66" s="418"/>
      <c r="S66" s="418"/>
      <c r="T66" s="418"/>
      <c r="U66" s="418"/>
      <c r="V66" s="418"/>
      <c r="W66" s="418"/>
      <c r="X66" s="418"/>
      <c r="Y66" s="418"/>
      <c r="Z66" s="418"/>
      <c r="AA66" s="418"/>
      <c r="AB66" s="442"/>
      <c r="AC66" s="442"/>
      <c r="AD66" s="445"/>
      <c r="AF66" s="50"/>
    </row>
    <row r="67" spans="1:32" ht="25.5" customHeight="1">
      <c r="A67" s="437">
        <v>4</v>
      </c>
      <c r="B67" s="438"/>
      <c r="C67" s="104" t="s">
        <v>409</v>
      </c>
      <c r="D67" s="279"/>
      <c r="E67" s="282"/>
      <c r="F67" s="439" t="s">
        <v>492</v>
      </c>
      <c r="G67" s="440"/>
      <c r="H67" s="440"/>
      <c r="I67" s="440"/>
      <c r="J67" s="441"/>
      <c r="K67" s="442" t="s">
        <v>493</v>
      </c>
      <c r="L67" s="442"/>
      <c r="M67" s="51" t="s">
        <v>474</v>
      </c>
      <c r="N67" s="443" t="s">
        <v>145</v>
      </c>
      <c r="O67" s="443"/>
      <c r="P67" s="444" t="s">
        <v>494</v>
      </c>
      <c r="Q67" s="444"/>
      <c r="R67" s="418"/>
      <c r="S67" s="418"/>
      <c r="T67" s="418"/>
      <c r="U67" s="418"/>
      <c r="V67" s="418"/>
      <c r="W67" s="418"/>
      <c r="X67" s="418"/>
      <c r="Y67" s="418"/>
      <c r="Z67" s="418"/>
      <c r="AA67" s="418"/>
      <c r="AB67" s="442"/>
      <c r="AC67" s="442"/>
      <c r="AD67" s="445"/>
      <c r="AF67" s="50"/>
    </row>
    <row r="68" spans="1:32" ht="25.5" customHeight="1">
      <c r="A68" s="437">
        <v>5</v>
      </c>
      <c r="B68" s="438"/>
      <c r="C68" s="104" t="s">
        <v>119</v>
      </c>
      <c r="D68" s="279"/>
      <c r="E68" s="282" t="s">
        <v>495</v>
      </c>
      <c r="F68" s="439" t="s">
        <v>468</v>
      </c>
      <c r="G68" s="440"/>
      <c r="H68" s="440"/>
      <c r="I68" s="440"/>
      <c r="J68" s="441"/>
      <c r="K68" s="442" t="s">
        <v>132</v>
      </c>
      <c r="L68" s="442"/>
      <c r="M68" s="51" t="s">
        <v>487</v>
      </c>
      <c r="N68" s="443" t="s">
        <v>230</v>
      </c>
      <c r="O68" s="443"/>
      <c r="P68" s="444">
        <v>100</v>
      </c>
      <c r="Q68" s="444"/>
      <c r="R68" s="418"/>
      <c r="S68" s="418"/>
      <c r="T68" s="418"/>
      <c r="U68" s="418"/>
      <c r="V68" s="418"/>
      <c r="W68" s="418"/>
      <c r="X68" s="418"/>
      <c r="Y68" s="418"/>
      <c r="Z68" s="418"/>
      <c r="AA68" s="418"/>
      <c r="AB68" s="442"/>
      <c r="AC68" s="442"/>
      <c r="AD68" s="445"/>
      <c r="AF68" s="50"/>
    </row>
    <row r="69" spans="1:32" ht="25.5" customHeight="1">
      <c r="A69" s="437">
        <v>6</v>
      </c>
      <c r="B69" s="438"/>
      <c r="C69" s="104" t="s">
        <v>119</v>
      </c>
      <c r="D69" s="279"/>
      <c r="E69" s="282" t="s">
        <v>115</v>
      </c>
      <c r="F69" s="439" t="s">
        <v>496</v>
      </c>
      <c r="G69" s="440"/>
      <c r="H69" s="440"/>
      <c r="I69" s="440"/>
      <c r="J69" s="441"/>
      <c r="K69" s="442" t="s">
        <v>142</v>
      </c>
      <c r="L69" s="442"/>
      <c r="M69" s="51" t="s">
        <v>358</v>
      </c>
      <c r="N69" s="443" t="s">
        <v>184</v>
      </c>
      <c r="O69" s="443"/>
      <c r="P69" s="444"/>
      <c r="Q69" s="444"/>
      <c r="R69" s="418" t="s">
        <v>497</v>
      </c>
      <c r="S69" s="418"/>
      <c r="T69" s="418"/>
      <c r="U69" s="418"/>
      <c r="V69" s="418"/>
      <c r="W69" s="418"/>
      <c r="X69" s="418"/>
      <c r="Y69" s="418"/>
      <c r="Z69" s="418"/>
      <c r="AA69" s="418"/>
      <c r="AB69" s="442"/>
      <c r="AC69" s="442"/>
      <c r="AD69" s="445"/>
      <c r="AF69" s="50"/>
    </row>
    <row r="70" spans="1:32" ht="25.5" customHeight="1">
      <c r="A70" s="437">
        <v>7</v>
      </c>
      <c r="B70" s="438"/>
      <c r="C70" s="104" t="s">
        <v>119</v>
      </c>
      <c r="D70" s="279"/>
      <c r="E70" s="282" t="s">
        <v>146</v>
      </c>
      <c r="F70" s="439" t="s">
        <v>498</v>
      </c>
      <c r="G70" s="440"/>
      <c r="H70" s="440"/>
      <c r="I70" s="440"/>
      <c r="J70" s="441"/>
      <c r="K70" s="442" t="s">
        <v>142</v>
      </c>
      <c r="L70" s="442"/>
      <c r="M70" s="51" t="s">
        <v>358</v>
      </c>
      <c r="N70" s="443" t="s">
        <v>135</v>
      </c>
      <c r="O70" s="443"/>
      <c r="P70" s="444">
        <v>50</v>
      </c>
      <c r="Q70" s="444"/>
      <c r="R70" s="418"/>
      <c r="S70" s="418"/>
      <c r="T70" s="418"/>
      <c r="U70" s="418"/>
      <c r="V70" s="418"/>
      <c r="W70" s="418"/>
      <c r="X70" s="418"/>
      <c r="Y70" s="418"/>
      <c r="Z70" s="418"/>
      <c r="AA70" s="418"/>
      <c r="AB70" s="442"/>
      <c r="AC70" s="442"/>
      <c r="AD70" s="445"/>
      <c r="AF70" s="50"/>
    </row>
    <row r="71" spans="1:32" ht="25.5" customHeight="1">
      <c r="A71" s="437">
        <v>8</v>
      </c>
      <c r="B71" s="438"/>
      <c r="C71" s="104"/>
      <c r="D71" s="279"/>
      <c r="E71" s="282"/>
      <c r="F71" s="447"/>
      <c r="G71" s="442"/>
      <c r="H71" s="442"/>
      <c r="I71" s="442"/>
      <c r="J71" s="442"/>
      <c r="K71" s="442"/>
      <c r="L71" s="442"/>
      <c r="M71" s="51"/>
      <c r="N71" s="443"/>
      <c r="O71" s="443"/>
      <c r="P71" s="444"/>
      <c r="Q71" s="444"/>
      <c r="R71" s="418"/>
      <c r="S71" s="418"/>
      <c r="T71" s="418"/>
      <c r="U71" s="418"/>
      <c r="V71" s="418"/>
      <c r="W71" s="418"/>
      <c r="X71" s="418"/>
      <c r="Y71" s="418"/>
      <c r="Z71" s="418"/>
      <c r="AA71" s="418"/>
      <c r="AB71" s="442"/>
      <c r="AC71" s="442"/>
      <c r="AD71" s="445"/>
      <c r="AF71" s="50"/>
    </row>
    <row r="72" spans="1:32" ht="25.5" customHeight="1">
      <c r="A72" s="437">
        <v>9</v>
      </c>
      <c r="B72" s="438"/>
      <c r="C72" s="104"/>
      <c r="D72" s="279"/>
      <c r="E72" s="282"/>
      <c r="F72" s="447"/>
      <c r="G72" s="442"/>
      <c r="H72" s="442"/>
      <c r="I72" s="442"/>
      <c r="J72" s="442"/>
      <c r="K72" s="442"/>
      <c r="L72" s="442"/>
      <c r="M72" s="51"/>
      <c r="N72" s="443"/>
      <c r="O72" s="443"/>
      <c r="P72" s="444"/>
      <c r="Q72" s="444"/>
      <c r="R72" s="418"/>
      <c r="S72" s="418"/>
      <c r="T72" s="418"/>
      <c r="U72" s="418"/>
      <c r="V72" s="418"/>
      <c r="W72" s="418"/>
      <c r="X72" s="418"/>
      <c r="Y72" s="418"/>
      <c r="Z72" s="418"/>
      <c r="AA72" s="418"/>
      <c r="AB72" s="442"/>
      <c r="AC72" s="442"/>
      <c r="AD72" s="445"/>
      <c r="AF72" s="50"/>
    </row>
    <row r="73" spans="1:32" ht="25.5" customHeight="1">
      <c r="A73" s="437">
        <v>10</v>
      </c>
      <c r="B73" s="438"/>
      <c r="C73" s="104"/>
      <c r="D73" s="279"/>
      <c r="E73" s="282"/>
      <c r="F73" s="447"/>
      <c r="G73" s="442"/>
      <c r="H73" s="442"/>
      <c r="I73" s="442"/>
      <c r="J73" s="442"/>
      <c r="K73" s="442"/>
      <c r="L73" s="442"/>
      <c r="M73" s="51"/>
      <c r="N73" s="443"/>
      <c r="O73" s="443"/>
      <c r="P73" s="444"/>
      <c r="Q73" s="444"/>
      <c r="R73" s="418"/>
      <c r="S73" s="418"/>
      <c r="T73" s="418"/>
      <c r="U73" s="418"/>
      <c r="V73" s="418"/>
      <c r="W73" s="418"/>
      <c r="X73" s="418"/>
      <c r="Y73" s="418"/>
      <c r="Z73" s="418"/>
      <c r="AA73" s="418"/>
      <c r="AB73" s="442"/>
      <c r="AC73" s="442"/>
      <c r="AD73" s="445"/>
      <c r="AF73" s="50"/>
    </row>
    <row r="74" spans="1:32" ht="26.25" customHeight="1" thickBot="1">
      <c r="A74" s="448" t="s">
        <v>499</v>
      </c>
      <c r="B74" s="448"/>
      <c r="C74" s="448"/>
      <c r="D74" s="448"/>
      <c r="E74" s="44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49" t="s">
        <v>134</v>
      </c>
      <c r="B75" s="450"/>
      <c r="C75" s="281" t="s">
        <v>2</v>
      </c>
      <c r="D75" s="281" t="s">
        <v>37</v>
      </c>
      <c r="E75" s="281" t="s">
        <v>128</v>
      </c>
      <c r="F75" s="450" t="s">
        <v>38</v>
      </c>
      <c r="G75" s="450"/>
      <c r="H75" s="450"/>
      <c r="I75" s="450"/>
      <c r="J75" s="450"/>
      <c r="K75" s="451" t="s">
        <v>58</v>
      </c>
      <c r="L75" s="452"/>
      <c r="M75" s="452"/>
      <c r="N75" s="452"/>
      <c r="O75" s="452"/>
      <c r="P75" s="452"/>
      <c r="Q75" s="452"/>
      <c r="R75" s="452"/>
      <c r="S75" s="453"/>
      <c r="T75" s="450" t="s">
        <v>49</v>
      </c>
      <c r="U75" s="450"/>
      <c r="V75" s="451" t="s">
        <v>50</v>
      </c>
      <c r="W75" s="453"/>
      <c r="X75" s="452" t="s">
        <v>51</v>
      </c>
      <c r="Y75" s="452"/>
      <c r="Z75" s="452"/>
      <c r="AA75" s="452"/>
      <c r="AB75" s="452"/>
      <c r="AC75" s="452"/>
      <c r="AD75" s="454"/>
      <c r="AF75" s="50"/>
    </row>
    <row r="76" spans="1:32" ht="33.75" customHeight="1">
      <c r="A76" s="463">
        <v>1</v>
      </c>
      <c r="B76" s="464"/>
      <c r="C76" s="280" t="s">
        <v>112</v>
      </c>
      <c r="D76" s="280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44118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55">
        <f>A76+1</f>
        <v>2</v>
      </c>
      <c r="B77" s="456"/>
      <c r="C77" s="279"/>
      <c r="D77" s="279"/>
      <c r="E77" s="32"/>
      <c r="F77" s="456"/>
      <c r="G77" s="456"/>
      <c r="H77" s="456"/>
      <c r="I77" s="456"/>
      <c r="J77" s="456"/>
      <c r="K77" s="457"/>
      <c r="L77" s="458"/>
      <c r="M77" s="458"/>
      <c r="N77" s="458"/>
      <c r="O77" s="458"/>
      <c r="P77" s="458"/>
      <c r="Q77" s="458"/>
      <c r="R77" s="458"/>
      <c r="S77" s="459"/>
      <c r="T77" s="460"/>
      <c r="U77" s="460"/>
      <c r="V77" s="460"/>
      <c r="W77" s="460"/>
      <c r="X77" s="461"/>
      <c r="Y77" s="461"/>
      <c r="Z77" s="461"/>
      <c r="AA77" s="461"/>
      <c r="AB77" s="461"/>
      <c r="AC77" s="461"/>
      <c r="AD77" s="462"/>
      <c r="AF77" s="50"/>
    </row>
    <row r="78" spans="1:32" ht="30" customHeight="1">
      <c r="A78" s="455">
        <f t="shared" ref="A78:A82" si="11">A77+1</f>
        <v>3</v>
      </c>
      <c r="B78" s="456"/>
      <c r="C78" s="279"/>
      <c r="D78" s="279"/>
      <c r="E78" s="32"/>
      <c r="F78" s="456"/>
      <c r="G78" s="456"/>
      <c r="H78" s="456"/>
      <c r="I78" s="456"/>
      <c r="J78" s="456"/>
      <c r="K78" s="457"/>
      <c r="L78" s="458"/>
      <c r="M78" s="458"/>
      <c r="N78" s="458"/>
      <c r="O78" s="458"/>
      <c r="P78" s="458"/>
      <c r="Q78" s="458"/>
      <c r="R78" s="458"/>
      <c r="S78" s="459"/>
      <c r="T78" s="460"/>
      <c r="U78" s="460"/>
      <c r="V78" s="460"/>
      <c r="W78" s="460"/>
      <c r="X78" s="461"/>
      <c r="Y78" s="461"/>
      <c r="Z78" s="461"/>
      <c r="AA78" s="461"/>
      <c r="AB78" s="461"/>
      <c r="AC78" s="461"/>
      <c r="AD78" s="462"/>
      <c r="AF78" s="50"/>
    </row>
    <row r="79" spans="1:32" ht="30" customHeight="1">
      <c r="A79" s="455">
        <f t="shared" si="11"/>
        <v>4</v>
      </c>
      <c r="B79" s="456"/>
      <c r="C79" s="279"/>
      <c r="D79" s="279"/>
      <c r="E79" s="32"/>
      <c r="F79" s="456"/>
      <c r="G79" s="456"/>
      <c r="H79" s="456"/>
      <c r="I79" s="456"/>
      <c r="J79" s="456"/>
      <c r="K79" s="457"/>
      <c r="L79" s="458"/>
      <c r="M79" s="458"/>
      <c r="N79" s="458"/>
      <c r="O79" s="458"/>
      <c r="P79" s="458"/>
      <c r="Q79" s="458"/>
      <c r="R79" s="458"/>
      <c r="S79" s="459"/>
      <c r="T79" s="460"/>
      <c r="U79" s="460"/>
      <c r="V79" s="460"/>
      <c r="W79" s="460"/>
      <c r="X79" s="461"/>
      <c r="Y79" s="461"/>
      <c r="Z79" s="461"/>
      <c r="AA79" s="461"/>
      <c r="AB79" s="461"/>
      <c r="AC79" s="461"/>
      <c r="AD79" s="462"/>
      <c r="AF79" s="50"/>
    </row>
    <row r="80" spans="1:32" ht="30" customHeight="1">
      <c r="A80" s="455">
        <f t="shared" si="11"/>
        <v>5</v>
      </c>
      <c r="B80" s="456"/>
      <c r="C80" s="279"/>
      <c r="D80" s="279"/>
      <c r="E80" s="32"/>
      <c r="F80" s="456"/>
      <c r="G80" s="456"/>
      <c r="H80" s="456"/>
      <c r="I80" s="456"/>
      <c r="J80" s="456"/>
      <c r="K80" s="457"/>
      <c r="L80" s="458"/>
      <c r="M80" s="458"/>
      <c r="N80" s="458"/>
      <c r="O80" s="458"/>
      <c r="P80" s="458"/>
      <c r="Q80" s="458"/>
      <c r="R80" s="458"/>
      <c r="S80" s="459"/>
      <c r="T80" s="460"/>
      <c r="U80" s="460"/>
      <c r="V80" s="460"/>
      <c r="W80" s="460"/>
      <c r="X80" s="461"/>
      <c r="Y80" s="461"/>
      <c r="Z80" s="461"/>
      <c r="AA80" s="461"/>
      <c r="AB80" s="461"/>
      <c r="AC80" s="461"/>
      <c r="AD80" s="462"/>
      <c r="AF80" s="50"/>
    </row>
    <row r="81" spans="1:32" ht="30" customHeight="1">
      <c r="A81" s="455">
        <f t="shared" si="11"/>
        <v>6</v>
      </c>
      <c r="B81" s="456"/>
      <c r="C81" s="279"/>
      <c r="D81" s="279"/>
      <c r="E81" s="32"/>
      <c r="F81" s="456"/>
      <c r="G81" s="456"/>
      <c r="H81" s="456"/>
      <c r="I81" s="456"/>
      <c r="J81" s="456"/>
      <c r="K81" s="457"/>
      <c r="L81" s="458"/>
      <c r="M81" s="458"/>
      <c r="N81" s="458"/>
      <c r="O81" s="458"/>
      <c r="P81" s="458"/>
      <c r="Q81" s="458"/>
      <c r="R81" s="458"/>
      <c r="S81" s="459"/>
      <c r="T81" s="460"/>
      <c r="U81" s="460"/>
      <c r="V81" s="460"/>
      <c r="W81" s="460"/>
      <c r="X81" s="461"/>
      <c r="Y81" s="461"/>
      <c r="Z81" s="461"/>
      <c r="AA81" s="461"/>
      <c r="AB81" s="461"/>
      <c r="AC81" s="461"/>
      <c r="AD81" s="462"/>
      <c r="AF81" s="50"/>
    </row>
    <row r="82" spans="1:32" ht="30" customHeight="1">
      <c r="A82" s="455">
        <f t="shared" si="11"/>
        <v>7</v>
      </c>
      <c r="B82" s="456"/>
      <c r="C82" s="279"/>
      <c r="D82" s="279"/>
      <c r="E82" s="32"/>
      <c r="F82" s="456"/>
      <c r="G82" s="456"/>
      <c r="H82" s="456"/>
      <c r="I82" s="456"/>
      <c r="J82" s="456"/>
      <c r="K82" s="457"/>
      <c r="L82" s="458"/>
      <c r="M82" s="458"/>
      <c r="N82" s="458"/>
      <c r="O82" s="458"/>
      <c r="P82" s="458"/>
      <c r="Q82" s="458"/>
      <c r="R82" s="458"/>
      <c r="S82" s="459"/>
      <c r="T82" s="460"/>
      <c r="U82" s="460"/>
      <c r="V82" s="460"/>
      <c r="W82" s="460"/>
      <c r="X82" s="461"/>
      <c r="Y82" s="461"/>
      <c r="Z82" s="461"/>
      <c r="AA82" s="461"/>
      <c r="AB82" s="461"/>
      <c r="AC82" s="461"/>
      <c r="AD82" s="462"/>
      <c r="AF82" s="50"/>
    </row>
    <row r="83" spans="1:32" ht="36" thickBot="1">
      <c r="A83" s="448" t="s">
        <v>500</v>
      </c>
      <c r="B83" s="448"/>
      <c r="C83" s="448"/>
      <c r="D83" s="448"/>
      <c r="E83" s="44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49" t="s">
        <v>111</v>
      </c>
      <c r="B84" s="450"/>
      <c r="C84" s="476" t="s">
        <v>52</v>
      </c>
      <c r="D84" s="476"/>
      <c r="E84" s="476" t="s">
        <v>53</v>
      </c>
      <c r="F84" s="476"/>
      <c r="G84" s="476"/>
      <c r="H84" s="476"/>
      <c r="I84" s="476"/>
      <c r="J84" s="476"/>
      <c r="K84" s="476" t="s">
        <v>54</v>
      </c>
      <c r="L84" s="476"/>
      <c r="M84" s="476"/>
      <c r="N84" s="476"/>
      <c r="O84" s="476"/>
      <c r="P84" s="476"/>
      <c r="Q84" s="476"/>
      <c r="R84" s="476"/>
      <c r="S84" s="476"/>
      <c r="T84" s="476" t="s">
        <v>55</v>
      </c>
      <c r="U84" s="476"/>
      <c r="V84" s="476" t="s">
        <v>56</v>
      </c>
      <c r="W84" s="476"/>
      <c r="X84" s="476"/>
      <c r="Y84" s="476" t="s">
        <v>51</v>
      </c>
      <c r="Z84" s="476"/>
      <c r="AA84" s="476"/>
      <c r="AB84" s="476"/>
      <c r="AC84" s="476"/>
      <c r="AD84" s="477"/>
      <c r="AF84" s="50"/>
    </row>
    <row r="85" spans="1:32" ht="30.75" customHeight="1">
      <c r="A85" s="463">
        <v>1</v>
      </c>
      <c r="B85" s="464"/>
      <c r="C85" s="478"/>
      <c r="D85" s="478"/>
      <c r="E85" s="478"/>
      <c r="F85" s="478"/>
      <c r="G85" s="478"/>
      <c r="H85" s="478"/>
      <c r="I85" s="478"/>
      <c r="J85" s="478"/>
      <c r="K85" s="478"/>
      <c r="L85" s="478"/>
      <c r="M85" s="478"/>
      <c r="N85" s="478"/>
      <c r="O85" s="478"/>
      <c r="P85" s="478"/>
      <c r="Q85" s="478"/>
      <c r="R85" s="478"/>
      <c r="S85" s="478"/>
      <c r="T85" s="478"/>
      <c r="U85" s="478"/>
      <c r="V85" s="479"/>
      <c r="W85" s="479"/>
      <c r="X85" s="479"/>
      <c r="Y85" s="480"/>
      <c r="Z85" s="480"/>
      <c r="AA85" s="480"/>
      <c r="AB85" s="480"/>
      <c r="AC85" s="480"/>
      <c r="AD85" s="481"/>
      <c r="AF85" s="50"/>
    </row>
    <row r="86" spans="1:32" ht="30.75" customHeight="1">
      <c r="A86" s="455">
        <v>2</v>
      </c>
      <c r="B86" s="456"/>
      <c r="C86" s="489"/>
      <c r="D86" s="489"/>
      <c r="E86" s="489"/>
      <c r="F86" s="489"/>
      <c r="G86" s="489"/>
      <c r="H86" s="489"/>
      <c r="I86" s="489"/>
      <c r="J86" s="489"/>
      <c r="K86" s="489"/>
      <c r="L86" s="489"/>
      <c r="M86" s="489"/>
      <c r="N86" s="489"/>
      <c r="O86" s="489"/>
      <c r="P86" s="489"/>
      <c r="Q86" s="489"/>
      <c r="R86" s="489"/>
      <c r="S86" s="489"/>
      <c r="T86" s="490"/>
      <c r="U86" s="490"/>
      <c r="V86" s="491"/>
      <c r="W86" s="491"/>
      <c r="X86" s="491"/>
      <c r="Y86" s="482"/>
      <c r="Z86" s="482"/>
      <c r="AA86" s="482"/>
      <c r="AB86" s="482"/>
      <c r="AC86" s="482"/>
      <c r="AD86" s="483"/>
      <c r="AF86" s="50"/>
    </row>
    <row r="87" spans="1:32" ht="30.75" customHeight="1" thickBot="1">
      <c r="A87" s="484">
        <v>3</v>
      </c>
      <c r="B87" s="485"/>
      <c r="C87" s="486"/>
      <c r="D87" s="486"/>
      <c r="E87" s="486"/>
      <c r="F87" s="486"/>
      <c r="G87" s="486"/>
      <c r="H87" s="486"/>
      <c r="I87" s="486"/>
      <c r="J87" s="486"/>
      <c r="K87" s="486"/>
      <c r="L87" s="486"/>
      <c r="M87" s="486"/>
      <c r="N87" s="486"/>
      <c r="O87" s="486"/>
      <c r="P87" s="486"/>
      <c r="Q87" s="486"/>
      <c r="R87" s="486"/>
      <c r="S87" s="486"/>
      <c r="T87" s="486"/>
      <c r="U87" s="486"/>
      <c r="V87" s="486"/>
      <c r="W87" s="486"/>
      <c r="X87" s="486"/>
      <c r="Y87" s="487"/>
      <c r="Z87" s="487"/>
      <c r="AA87" s="487"/>
      <c r="AB87" s="487"/>
      <c r="AC87" s="487"/>
      <c r="AD87" s="488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8387-B0DB-48D7-A661-389A0E163D5B}">
  <dimension ref="A1:AF87"/>
  <sheetViews>
    <sheetView view="pageBreakPreview" zoomScale="70" zoomScaleNormal="72" zoomScaleSheetLayoutView="70" workbookViewId="0">
      <selection activeCell="L15" sqref="L1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70" t="s">
        <v>501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5"/>
      <c r="T4" s="405"/>
      <c r="U4" s="405"/>
      <c r="V4" s="405"/>
      <c r="W4" s="406" t="s">
        <v>11</v>
      </c>
      <c r="X4" s="405"/>
      <c r="Y4" s="405"/>
      <c r="Z4" s="405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292" t="s">
        <v>17</v>
      </c>
      <c r="L5" s="292" t="s">
        <v>18</v>
      </c>
      <c r="M5" s="292" t="s">
        <v>19</v>
      </c>
      <c r="N5" s="29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125</v>
      </c>
      <c r="E6" s="53" t="s">
        <v>456</v>
      </c>
      <c r="F6" s="30" t="s">
        <v>206</v>
      </c>
      <c r="G6" s="12">
        <v>1</v>
      </c>
      <c r="H6" s="13">
        <v>24</v>
      </c>
      <c r="I6" s="7">
        <v>1600</v>
      </c>
      <c r="J6" s="14">
        <v>1902</v>
      </c>
      <c r="K6" s="15">
        <f>L6+2743+1902</f>
        <v>4645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0.31510416666666663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121</v>
      </c>
      <c r="D7" s="52" t="s">
        <v>125</v>
      </c>
      <c r="E7" s="53" t="s">
        <v>471</v>
      </c>
      <c r="F7" s="12" t="s">
        <v>138</v>
      </c>
      <c r="G7" s="12">
        <v>2</v>
      </c>
      <c r="H7" s="13">
        <v>24</v>
      </c>
      <c r="I7" s="31">
        <v>18000</v>
      </c>
      <c r="J7" s="14">
        <v>7736</v>
      </c>
      <c r="K7" s="15">
        <f>L7</f>
        <v>7736</v>
      </c>
      <c r="L7" s="15">
        <f>612*2+3256*2</f>
        <v>7736</v>
      </c>
      <c r="M7" s="15">
        <f t="shared" si="0"/>
        <v>7736</v>
      </c>
      <c r="N7" s="15">
        <v>0</v>
      </c>
      <c r="O7" s="58">
        <f t="shared" si="1"/>
        <v>0</v>
      </c>
      <c r="P7" s="39">
        <f t="shared" si="2"/>
        <v>18</v>
      </c>
      <c r="Q7" s="40">
        <f t="shared" si="3"/>
        <v>6</v>
      </c>
      <c r="R7" s="7"/>
      <c r="S7" s="6"/>
      <c r="T7" s="16">
        <v>6</v>
      </c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0.75</v>
      </c>
      <c r="AD7" s="10">
        <f t="shared" si="6"/>
        <v>0.75</v>
      </c>
      <c r="AE7" s="36">
        <f t="shared" si="7"/>
        <v>0.31510416666666663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/>
      <c r="E8" s="53" t="s">
        <v>321</v>
      </c>
      <c r="F8" s="30" t="s">
        <v>340</v>
      </c>
      <c r="G8" s="33">
        <v>1</v>
      </c>
      <c r="H8" s="35">
        <v>24</v>
      </c>
      <c r="I8" s="7">
        <v>50500</v>
      </c>
      <c r="J8" s="5">
        <v>5311</v>
      </c>
      <c r="K8" s="15">
        <f>L8+4349+2445+5035+5245+5660+1855+3016+5569</f>
        <v>38485</v>
      </c>
      <c r="L8" s="15">
        <f>2478+2833</f>
        <v>5311</v>
      </c>
      <c r="M8" s="15">
        <f t="shared" si="0"/>
        <v>5311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0.31510416666666663</v>
      </c>
      <c r="AF8" s="84">
        <f t="shared" si="8"/>
        <v>3</v>
      </c>
    </row>
    <row r="9" spans="1:32" ht="27" customHeight="1">
      <c r="A9" s="96">
        <v>4</v>
      </c>
      <c r="B9" s="11" t="s">
        <v>502</v>
      </c>
      <c r="C9" s="34" t="s">
        <v>121</v>
      </c>
      <c r="D9" s="52" t="s">
        <v>115</v>
      </c>
      <c r="E9" s="53" t="s">
        <v>357</v>
      </c>
      <c r="F9" s="30" t="s">
        <v>340</v>
      </c>
      <c r="G9" s="12">
        <v>1</v>
      </c>
      <c r="H9" s="13">
        <v>24</v>
      </c>
      <c r="I9" s="7">
        <v>500</v>
      </c>
      <c r="J9" s="14">
        <v>1200</v>
      </c>
      <c r="K9" s="15">
        <f>L9</f>
        <v>1200</v>
      </c>
      <c r="L9" s="15">
        <v>1200</v>
      </c>
      <c r="M9" s="15">
        <f t="shared" si="0"/>
        <v>1200</v>
      </c>
      <c r="N9" s="15">
        <v>0</v>
      </c>
      <c r="O9" s="58">
        <f t="shared" si="1"/>
        <v>0</v>
      </c>
      <c r="P9" s="39">
        <f t="shared" si="2"/>
        <v>6</v>
      </c>
      <c r="Q9" s="40">
        <f t="shared" si="3"/>
        <v>18</v>
      </c>
      <c r="R9" s="7"/>
      <c r="S9" s="6">
        <v>10</v>
      </c>
      <c r="T9" s="16"/>
      <c r="U9" s="16"/>
      <c r="V9" s="17"/>
      <c r="W9" s="5">
        <v>8</v>
      </c>
      <c r="X9" s="16"/>
      <c r="Y9" s="16"/>
      <c r="Z9" s="16"/>
      <c r="AA9" s="18"/>
      <c r="AB9" s="8">
        <f t="shared" si="4"/>
        <v>1</v>
      </c>
      <c r="AC9" s="9">
        <f t="shared" si="5"/>
        <v>0.25</v>
      </c>
      <c r="AD9" s="10">
        <f t="shared" si="6"/>
        <v>0.25</v>
      </c>
      <c r="AE9" s="36">
        <f t="shared" si="7"/>
        <v>0.31510416666666663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147</v>
      </c>
      <c r="E10" s="53" t="s">
        <v>388</v>
      </c>
      <c r="F10" s="30" t="s">
        <v>127</v>
      </c>
      <c r="G10" s="33">
        <v>1</v>
      </c>
      <c r="H10" s="35">
        <v>24</v>
      </c>
      <c r="I10" s="7">
        <v>36000</v>
      </c>
      <c r="J10" s="14">
        <v>6007</v>
      </c>
      <c r="K10" s="15">
        <f>L10+3274+4039+5240+6353+6363</f>
        <v>31276</v>
      </c>
      <c r="L10" s="15">
        <f>3189+2818</f>
        <v>6007</v>
      </c>
      <c r="M10" s="15">
        <f t="shared" si="0"/>
        <v>6007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0.31510416666666663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263</v>
      </c>
      <c r="E11" s="53" t="s">
        <v>264</v>
      </c>
      <c r="F11" s="30" t="s">
        <v>206</v>
      </c>
      <c r="G11" s="33">
        <v>16</v>
      </c>
      <c r="H11" s="35">
        <v>24</v>
      </c>
      <c r="I11" s="7">
        <v>100000</v>
      </c>
      <c r="J11" s="14">
        <v>67990</v>
      </c>
      <c r="K11" s="15">
        <f>L11+49500+67990</f>
        <v>117490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0.31510416666666663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121</v>
      </c>
      <c r="D12" s="52" t="s">
        <v>115</v>
      </c>
      <c r="E12" s="53" t="s">
        <v>472</v>
      </c>
      <c r="F12" s="30" t="s">
        <v>504</v>
      </c>
      <c r="G12" s="12">
        <v>2</v>
      </c>
      <c r="H12" s="13">
        <v>22</v>
      </c>
      <c r="I12" s="31">
        <v>18000</v>
      </c>
      <c r="J12" s="5">
        <v>4460</v>
      </c>
      <c r="K12" s="15">
        <f>L12</f>
        <v>4460</v>
      </c>
      <c r="L12" s="15">
        <f>2230*2</f>
        <v>4460</v>
      </c>
      <c r="M12" s="15">
        <f t="shared" si="0"/>
        <v>4460</v>
      </c>
      <c r="N12" s="15">
        <v>0</v>
      </c>
      <c r="O12" s="58">
        <f t="shared" si="1"/>
        <v>0</v>
      </c>
      <c r="P12" s="39">
        <f t="shared" si="2"/>
        <v>13</v>
      </c>
      <c r="Q12" s="40">
        <f t="shared" si="3"/>
        <v>11</v>
      </c>
      <c r="R12" s="7"/>
      <c r="S12" s="6"/>
      <c r="T12" s="16">
        <v>11</v>
      </c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0.54166666666666663</v>
      </c>
      <c r="AD12" s="10">
        <f t="shared" si="6"/>
        <v>0.54166666666666663</v>
      </c>
      <c r="AE12" s="36">
        <f t="shared" si="7"/>
        <v>0.31510416666666663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224</v>
      </c>
      <c r="E13" s="53" t="s">
        <v>503</v>
      </c>
      <c r="F13" s="30" t="s">
        <v>168</v>
      </c>
      <c r="G13" s="33">
        <v>1</v>
      </c>
      <c r="H13" s="35">
        <v>24</v>
      </c>
      <c r="I13" s="7">
        <v>18000</v>
      </c>
      <c r="J13" s="14">
        <v>4308</v>
      </c>
      <c r="K13" s="15">
        <f>L13</f>
        <v>0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>
        <v>24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0.31510416666666663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153</v>
      </c>
      <c r="F14" s="30" t="s">
        <v>144</v>
      </c>
      <c r="G14" s="33">
        <v>1</v>
      </c>
      <c r="H14" s="35">
        <v>50</v>
      </c>
      <c r="I14" s="7">
        <v>200</v>
      </c>
      <c r="J14" s="5">
        <v>392</v>
      </c>
      <c r="K14" s="15">
        <f>L14+392</f>
        <v>392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0.31510416666666663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125</v>
      </c>
      <c r="E15" s="53" t="s">
        <v>150</v>
      </c>
      <c r="F15" s="12" t="s">
        <v>138</v>
      </c>
      <c r="G15" s="12">
        <v>1</v>
      </c>
      <c r="H15" s="13">
        <v>24</v>
      </c>
      <c r="I15" s="31">
        <v>6500</v>
      </c>
      <c r="J15" s="14">
        <v>5214</v>
      </c>
      <c r="K15" s="15">
        <f>L15+2059+5272+5214</f>
        <v>12545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0.31510416666666663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119</v>
      </c>
      <c r="D16" s="52" t="s">
        <v>399</v>
      </c>
      <c r="E16" s="53" t="s">
        <v>423</v>
      </c>
      <c r="F16" s="30" t="s">
        <v>169</v>
      </c>
      <c r="G16" s="12" t="s">
        <v>424</v>
      </c>
      <c r="H16" s="13">
        <v>24</v>
      </c>
      <c r="I16" s="7">
        <v>3000</v>
      </c>
      <c r="J16" s="14">
        <v>3086</v>
      </c>
      <c r="K16" s="15">
        <f>L16+4862+3086</f>
        <v>7948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0.31510416666666663</v>
      </c>
      <c r="AF16" s="84">
        <f t="shared" si="8"/>
        <v>11</v>
      </c>
    </row>
    <row r="17" spans="1:32" ht="30" customHeight="1">
      <c r="A17" s="95">
        <v>12</v>
      </c>
      <c r="B17" s="11" t="s">
        <v>502</v>
      </c>
      <c r="C17" s="34" t="s">
        <v>121</v>
      </c>
      <c r="D17" s="52" t="s">
        <v>125</v>
      </c>
      <c r="E17" s="53" t="s">
        <v>355</v>
      </c>
      <c r="F17" s="30" t="s">
        <v>138</v>
      </c>
      <c r="G17" s="12">
        <v>1</v>
      </c>
      <c r="H17" s="13">
        <v>24</v>
      </c>
      <c r="I17" s="7">
        <v>500</v>
      </c>
      <c r="J17" s="14">
        <v>600</v>
      </c>
      <c r="K17" s="15">
        <f>L17</f>
        <v>600</v>
      </c>
      <c r="L17" s="15">
        <v>600</v>
      </c>
      <c r="M17" s="15">
        <f t="shared" si="0"/>
        <v>600</v>
      </c>
      <c r="N17" s="15">
        <v>0</v>
      </c>
      <c r="O17" s="58">
        <f t="shared" si="1"/>
        <v>0</v>
      </c>
      <c r="P17" s="39">
        <f t="shared" si="2"/>
        <v>4</v>
      </c>
      <c r="Q17" s="40">
        <f t="shared" si="3"/>
        <v>20</v>
      </c>
      <c r="R17" s="7"/>
      <c r="S17" s="6"/>
      <c r="T17" s="16"/>
      <c r="U17" s="16"/>
      <c r="V17" s="17"/>
      <c r="W17" s="5">
        <v>20</v>
      </c>
      <c r="X17" s="16"/>
      <c r="Y17" s="16"/>
      <c r="Z17" s="16"/>
      <c r="AA17" s="18"/>
      <c r="AB17" s="8">
        <f t="shared" si="4"/>
        <v>1</v>
      </c>
      <c r="AC17" s="9">
        <f t="shared" si="5"/>
        <v>0.16666666666666666</v>
      </c>
      <c r="AD17" s="10">
        <f t="shared" si="6"/>
        <v>0.16666666666666666</v>
      </c>
      <c r="AE17" s="36">
        <f t="shared" si="7"/>
        <v>0.31510416666666663</v>
      </c>
      <c r="AF17" s="84">
        <f t="shared" si="8"/>
        <v>12</v>
      </c>
    </row>
    <row r="18" spans="1:32" ht="27" customHeight="1">
      <c r="A18" s="96">
        <v>13</v>
      </c>
      <c r="B18" s="11" t="s">
        <v>502</v>
      </c>
      <c r="C18" s="11" t="s">
        <v>121</v>
      </c>
      <c r="D18" s="52" t="s">
        <v>131</v>
      </c>
      <c r="E18" s="53" t="s">
        <v>354</v>
      </c>
      <c r="F18" s="30" t="s">
        <v>142</v>
      </c>
      <c r="G18" s="33">
        <v>1</v>
      </c>
      <c r="H18" s="35">
        <v>24</v>
      </c>
      <c r="I18" s="7">
        <v>500</v>
      </c>
      <c r="J18" s="14">
        <v>700</v>
      </c>
      <c r="K18" s="15">
        <f>L18</f>
        <v>700</v>
      </c>
      <c r="L18" s="15">
        <v>700</v>
      </c>
      <c r="M18" s="15">
        <f t="shared" si="0"/>
        <v>700</v>
      </c>
      <c r="N18" s="15">
        <v>0</v>
      </c>
      <c r="O18" s="58">
        <f t="shared" si="1"/>
        <v>0</v>
      </c>
      <c r="P18" s="39">
        <f t="shared" si="2"/>
        <v>4</v>
      </c>
      <c r="Q18" s="40">
        <f t="shared" si="3"/>
        <v>20</v>
      </c>
      <c r="R18" s="7"/>
      <c r="S18" s="6"/>
      <c r="T18" s="16"/>
      <c r="U18" s="16"/>
      <c r="V18" s="17"/>
      <c r="W18" s="5">
        <v>20</v>
      </c>
      <c r="X18" s="16"/>
      <c r="Y18" s="16"/>
      <c r="Z18" s="16"/>
      <c r="AA18" s="18"/>
      <c r="AB18" s="8">
        <f t="shared" si="4"/>
        <v>1</v>
      </c>
      <c r="AC18" s="9">
        <f t="shared" si="5"/>
        <v>0.16666666666666666</v>
      </c>
      <c r="AD18" s="10">
        <f t="shared" si="6"/>
        <v>0.16666666666666666</v>
      </c>
      <c r="AE18" s="36">
        <f t="shared" si="7"/>
        <v>0.31510416666666663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431</v>
      </c>
      <c r="F19" s="30" t="s">
        <v>169</v>
      </c>
      <c r="G19" s="33">
        <v>1</v>
      </c>
      <c r="H19" s="35">
        <v>24</v>
      </c>
      <c r="I19" s="7">
        <v>3200</v>
      </c>
      <c r="J19" s="14">
        <v>5201</v>
      </c>
      <c r="K19" s="15">
        <f>L19+3893+4921+5201</f>
        <v>14015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0.31510416666666663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151</v>
      </c>
      <c r="F20" s="30" t="s">
        <v>142</v>
      </c>
      <c r="G20" s="12">
        <v>1</v>
      </c>
      <c r="H20" s="13">
        <v>24</v>
      </c>
      <c r="I20" s="7">
        <v>20000</v>
      </c>
      <c r="J20" s="14">
        <v>3196</v>
      </c>
      <c r="K20" s="15">
        <f>L20+5452+5525+5570</f>
        <v>19743</v>
      </c>
      <c r="L20" s="15">
        <f>413+2783</f>
        <v>3196</v>
      </c>
      <c r="M20" s="15">
        <f t="shared" si="0"/>
        <v>3196</v>
      </c>
      <c r="N20" s="15">
        <v>0</v>
      </c>
      <c r="O20" s="58">
        <f t="shared" si="1"/>
        <v>0</v>
      </c>
      <c r="P20" s="39">
        <f t="shared" si="2"/>
        <v>16</v>
      </c>
      <c r="Q20" s="40">
        <f t="shared" si="3"/>
        <v>8</v>
      </c>
      <c r="R20" s="7"/>
      <c r="S20" s="6">
        <v>8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0.66666666666666663</v>
      </c>
      <c r="AD20" s="10">
        <f t="shared" si="6"/>
        <v>0.66666666666666663</v>
      </c>
      <c r="AE20" s="36">
        <f t="shared" si="7"/>
        <v>0.31510416666666663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140</v>
      </c>
      <c r="F21" s="12" t="s">
        <v>114</v>
      </c>
      <c r="G21" s="12">
        <v>4</v>
      </c>
      <c r="H21" s="35">
        <v>20</v>
      </c>
      <c r="I21" s="7">
        <v>2000000</v>
      </c>
      <c r="J21" s="14">
        <v>31300</v>
      </c>
      <c r="K21" s="15">
        <f>L21</f>
        <v>31300</v>
      </c>
      <c r="L21" s="15">
        <f>7825*4</f>
        <v>31300</v>
      </c>
      <c r="M21" s="15">
        <f t="shared" si="0"/>
        <v>31300</v>
      </c>
      <c r="N21" s="15">
        <v>0</v>
      </c>
      <c r="O21" s="58">
        <f t="shared" si="1"/>
        <v>0</v>
      </c>
      <c r="P21" s="39">
        <f t="shared" si="2"/>
        <v>12</v>
      </c>
      <c r="Q21" s="40">
        <f t="shared" si="3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</v>
      </c>
      <c r="AD21" s="10">
        <f t="shared" si="6"/>
        <v>0.5</v>
      </c>
      <c r="AE21" s="36">
        <f t="shared" si="7"/>
        <v>0.31510416666666663</v>
      </c>
      <c r="AF21" s="84">
        <f t="shared" si="8"/>
        <v>16</v>
      </c>
    </row>
    <row r="22" spans="1:32" ht="31.5" customHeight="1" thickBot="1">
      <c r="A22" s="384" t="s">
        <v>34</v>
      </c>
      <c r="B22" s="385"/>
      <c r="C22" s="385"/>
      <c r="D22" s="385"/>
      <c r="E22" s="385"/>
      <c r="F22" s="385"/>
      <c r="G22" s="385"/>
      <c r="H22" s="386"/>
      <c r="I22" s="22">
        <f t="shared" ref="I22:N22" si="9">SUM(I6:I21)</f>
        <v>2276500</v>
      </c>
      <c r="J22" s="19">
        <f t="shared" si="9"/>
        <v>148603</v>
      </c>
      <c r="K22" s="20">
        <f t="shared" si="9"/>
        <v>292535</v>
      </c>
      <c r="L22" s="21">
        <f t="shared" si="9"/>
        <v>60510</v>
      </c>
      <c r="M22" s="20">
        <f t="shared" si="9"/>
        <v>60510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121</v>
      </c>
      <c r="Q22" s="43">
        <f t="shared" si="10"/>
        <v>263</v>
      </c>
      <c r="R22" s="23">
        <f t="shared" si="10"/>
        <v>24</v>
      </c>
      <c r="S22" s="24">
        <f t="shared" si="10"/>
        <v>42</v>
      </c>
      <c r="T22" s="24">
        <f t="shared" si="10"/>
        <v>17</v>
      </c>
      <c r="U22" s="24">
        <f t="shared" si="10"/>
        <v>0</v>
      </c>
      <c r="V22" s="25">
        <f t="shared" si="10"/>
        <v>12</v>
      </c>
      <c r="W22" s="26">
        <f t="shared" si="10"/>
        <v>72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96</v>
      </c>
      <c r="AB22" s="28">
        <f>AVERAGE(AB6:AB21)</f>
        <v>0.5625</v>
      </c>
      <c r="AC22" s="4">
        <f>AVERAGE(AC6:AC21)</f>
        <v>0.31510416666666663</v>
      </c>
      <c r="AD22" s="4">
        <f>AVERAGE(AD6:AD21)</f>
        <v>0.31510416666666663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387" t="s">
        <v>45</v>
      </c>
      <c r="B49" s="387"/>
      <c r="C49" s="387"/>
      <c r="D49" s="387"/>
      <c r="E49" s="38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388" t="s">
        <v>505</v>
      </c>
      <c r="B50" s="389"/>
      <c r="C50" s="389"/>
      <c r="D50" s="389"/>
      <c r="E50" s="389"/>
      <c r="F50" s="389"/>
      <c r="G50" s="389"/>
      <c r="H50" s="389"/>
      <c r="I50" s="389"/>
      <c r="J50" s="389"/>
      <c r="K50" s="389"/>
      <c r="L50" s="389"/>
      <c r="M50" s="390"/>
      <c r="N50" s="391" t="s">
        <v>509</v>
      </c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  <c r="AA50" s="392"/>
      <c r="AB50" s="392"/>
      <c r="AC50" s="392"/>
      <c r="AD50" s="393"/>
    </row>
    <row r="51" spans="1:32" ht="27" customHeight="1">
      <c r="A51" s="394" t="s">
        <v>2</v>
      </c>
      <c r="B51" s="395"/>
      <c r="C51" s="293" t="s">
        <v>46</v>
      </c>
      <c r="D51" s="293" t="s">
        <v>47</v>
      </c>
      <c r="E51" s="293" t="s">
        <v>107</v>
      </c>
      <c r="F51" s="396" t="s">
        <v>106</v>
      </c>
      <c r="G51" s="397"/>
      <c r="H51" s="397"/>
      <c r="I51" s="397"/>
      <c r="J51" s="397"/>
      <c r="K51" s="397"/>
      <c r="L51" s="397"/>
      <c r="M51" s="398"/>
      <c r="N51" s="67" t="s">
        <v>110</v>
      </c>
      <c r="O51" s="293" t="s">
        <v>46</v>
      </c>
      <c r="P51" s="396" t="s">
        <v>47</v>
      </c>
      <c r="Q51" s="399"/>
      <c r="R51" s="396" t="s">
        <v>38</v>
      </c>
      <c r="S51" s="397"/>
      <c r="T51" s="397"/>
      <c r="U51" s="399"/>
      <c r="V51" s="396" t="s">
        <v>48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420" t="s">
        <v>121</v>
      </c>
      <c r="B52" s="421"/>
      <c r="C52" s="296" t="s">
        <v>129</v>
      </c>
      <c r="D52" s="296"/>
      <c r="E52" s="296" t="s">
        <v>471</v>
      </c>
      <c r="F52" s="412" t="s">
        <v>130</v>
      </c>
      <c r="G52" s="413"/>
      <c r="H52" s="413"/>
      <c r="I52" s="413"/>
      <c r="J52" s="413"/>
      <c r="K52" s="413"/>
      <c r="L52" s="413"/>
      <c r="M52" s="414"/>
      <c r="N52" s="295" t="s">
        <v>121</v>
      </c>
      <c r="O52" s="301" t="s">
        <v>136</v>
      </c>
      <c r="P52" s="415"/>
      <c r="Q52" s="416"/>
      <c r="R52" s="415" t="s">
        <v>503</v>
      </c>
      <c r="S52" s="417"/>
      <c r="T52" s="417"/>
      <c r="U52" s="416"/>
      <c r="V52" s="418" t="s">
        <v>126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10" t="s">
        <v>121</v>
      </c>
      <c r="B53" s="411"/>
      <c r="C53" s="294" t="s">
        <v>137</v>
      </c>
      <c r="D53" s="294" t="s">
        <v>115</v>
      </c>
      <c r="E53" s="296" t="s">
        <v>357</v>
      </c>
      <c r="F53" s="412" t="s">
        <v>506</v>
      </c>
      <c r="G53" s="413"/>
      <c r="H53" s="413"/>
      <c r="I53" s="413"/>
      <c r="J53" s="413"/>
      <c r="K53" s="413"/>
      <c r="L53" s="413"/>
      <c r="M53" s="414"/>
      <c r="N53" s="295" t="s">
        <v>112</v>
      </c>
      <c r="O53" s="301" t="s">
        <v>135</v>
      </c>
      <c r="P53" s="415" t="s">
        <v>115</v>
      </c>
      <c r="Q53" s="416"/>
      <c r="R53" s="415" t="s">
        <v>510</v>
      </c>
      <c r="S53" s="417"/>
      <c r="T53" s="417"/>
      <c r="U53" s="416"/>
      <c r="V53" s="418" t="s">
        <v>130</v>
      </c>
      <c r="W53" s="418"/>
      <c r="X53" s="418"/>
      <c r="Y53" s="418"/>
      <c r="Z53" s="418"/>
      <c r="AA53" s="418"/>
      <c r="AB53" s="418"/>
      <c r="AC53" s="418"/>
      <c r="AD53" s="419"/>
    </row>
    <row r="54" spans="1:32" ht="27" customHeight="1">
      <c r="A54" s="420" t="s">
        <v>121</v>
      </c>
      <c r="B54" s="421"/>
      <c r="C54" s="296" t="s">
        <v>219</v>
      </c>
      <c r="D54" s="296"/>
      <c r="E54" s="296" t="s">
        <v>472</v>
      </c>
      <c r="F54" s="412" t="s">
        <v>130</v>
      </c>
      <c r="G54" s="413"/>
      <c r="H54" s="413"/>
      <c r="I54" s="413"/>
      <c r="J54" s="413"/>
      <c r="K54" s="413"/>
      <c r="L54" s="413"/>
      <c r="M54" s="414"/>
      <c r="N54" s="295"/>
      <c r="O54" s="301"/>
      <c r="P54" s="415"/>
      <c r="Q54" s="416"/>
      <c r="R54" s="415"/>
      <c r="S54" s="417"/>
      <c r="T54" s="417"/>
      <c r="U54" s="416"/>
      <c r="V54" s="418"/>
      <c r="W54" s="418"/>
      <c r="X54" s="418"/>
      <c r="Y54" s="418"/>
      <c r="Z54" s="418"/>
      <c r="AA54" s="418"/>
      <c r="AB54" s="418"/>
      <c r="AC54" s="418"/>
      <c r="AD54" s="419"/>
    </row>
    <row r="55" spans="1:32" ht="27" customHeight="1">
      <c r="A55" s="410" t="s">
        <v>121</v>
      </c>
      <c r="B55" s="411"/>
      <c r="C55" s="294" t="s">
        <v>136</v>
      </c>
      <c r="D55" s="294"/>
      <c r="E55" s="296" t="s">
        <v>503</v>
      </c>
      <c r="F55" s="412" t="s">
        <v>507</v>
      </c>
      <c r="G55" s="413"/>
      <c r="H55" s="413"/>
      <c r="I55" s="413"/>
      <c r="J55" s="413"/>
      <c r="K55" s="413"/>
      <c r="L55" s="413"/>
      <c r="M55" s="414"/>
      <c r="N55" s="295"/>
      <c r="O55" s="301"/>
      <c r="P55" s="415"/>
      <c r="Q55" s="416"/>
      <c r="R55" s="415"/>
      <c r="S55" s="417"/>
      <c r="T55" s="417"/>
      <c r="U55" s="416"/>
      <c r="V55" s="418"/>
      <c r="W55" s="418"/>
      <c r="X55" s="418"/>
      <c r="Y55" s="418"/>
      <c r="Z55" s="418"/>
      <c r="AA55" s="418"/>
      <c r="AB55" s="418"/>
      <c r="AC55" s="418"/>
      <c r="AD55" s="419"/>
    </row>
    <row r="56" spans="1:32" ht="27" customHeight="1">
      <c r="A56" s="410" t="s">
        <v>121</v>
      </c>
      <c r="B56" s="411"/>
      <c r="C56" s="294" t="s">
        <v>230</v>
      </c>
      <c r="D56" s="294"/>
      <c r="E56" s="296" t="s">
        <v>355</v>
      </c>
      <c r="F56" s="412" t="s">
        <v>469</v>
      </c>
      <c r="G56" s="413"/>
      <c r="H56" s="413"/>
      <c r="I56" s="413"/>
      <c r="J56" s="413"/>
      <c r="K56" s="413"/>
      <c r="L56" s="413"/>
      <c r="M56" s="414"/>
      <c r="N56" s="295"/>
      <c r="O56" s="301"/>
      <c r="P56" s="415"/>
      <c r="Q56" s="416"/>
      <c r="R56" s="415"/>
      <c r="S56" s="417"/>
      <c r="T56" s="417"/>
      <c r="U56" s="416"/>
      <c r="V56" s="418"/>
      <c r="W56" s="418"/>
      <c r="X56" s="418"/>
      <c r="Y56" s="418"/>
      <c r="Z56" s="418"/>
      <c r="AA56" s="418"/>
      <c r="AB56" s="418"/>
      <c r="AC56" s="418"/>
      <c r="AD56" s="419"/>
    </row>
    <row r="57" spans="1:32" ht="27" customHeight="1">
      <c r="A57" s="410" t="s">
        <v>121</v>
      </c>
      <c r="B57" s="411"/>
      <c r="C57" s="294" t="s">
        <v>184</v>
      </c>
      <c r="D57" s="294"/>
      <c r="E57" s="296" t="s">
        <v>354</v>
      </c>
      <c r="F57" s="412" t="s">
        <v>469</v>
      </c>
      <c r="G57" s="413"/>
      <c r="H57" s="413"/>
      <c r="I57" s="413"/>
      <c r="J57" s="413"/>
      <c r="K57" s="413"/>
      <c r="L57" s="413"/>
      <c r="M57" s="414"/>
      <c r="N57" s="295"/>
      <c r="O57" s="301"/>
      <c r="P57" s="415"/>
      <c r="Q57" s="416"/>
      <c r="R57" s="415"/>
      <c r="S57" s="417"/>
      <c r="T57" s="417"/>
      <c r="U57" s="416"/>
      <c r="V57" s="418"/>
      <c r="W57" s="418"/>
      <c r="X57" s="418"/>
      <c r="Y57" s="418"/>
      <c r="Z57" s="418"/>
      <c r="AA57" s="418"/>
      <c r="AB57" s="418"/>
      <c r="AC57" s="418"/>
      <c r="AD57" s="419"/>
    </row>
    <row r="58" spans="1:32" ht="27" customHeight="1">
      <c r="A58" s="410" t="s">
        <v>112</v>
      </c>
      <c r="B58" s="411"/>
      <c r="C58" s="294" t="s">
        <v>199</v>
      </c>
      <c r="D58" s="294"/>
      <c r="E58" s="296" t="s">
        <v>197</v>
      </c>
      <c r="F58" s="412" t="s">
        <v>508</v>
      </c>
      <c r="G58" s="413"/>
      <c r="H58" s="413"/>
      <c r="I58" s="413"/>
      <c r="J58" s="413"/>
      <c r="K58" s="413"/>
      <c r="L58" s="413"/>
      <c r="M58" s="414"/>
      <c r="N58" s="295"/>
      <c r="O58" s="301"/>
      <c r="P58" s="415"/>
      <c r="Q58" s="416"/>
      <c r="R58" s="415"/>
      <c r="S58" s="417"/>
      <c r="T58" s="417"/>
      <c r="U58" s="416"/>
      <c r="V58" s="418"/>
      <c r="W58" s="418"/>
      <c r="X58" s="418"/>
      <c r="Y58" s="418"/>
      <c r="Z58" s="418"/>
      <c r="AA58" s="418"/>
      <c r="AB58" s="418"/>
      <c r="AC58" s="418"/>
      <c r="AD58" s="419"/>
    </row>
    <row r="59" spans="1:32" ht="27" customHeight="1">
      <c r="A59" s="420"/>
      <c r="B59" s="421"/>
      <c r="C59" s="296"/>
      <c r="D59" s="296"/>
      <c r="E59" s="296"/>
      <c r="F59" s="412"/>
      <c r="G59" s="413"/>
      <c r="H59" s="413"/>
      <c r="I59" s="413"/>
      <c r="J59" s="413"/>
      <c r="K59" s="413"/>
      <c r="L59" s="413"/>
      <c r="M59" s="414"/>
      <c r="N59" s="295"/>
      <c r="O59" s="301"/>
      <c r="P59" s="415"/>
      <c r="Q59" s="416"/>
      <c r="R59" s="421"/>
      <c r="S59" s="421"/>
      <c r="T59" s="421"/>
      <c r="U59" s="421"/>
      <c r="V59" s="418"/>
      <c r="W59" s="418"/>
      <c r="X59" s="418"/>
      <c r="Y59" s="418"/>
      <c r="Z59" s="418"/>
      <c r="AA59" s="418"/>
      <c r="AB59" s="418"/>
      <c r="AC59" s="418"/>
      <c r="AD59" s="419"/>
    </row>
    <row r="60" spans="1:32" ht="27" customHeight="1">
      <c r="A60" s="410"/>
      <c r="B60" s="411"/>
      <c r="C60" s="294"/>
      <c r="D60" s="294"/>
      <c r="E60" s="296"/>
      <c r="F60" s="412"/>
      <c r="G60" s="413"/>
      <c r="H60" s="413"/>
      <c r="I60" s="413"/>
      <c r="J60" s="413"/>
      <c r="K60" s="413"/>
      <c r="L60" s="413"/>
      <c r="M60" s="414"/>
      <c r="N60" s="295"/>
      <c r="O60" s="301"/>
      <c r="P60" s="421"/>
      <c r="Q60" s="421"/>
      <c r="R60" s="421"/>
      <c r="S60" s="421"/>
      <c r="T60" s="421"/>
      <c r="U60" s="421"/>
      <c r="V60" s="418"/>
      <c r="W60" s="418"/>
      <c r="X60" s="418"/>
      <c r="Y60" s="418"/>
      <c r="Z60" s="418"/>
      <c r="AA60" s="418"/>
      <c r="AB60" s="418"/>
      <c r="AC60" s="418"/>
      <c r="AD60" s="419"/>
      <c r="AF60" s="84">
        <f>8*3000</f>
        <v>24000</v>
      </c>
    </row>
    <row r="61" spans="1:32" ht="27" customHeight="1" thickBot="1">
      <c r="A61" s="422"/>
      <c r="B61" s="423"/>
      <c r="C61" s="297"/>
      <c r="D61" s="298"/>
      <c r="E61" s="298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30" t="s">
        <v>511</v>
      </c>
      <c r="B62" s="430"/>
      <c r="C62" s="430"/>
      <c r="D62" s="430"/>
      <c r="E62" s="43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31" t="s">
        <v>111</v>
      </c>
      <c r="B63" s="432"/>
      <c r="C63" s="299" t="s">
        <v>2</v>
      </c>
      <c r="D63" s="299" t="s">
        <v>37</v>
      </c>
      <c r="E63" s="299" t="s">
        <v>3</v>
      </c>
      <c r="F63" s="432" t="s">
        <v>109</v>
      </c>
      <c r="G63" s="432"/>
      <c r="H63" s="432"/>
      <c r="I63" s="432"/>
      <c r="J63" s="432"/>
      <c r="K63" s="432" t="s">
        <v>39</v>
      </c>
      <c r="L63" s="432"/>
      <c r="M63" s="299" t="s">
        <v>40</v>
      </c>
      <c r="N63" s="432" t="s">
        <v>41</v>
      </c>
      <c r="O63" s="432"/>
      <c r="P63" s="433" t="s">
        <v>42</v>
      </c>
      <c r="Q63" s="434"/>
      <c r="R63" s="433" t="s">
        <v>43</v>
      </c>
      <c r="S63" s="435"/>
      <c r="T63" s="435"/>
      <c r="U63" s="435"/>
      <c r="V63" s="435"/>
      <c r="W63" s="435"/>
      <c r="X63" s="435"/>
      <c r="Y63" s="435"/>
      <c r="Z63" s="435"/>
      <c r="AA63" s="434"/>
      <c r="AB63" s="432" t="s">
        <v>44</v>
      </c>
      <c r="AC63" s="432"/>
      <c r="AD63" s="436"/>
      <c r="AF63" s="84">
        <f>SUM(AF60:AF62)</f>
        <v>96000</v>
      </c>
    </row>
    <row r="64" spans="1:32" ht="25.5" customHeight="1">
      <c r="A64" s="437">
        <v>1</v>
      </c>
      <c r="B64" s="438"/>
      <c r="C64" s="104" t="s">
        <v>119</v>
      </c>
      <c r="D64" s="303"/>
      <c r="E64" s="300" t="s">
        <v>231</v>
      </c>
      <c r="F64" s="439" t="s">
        <v>512</v>
      </c>
      <c r="G64" s="440"/>
      <c r="H64" s="440"/>
      <c r="I64" s="440"/>
      <c r="J64" s="441"/>
      <c r="K64" s="442" t="s">
        <v>132</v>
      </c>
      <c r="L64" s="442"/>
      <c r="M64" s="51" t="s">
        <v>358</v>
      </c>
      <c r="N64" s="443" t="s">
        <v>255</v>
      </c>
      <c r="O64" s="443"/>
      <c r="P64" s="444">
        <v>50</v>
      </c>
      <c r="Q64" s="444"/>
      <c r="R64" s="418"/>
      <c r="S64" s="418"/>
      <c r="T64" s="418"/>
      <c r="U64" s="418"/>
      <c r="V64" s="418"/>
      <c r="W64" s="418"/>
      <c r="X64" s="418"/>
      <c r="Y64" s="418"/>
      <c r="Z64" s="418"/>
      <c r="AA64" s="418"/>
      <c r="AB64" s="442"/>
      <c r="AC64" s="442"/>
      <c r="AD64" s="445"/>
      <c r="AF64" s="50"/>
    </row>
    <row r="65" spans="1:32" ht="25.5" customHeight="1">
      <c r="A65" s="437">
        <v>2</v>
      </c>
      <c r="B65" s="438"/>
      <c r="C65" s="104" t="s">
        <v>119</v>
      </c>
      <c r="D65" s="303"/>
      <c r="E65" s="300" t="s">
        <v>491</v>
      </c>
      <c r="F65" s="439" t="s">
        <v>490</v>
      </c>
      <c r="G65" s="440"/>
      <c r="H65" s="440"/>
      <c r="I65" s="440"/>
      <c r="J65" s="441"/>
      <c r="K65" s="442" t="s">
        <v>132</v>
      </c>
      <c r="L65" s="442"/>
      <c r="M65" s="51" t="s">
        <v>358</v>
      </c>
      <c r="N65" s="443" t="s">
        <v>335</v>
      </c>
      <c r="O65" s="443"/>
      <c r="P65" s="444">
        <v>100</v>
      </c>
      <c r="Q65" s="444"/>
      <c r="R65" s="418" t="s">
        <v>513</v>
      </c>
      <c r="S65" s="418"/>
      <c r="T65" s="418"/>
      <c r="U65" s="418"/>
      <c r="V65" s="418"/>
      <c r="W65" s="418"/>
      <c r="X65" s="418"/>
      <c r="Y65" s="418"/>
      <c r="Z65" s="418"/>
      <c r="AA65" s="418"/>
      <c r="AB65" s="442"/>
      <c r="AC65" s="442"/>
      <c r="AD65" s="445"/>
      <c r="AF65" s="50"/>
    </row>
    <row r="66" spans="1:32" ht="25.5" customHeight="1">
      <c r="A66" s="437">
        <v>3</v>
      </c>
      <c r="B66" s="438"/>
      <c r="C66" s="104" t="s">
        <v>119</v>
      </c>
      <c r="D66" s="303"/>
      <c r="E66" s="300" t="s">
        <v>146</v>
      </c>
      <c r="F66" s="439" t="s">
        <v>514</v>
      </c>
      <c r="G66" s="440"/>
      <c r="H66" s="440"/>
      <c r="I66" s="440"/>
      <c r="J66" s="441"/>
      <c r="K66" s="442" t="s">
        <v>236</v>
      </c>
      <c r="L66" s="442"/>
      <c r="M66" s="51" t="s">
        <v>358</v>
      </c>
      <c r="N66" s="443" t="s">
        <v>135</v>
      </c>
      <c r="O66" s="443"/>
      <c r="P66" s="444">
        <v>50</v>
      </c>
      <c r="Q66" s="444"/>
      <c r="R66" s="418"/>
      <c r="S66" s="418"/>
      <c r="T66" s="418"/>
      <c r="U66" s="418"/>
      <c r="V66" s="418"/>
      <c r="W66" s="418"/>
      <c r="X66" s="418"/>
      <c r="Y66" s="418"/>
      <c r="Z66" s="418"/>
      <c r="AA66" s="418"/>
      <c r="AB66" s="442"/>
      <c r="AC66" s="442"/>
      <c r="AD66" s="445"/>
      <c r="AF66" s="50"/>
    </row>
    <row r="67" spans="1:32" ht="25.5" customHeight="1">
      <c r="A67" s="437">
        <v>4</v>
      </c>
      <c r="B67" s="438"/>
      <c r="C67" s="104" t="s">
        <v>119</v>
      </c>
      <c r="D67" s="303"/>
      <c r="E67" s="300" t="s">
        <v>115</v>
      </c>
      <c r="F67" s="439" t="s">
        <v>496</v>
      </c>
      <c r="G67" s="440"/>
      <c r="H67" s="440"/>
      <c r="I67" s="440"/>
      <c r="J67" s="441"/>
      <c r="K67" s="442" t="s">
        <v>142</v>
      </c>
      <c r="L67" s="442"/>
      <c r="M67" s="51" t="s">
        <v>358</v>
      </c>
      <c r="N67" s="443" t="s">
        <v>184</v>
      </c>
      <c r="O67" s="443"/>
      <c r="P67" s="444">
        <v>50</v>
      </c>
      <c r="Q67" s="444"/>
      <c r="R67" s="418"/>
      <c r="S67" s="418"/>
      <c r="T67" s="418"/>
      <c r="U67" s="418"/>
      <c r="V67" s="418"/>
      <c r="W67" s="418"/>
      <c r="X67" s="418"/>
      <c r="Y67" s="418"/>
      <c r="Z67" s="418"/>
      <c r="AA67" s="418"/>
      <c r="AB67" s="442"/>
      <c r="AC67" s="442"/>
      <c r="AD67" s="445"/>
      <c r="AF67" s="50"/>
    </row>
    <row r="68" spans="1:32" ht="25.5" customHeight="1">
      <c r="A68" s="437">
        <v>5</v>
      </c>
      <c r="B68" s="438"/>
      <c r="C68" s="104" t="s">
        <v>121</v>
      </c>
      <c r="D68" s="303"/>
      <c r="E68" s="300"/>
      <c r="F68" s="439" t="s">
        <v>357</v>
      </c>
      <c r="G68" s="440"/>
      <c r="H68" s="440"/>
      <c r="I68" s="440"/>
      <c r="J68" s="441"/>
      <c r="K68" s="442" t="s">
        <v>340</v>
      </c>
      <c r="L68" s="442"/>
      <c r="M68" s="51" t="s">
        <v>141</v>
      </c>
      <c r="N68" s="443" t="s">
        <v>137</v>
      </c>
      <c r="O68" s="443"/>
      <c r="P68" s="444">
        <v>50</v>
      </c>
      <c r="Q68" s="444"/>
      <c r="R68" s="418" t="s">
        <v>515</v>
      </c>
      <c r="S68" s="418"/>
      <c r="T68" s="418"/>
      <c r="U68" s="418"/>
      <c r="V68" s="418"/>
      <c r="W68" s="418"/>
      <c r="X68" s="418"/>
      <c r="Y68" s="418"/>
      <c r="Z68" s="418"/>
      <c r="AA68" s="418"/>
      <c r="AB68" s="442"/>
      <c r="AC68" s="442"/>
      <c r="AD68" s="445"/>
      <c r="AF68" s="50"/>
    </row>
    <row r="69" spans="1:32" ht="25.5" customHeight="1">
      <c r="A69" s="437">
        <v>6</v>
      </c>
      <c r="B69" s="438"/>
      <c r="C69" s="104" t="s">
        <v>121</v>
      </c>
      <c r="D69" s="303"/>
      <c r="E69" s="300"/>
      <c r="F69" s="439" t="s">
        <v>354</v>
      </c>
      <c r="G69" s="440"/>
      <c r="H69" s="440"/>
      <c r="I69" s="440"/>
      <c r="J69" s="441"/>
      <c r="K69" s="442" t="s">
        <v>142</v>
      </c>
      <c r="L69" s="442"/>
      <c r="M69" s="51" t="s">
        <v>141</v>
      </c>
      <c r="N69" s="443" t="s">
        <v>184</v>
      </c>
      <c r="O69" s="443"/>
      <c r="P69" s="444">
        <v>50</v>
      </c>
      <c r="Q69" s="444"/>
      <c r="R69" s="418"/>
      <c r="S69" s="418"/>
      <c r="T69" s="418"/>
      <c r="U69" s="418"/>
      <c r="V69" s="418"/>
      <c r="W69" s="418"/>
      <c r="X69" s="418"/>
      <c r="Y69" s="418"/>
      <c r="Z69" s="418"/>
      <c r="AA69" s="418"/>
      <c r="AB69" s="442"/>
      <c r="AC69" s="442"/>
      <c r="AD69" s="445"/>
      <c r="AF69" s="50"/>
    </row>
    <row r="70" spans="1:32" ht="25.5" customHeight="1">
      <c r="A70" s="437">
        <v>7</v>
      </c>
      <c r="B70" s="438"/>
      <c r="C70" s="104" t="s">
        <v>121</v>
      </c>
      <c r="D70" s="303"/>
      <c r="E70" s="300"/>
      <c r="F70" s="439" t="s">
        <v>355</v>
      </c>
      <c r="G70" s="440"/>
      <c r="H70" s="440"/>
      <c r="I70" s="440"/>
      <c r="J70" s="441"/>
      <c r="K70" s="442" t="s">
        <v>138</v>
      </c>
      <c r="L70" s="442"/>
      <c r="M70" s="51" t="s">
        <v>141</v>
      </c>
      <c r="N70" s="443" t="s">
        <v>230</v>
      </c>
      <c r="O70" s="443"/>
      <c r="P70" s="444">
        <v>50</v>
      </c>
      <c r="Q70" s="444"/>
      <c r="R70" s="418"/>
      <c r="S70" s="418"/>
      <c r="T70" s="418"/>
      <c r="U70" s="418"/>
      <c r="V70" s="418"/>
      <c r="W70" s="418"/>
      <c r="X70" s="418"/>
      <c r="Y70" s="418"/>
      <c r="Z70" s="418"/>
      <c r="AA70" s="418"/>
      <c r="AB70" s="442"/>
      <c r="AC70" s="442"/>
      <c r="AD70" s="445"/>
      <c r="AF70" s="50"/>
    </row>
    <row r="71" spans="1:32" ht="25.5" customHeight="1">
      <c r="A71" s="437">
        <v>8</v>
      </c>
      <c r="B71" s="438"/>
      <c r="C71" s="104"/>
      <c r="D71" s="303"/>
      <c r="E71" s="300"/>
      <c r="F71" s="447"/>
      <c r="G71" s="442"/>
      <c r="H71" s="442"/>
      <c r="I71" s="442"/>
      <c r="J71" s="442"/>
      <c r="K71" s="442"/>
      <c r="L71" s="442"/>
      <c r="M71" s="51"/>
      <c r="N71" s="443"/>
      <c r="O71" s="443"/>
      <c r="P71" s="444"/>
      <c r="Q71" s="444"/>
      <c r="R71" s="418"/>
      <c r="S71" s="418"/>
      <c r="T71" s="418"/>
      <c r="U71" s="418"/>
      <c r="V71" s="418"/>
      <c r="W71" s="418"/>
      <c r="X71" s="418"/>
      <c r="Y71" s="418"/>
      <c r="Z71" s="418"/>
      <c r="AA71" s="418"/>
      <c r="AB71" s="442"/>
      <c r="AC71" s="442"/>
      <c r="AD71" s="445"/>
      <c r="AF71" s="50"/>
    </row>
    <row r="72" spans="1:32" ht="25.5" customHeight="1">
      <c r="A72" s="437">
        <v>9</v>
      </c>
      <c r="B72" s="438"/>
      <c r="C72" s="104"/>
      <c r="D72" s="303"/>
      <c r="E72" s="300"/>
      <c r="F72" s="447"/>
      <c r="G72" s="442"/>
      <c r="H72" s="442"/>
      <c r="I72" s="442"/>
      <c r="J72" s="442"/>
      <c r="K72" s="442"/>
      <c r="L72" s="442"/>
      <c r="M72" s="51"/>
      <c r="N72" s="443"/>
      <c r="O72" s="443"/>
      <c r="P72" s="444"/>
      <c r="Q72" s="444"/>
      <c r="R72" s="418"/>
      <c r="S72" s="418"/>
      <c r="T72" s="418"/>
      <c r="U72" s="418"/>
      <c r="V72" s="418"/>
      <c r="W72" s="418"/>
      <c r="X72" s="418"/>
      <c r="Y72" s="418"/>
      <c r="Z72" s="418"/>
      <c r="AA72" s="418"/>
      <c r="AB72" s="442"/>
      <c r="AC72" s="442"/>
      <c r="AD72" s="445"/>
      <c r="AF72" s="50"/>
    </row>
    <row r="73" spans="1:32" ht="25.5" customHeight="1">
      <c r="A73" s="437">
        <v>10</v>
      </c>
      <c r="B73" s="438"/>
      <c r="C73" s="104"/>
      <c r="D73" s="303"/>
      <c r="E73" s="300"/>
      <c r="F73" s="447"/>
      <c r="G73" s="442"/>
      <c r="H73" s="442"/>
      <c r="I73" s="442"/>
      <c r="J73" s="442"/>
      <c r="K73" s="442"/>
      <c r="L73" s="442"/>
      <c r="M73" s="51"/>
      <c r="N73" s="443"/>
      <c r="O73" s="443"/>
      <c r="P73" s="444"/>
      <c r="Q73" s="444"/>
      <c r="R73" s="418"/>
      <c r="S73" s="418"/>
      <c r="T73" s="418"/>
      <c r="U73" s="418"/>
      <c r="V73" s="418"/>
      <c r="W73" s="418"/>
      <c r="X73" s="418"/>
      <c r="Y73" s="418"/>
      <c r="Z73" s="418"/>
      <c r="AA73" s="418"/>
      <c r="AB73" s="442"/>
      <c r="AC73" s="442"/>
      <c r="AD73" s="445"/>
      <c r="AF73" s="50"/>
    </row>
    <row r="74" spans="1:32" ht="26.25" customHeight="1" thickBot="1">
      <c r="A74" s="448" t="s">
        <v>516</v>
      </c>
      <c r="B74" s="448"/>
      <c r="C74" s="448"/>
      <c r="D74" s="448"/>
      <c r="E74" s="44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49" t="s">
        <v>134</v>
      </c>
      <c r="B75" s="450"/>
      <c r="C75" s="302" t="s">
        <v>2</v>
      </c>
      <c r="D75" s="302" t="s">
        <v>37</v>
      </c>
      <c r="E75" s="302" t="s">
        <v>128</v>
      </c>
      <c r="F75" s="450" t="s">
        <v>38</v>
      </c>
      <c r="G75" s="450"/>
      <c r="H75" s="450"/>
      <c r="I75" s="450"/>
      <c r="J75" s="450"/>
      <c r="K75" s="451" t="s">
        <v>58</v>
      </c>
      <c r="L75" s="452"/>
      <c r="M75" s="452"/>
      <c r="N75" s="452"/>
      <c r="O75" s="452"/>
      <c r="P75" s="452"/>
      <c r="Q75" s="452"/>
      <c r="R75" s="452"/>
      <c r="S75" s="453"/>
      <c r="T75" s="450" t="s">
        <v>49</v>
      </c>
      <c r="U75" s="450"/>
      <c r="V75" s="451" t="s">
        <v>50</v>
      </c>
      <c r="W75" s="453"/>
      <c r="X75" s="452" t="s">
        <v>51</v>
      </c>
      <c r="Y75" s="452"/>
      <c r="Z75" s="452"/>
      <c r="AA75" s="452"/>
      <c r="AB75" s="452"/>
      <c r="AC75" s="452"/>
      <c r="AD75" s="454"/>
      <c r="AF75" s="50"/>
    </row>
    <row r="76" spans="1:32" ht="33.75" customHeight="1">
      <c r="A76" s="463">
        <v>1</v>
      </c>
      <c r="B76" s="464"/>
      <c r="C76" s="304" t="s">
        <v>112</v>
      </c>
      <c r="D76" s="304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44118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55">
        <f>A76+1</f>
        <v>2</v>
      </c>
      <c r="B77" s="456"/>
      <c r="C77" s="303"/>
      <c r="D77" s="303"/>
      <c r="E77" s="32"/>
      <c r="F77" s="456"/>
      <c r="G77" s="456"/>
      <c r="H77" s="456"/>
      <c r="I77" s="456"/>
      <c r="J77" s="456"/>
      <c r="K77" s="457"/>
      <c r="L77" s="458"/>
      <c r="M77" s="458"/>
      <c r="N77" s="458"/>
      <c r="O77" s="458"/>
      <c r="P77" s="458"/>
      <c r="Q77" s="458"/>
      <c r="R77" s="458"/>
      <c r="S77" s="459"/>
      <c r="T77" s="460"/>
      <c r="U77" s="460"/>
      <c r="V77" s="460"/>
      <c r="W77" s="460"/>
      <c r="X77" s="461"/>
      <c r="Y77" s="461"/>
      <c r="Z77" s="461"/>
      <c r="AA77" s="461"/>
      <c r="AB77" s="461"/>
      <c r="AC77" s="461"/>
      <c r="AD77" s="462"/>
      <c r="AF77" s="50"/>
    </row>
    <row r="78" spans="1:32" ht="30" customHeight="1">
      <c r="A78" s="455">
        <f t="shared" ref="A78:A82" si="11">A77+1</f>
        <v>3</v>
      </c>
      <c r="B78" s="456"/>
      <c r="C78" s="303"/>
      <c r="D78" s="303"/>
      <c r="E78" s="32"/>
      <c r="F78" s="456"/>
      <c r="G78" s="456"/>
      <c r="H78" s="456"/>
      <c r="I78" s="456"/>
      <c r="J78" s="456"/>
      <c r="K78" s="457"/>
      <c r="L78" s="458"/>
      <c r="M78" s="458"/>
      <c r="N78" s="458"/>
      <c r="O78" s="458"/>
      <c r="P78" s="458"/>
      <c r="Q78" s="458"/>
      <c r="R78" s="458"/>
      <c r="S78" s="459"/>
      <c r="T78" s="460"/>
      <c r="U78" s="460"/>
      <c r="V78" s="460"/>
      <c r="W78" s="460"/>
      <c r="X78" s="461"/>
      <c r="Y78" s="461"/>
      <c r="Z78" s="461"/>
      <c r="AA78" s="461"/>
      <c r="AB78" s="461"/>
      <c r="AC78" s="461"/>
      <c r="AD78" s="462"/>
      <c r="AF78" s="50"/>
    </row>
    <row r="79" spans="1:32" ht="30" customHeight="1">
      <c r="A79" s="455">
        <f t="shared" si="11"/>
        <v>4</v>
      </c>
      <c r="B79" s="456"/>
      <c r="C79" s="303"/>
      <c r="D79" s="303"/>
      <c r="E79" s="32"/>
      <c r="F79" s="456"/>
      <c r="G79" s="456"/>
      <c r="H79" s="456"/>
      <c r="I79" s="456"/>
      <c r="J79" s="456"/>
      <c r="K79" s="457"/>
      <c r="L79" s="458"/>
      <c r="M79" s="458"/>
      <c r="N79" s="458"/>
      <c r="O79" s="458"/>
      <c r="P79" s="458"/>
      <c r="Q79" s="458"/>
      <c r="R79" s="458"/>
      <c r="S79" s="459"/>
      <c r="T79" s="460"/>
      <c r="U79" s="460"/>
      <c r="V79" s="460"/>
      <c r="W79" s="460"/>
      <c r="X79" s="461"/>
      <c r="Y79" s="461"/>
      <c r="Z79" s="461"/>
      <c r="AA79" s="461"/>
      <c r="AB79" s="461"/>
      <c r="AC79" s="461"/>
      <c r="AD79" s="462"/>
      <c r="AF79" s="50"/>
    </row>
    <row r="80" spans="1:32" ht="30" customHeight="1">
      <c r="A80" s="455">
        <f t="shared" si="11"/>
        <v>5</v>
      </c>
      <c r="B80" s="456"/>
      <c r="C80" s="303"/>
      <c r="D80" s="303"/>
      <c r="E80" s="32"/>
      <c r="F80" s="456"/>
      <c r="G80" s="456"/>
      <c r="H80" s="456"/>
      <c r="I80" s="456"/>
      <c r="J80" s="456"/>
      <c r="K80" s="457"/>
      <c r="L80" s="458"/>
      <c r="M80" s="458"/>
      <c r="N80" s="458"/>
      <c r="O80" s="458"/>
      <c r="P80" s="458"/>
      <c r="Q80" s="458"/>
      <c r="R80" s="458"/>
      <c r="S80" s="459"/>
      <c r="T80" s="460"/>
      <c r="U80" s="460"/>
      <c r="V80" s="460"/>
      <c r="W80" s="460"/>
      <c r="X80" s="461"/>
      <c r="Y80" s="461"/>
      <c r="Z80" s="461"/>
      <c r="AA80" s="461"/>
      <c r="AB80" s="461"/>
      <c r="AC80" s="461"/>
      <c r="AD80" s="462"/>
      <c r="AF80" s="50"/>
    </row>
    <row r="81" spans="1:32" ht="30" customHeight="1">
      <c r="A81" s="455">
        <f t="shared" si="11"/>
        <v>6</v>
      </c>
      <c r="B81" s="456"/>
      <c r="C81" s="303"/>
      <c r="D81" s="303"/>
      <c r="E81" s="32"/>
      <c r="F81" s="456"/>
      <c r="G81" s="456"/>
      <c r="H81" s="456"/>
      <c r="I81" s="456"/>
      <c r="J81" s="456"/>
      <c r="K81" s="457"/>
      <c r="L81" s="458"/>
      <c r="M81" s="458"/>
      <c r="N81" s="458"/>
      <c r="O81" s="458"/>
      <c r="P81" s="458"/>
      <c r="Q81" s="458"/>
      <c r="R81" s="458"/>
      <c r="S81" s="459"/>
      <c r="T81" s="460"/>
      <c r="U81" s="460"/>
      <c r="V81" s="460"/>
      <c r="W81" s="460"/>
      <c r="X81" s="461"/>
      <c r="Y81" s="461"/>
      <c r="Z81" s="461"/>
      <c r="AA81" s="461"/>
      <c r="AB81" s="461"/>
      <c r="AC81" s="461"/>
      <c r="AD81" s="462"/>
      <c r="AF81" s="50"/>
    </row>
    <row r="82" spans="1:32" ht="30" customHeight="1">
      <c r="A82" s="455">
        <f t="shared" si="11"/>
        <v>7</v>
      </c>
      <c r="B82" s="456"/>
      <c r="C82" s="303"/>
      <c r="D82" s="303"/>
      <c r="E82" s="32"/>
      <c r="F82" s="456"/>
      <c r="G82" s="456"/>
      <c r="H82" s="456"/>
      <c r="I82" s="456"/>
      <c r="J82" s="456"/>
      <c r="K82" s="457"/>
      <c r="L82" s="458"/>
      <c r="M82" s="458"/>
      <c r="N82" s="458"/>
      <c r="O82" s="458"/>
      <c r="P82" s="458"/>
      <c r="Q82" s="458"/>
      <c r="R82" s="458"/>
      <c r="S82" s="459"/>
      <c r="T82" s="460"/>
      <c r="U82" s="460"/>
      <c r="V82" s="460"/>
      <c r="W82" s="460"/>
      <c r="X82" s="461"/>
      <c r="Y82" s="461"/>
      <c r="Z82" s="461"/>
      <c r="AA82" s="461"/>
      <c r="AB82" s="461"/>
      <c r="AC82" s="461"/>
      <c r="AD82" s="462"/>
      <c r="AF82" s="50"/>
    </row>
    <row r="83" spans="1:32" ht="36" thickBot="1">
      <c r="A83" s="448" t="s">
        <v>517</v>
      </c>
      <c r="B83" s="448"/>
      <c r="C83" s="448"/>
      <c r="D83" s="448"/>
      <c r="E83" s="44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49" t="s">
        <v>111</v>
      </c>
      <c r="B84" s="450"/>
      <c r="C84" s="476" t="s">
        <v>52</v>
      </c>
      <c r="D84" s="476"/>
      <c r="E84" s="476" t="s">
        <v>53</v>
      </c>
      <c r="F84" s="476"/>
      <c r="G84" s="476"/>
      <c r="H84" s="476"/>
      <c r="I84" s="476"/>
      <c r="J84" s="476"/>
      <c r="K84" s="476" t="s">
        <v>54</v>
      </c>
      <c r="L84" s="476"/>
      <c r="M84" s="476"/>
      <c r="N84" s="476"/>
      <c r="O84" s="476"/>
      <c r="P84" s="476"/>
      <c r="Q84" s="476"/>
      <c r="R84" s="476"/>
      <c r="S84" s="476"/>
      <c r="T84" s="476" t="s">
        <v>55</v>
      </c>
      <c r="U84" s="476"/>
      <c r="V84" s="476" t="s">
        <v>56</v>
      </c>
      <c r="W84" s="476"/>
      <c r="X84" s="476"/>
      <c r="Y84" s="476" t="s">
        <v>51</v>
      </c>
      <c r="Z84" s="476"/>
      <c r="AA84" s="476"/>
      <c r="AB84" s="476"/>
      <c r="AC84" s="476"/>
      <c r="AD84" s="477"/>
      <c r="AF84" s="50"/>
    </row>
    <row r="85" spans="1:32" ht="30.75" customHeight="1">
      <c r="A85" s="463">
        <v>1</v>
      </c>
      <c r="B85" s="464"/>
      <c r="C85" s="478"/>
      <c r="D85" s="478"/>
      <c r="E85" s="478"/>
      <c r="F85" s="478"/>
      <c r="G85" s="478"/>
      <c r="H85" s="478"/>
      <c r="I85" s="478"/>
      <c r="J85" s="478"/>
      <c r="K85" s="478"/>
      <c r="L85" s="478"/>
      <c r="M85" s="478"/>
      <c r="N85" s="478"/>
      <c r="O85" s="478"/>
      <c r="P85" s="478"/>
      <c r="Q85" s="478"/>
      <c r="R85" s="478"/>
      <c r="S85" s="478"/>
      <c r="T85" s="478"/>
      <c r="U85" s="478"/>
      <c r="V85" s="479"/>
      <c r="W85" s="479"/>
      <c r="X85" s="479"/>
      <c r="Y85" s="480"/>
      <c r="Z85" s="480"/>
      <c r="AA85" s="480"/>
      <c r="AB85" s="480"/>
      <c r="AC85" s="480"/>
      <c r="AD85" s="481"/>
      <c r="AF85" s="50"/>
    </row>
    <row r="86" spans="1:32" ht="30.75" customHeight="1">
      <c r="A86" s="455">
        <v>2</v>
      </c>
      <c r="B86" s="456"/>
      <c r="C86" s="489"/>
      <c r="D86" s="489"/>
      <c r="E86" s="489"/>
      <c r="F86" s="489"/>
      <c r="G86" s="489"/>
      <c r="H86" s="489"/>
      <c r="I86" s="489"/>
      <c r="J86" s="489"/>
      <c r="K86" s="489"/>
      <c r="L86" s="489"/>
      <c r="M86" s="489"/>
      <c r="N86" s="489"/>
      <c r="O86" s="489"/>
      <c r="P86" s="489"/>
      <c r="Q86" s="489"/>
      <c r="R86" s="489"/>
      <c r="S86" s="489"/>
      <c r="T86" s="490"/>
      <c r="U86" s="490"/>
      <c r="V86" s="491"/>
      <c r="W86" s="491"/>
      <c r="X86" s="491"/>
      <c r="Y86" s="482"/>
      <c r="Z86" s="482"/>
      <c r="AA86" s="482"/>
      <c r="AB86" s="482"/>
      <c r="AC86" s="482"/>
      <c r="AD86" s="483"/>
      <c r="AF86" s="50"/>
    </row>
    <row r="87" spans="1:32" ht="30.75" customHeight="1" thickBot="1">
      <c r="A87" s="484">
        <v>3</v>
      </c>
      <c r="B87" s="485"/>
      <c r="C87" s="486"/>
      <c r="D87" s="486"/>
      <c r="E87" s="486"/>
      <c r="F87" s="486"/>
      <c r="G87" s="486"/>
      <c r="H87" s="486"/>
      <c r="I87" s="486"/>
      <c r="J87" s="486"/>
      <c r="K87" s="486"/>
      <c r="L87" s="486"/>
      <c r="M87" s="486"/>
      <c r="N87" s="486"/>
      <c r="O87" s="486"/>
      <c r="P87" s="486"/>
      <c r="Q87" s="486"/>
      <c r="R87" s="486"/>
      <c r="S87" s="486"/>
      <c r="T87" s="486"/>
      <c r="U87" s="486"/>
      <c r="V87" s="486"/>
      <c r="W87" s="486"/>
      <c r="X87" s="486"/>
      <c r="Y87" s="487"/>
      <c r="Z87" s="487"/>
      <c r="AA87" s="487"/>
      <c r="AB87" s="487"/>
      <c r="AC87" s="487"/>
      <c r="AD87" s="488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BE0A-A6D1-459E-8993-904A89716142}">
  <dimension ref="A1:AF87"/>
  <sheetViews>
    <sheetView view="pageBreakPreview" topLeftCell="A4" zoomScale="70" zoomScaleNormal="72" zoomScaleSheetLayoutView="70" workbookViewId="0">
      <selection activeCell="K79" sqref="K79:S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70" t="s">
        <v>518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5"/>
      <c r="T4" s="405"/>
      <c r="U4" s="405"/>
      <c r="V4" s="405"/>
      <c r="W4" s="406" t="s">
        <v>11</v>
      </c>
      <c r="X4" s="405"/>
      <c r="Y4" s="405"/>
      <c r="Z4" s="405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317" t="s">
        <v>17</v>
      </c>
      <c r="L5" s="317" t="s">
        <v>18</v>
      </c>
      <c r="M5" s="317" t="s">
        <v>19</v>
      </c>
      <c r="N5" s="31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125</v>
      </c>
      <c r="E6" s="53" t="s">
        <v>456</v>
      </c>
      <c r="F6" s="30" t="s">
        <v>206</v>
      </c>
      <c r="G6" s="12">
        <v>1</v>
      </c>
      <c r="H6" s="13">
        <v>24</v>
      </c>
      <c r="I6" s="7">
        <v>1600</v>
      </c>
      <c r="J6" s="14">
        <v>1902</v>
      </c>
      <c r="K6" s="15">
        <f>L6+2743+1902</f>
        <v>4645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0.46614583333333331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121</v>
      </c>
      <c r="D7" s="52" t="s">
        <v>125</v>
      </c>
      <c r="E7" s="53" t="s">
        <v>471</v>
      </c>
      <c r="F7" s="12" t="s">
        <v>138</v>
      </c>
      <c r="G7" s="12">
        <v>2</v>
      </c>
      <c r="H7" s="13">
        <v>24</v>
      </c>
      <c r="I7" s="31">
        <v>18000</v>
      </c>
      <c r="J7" s="14">
        <v>12588</v>
      </c>
      <c r="K7" s="15">
        <f>L7+7736</f>
        <v>20324</v>
      </c>
      <c r="L7" s="15">
        <f>3230*2+3064*2</f>
        <v>12588</v>
      </c>
      <c r="M7" s="15">
        <f t="shared" si="0"/>
        <v>12588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0.46614583333333331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/>
      <c r="E8" s="53" t="s">
        <v>321</v>
      </c>
      <c r="F8" s="30" t="s">
        <v>340</v>
      </c>
      <c r="G8" s="33">
        <v>1</v>
      </c>
      <c r="H8" s="35">
        <v>24</v>
      </c>
      <c r="I8" s="7">
        <v>50500</v>
      </c>
      <c r="J8" s="5">
        <v>5560</v>
      </c>
      <c r="K8" s="15">
        <f>L8+4349+2445+5035+5245+5660+1855+3016+5569+5311</f>
        <v>44045</v>
      </c>
      <c r="L8" s="15">
        <f>2852+2708</f>
        <v>5560</v>
      </c>
      <c r="M8" s="15">
        <f t="shared" si="0"/>
        <v>5560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0.46614583333333331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147</v>
      </c>
      <c r="E9" s="53" t="s">
        <v>459</v>
      </c>
      <c r="F9" s="30" t="s">
        <v>460</v>
      </c>
      <c r="G9" s="12">
        <v>4</v>
      </c>
      <c r="H9" s="13">
        <v>24</v>
      </c>
      <c r="I9" s="7">
        <v>8000</v>
      </c>
      <c r="J9" s="14">
        <v>8476</v>
      </c>
      <c r="K9" s="15">
        <f>L9</f>
        <v>8476</v>
      </c>
      <c r="L9" s="15">
        <f>2119*4</f>
        <v>8476</v>
      </c>
      <c r="M9" s="15">
        <f t="shared" si="0"/>
        <v>8476</v>
      </c>
      <c r="N9" s="15">
        <v>0</v>
      </c>
      <c r="O9" s="58">
        <f t="shared" si="1"/>
        <v>0</v>
      </c>
      <c r="P9" s="39">
        <f t="shared" si="2"/>
        <v>12</v>
      </c>
      <c r="Q9" s="40">
        <f t="shared" si="3"/>
        <v>12</v>
      </c>
      <c r="R9" s="7"/>
      <c r="S9" s="6"/>
      <c r="T9" s="16">
        <v>12</v>
      </c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0.5</v>
      </c>
      <c r="AD9" s="10">
        <f t="shared" si="6"/>
        <v>0.5</v>
      </c>
      <c r="AE9" s="36">
        <f t="shared" si="7"/>
        <v>0.46614583333333331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147</v>
      </c>
      <c r="E10" s="53" t="s">
        <v>388</v>
      </c>
      <c r="F10" s="30" t="s">
        <v>127</v>
      </c>
      <c r="G10" s="33">
        <v>1</v>
      </c>
      <c r="H10" s="35">
        <v>24</v>
      </c>
      <c r="I10" s="7">
        <v>36000</v>
      </c>
      <c r="J10" s="14">
        <v>6248</v>
      </c>
      <c r="K10" s="15">
        <f>L10+3274+4039+5240+6353+6363+6007</f>
        <v>37524</v>
      </c>
      <c r="L10" s="15">
        <f>3197+3051</f>
        <v>6248</v>
      </c>
      <c r="M10" s="15">
        <f t="shared" si="0"/>
        <v>6248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0.46614583333333331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263</v>
      </c>
      <c r="E11" s="53" t="s">
        <v>264</v>
      </c>
      <c r="F11" s="30" t="s">
        <v>206</v>
      </c>
      <c r="G11" s="33">
        <v>16</v>
      </c>
      <c r="H11" s="35">
        <v>24</v>
      </c>
      <c r="I11" s="7">
        <v>100000</v>
      </c>
      <c r="J11" s="14">
        <v>67990</v>
      </c>
      <c r="K11" s="15">
        <f>L11+49500+67990</f>
        <v>117490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0.46614583333333331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121</v>
      </c>
      <c r="D12" s="52" t="s">
        <v>115</v>
      </c>
      <c r="E12" s="53" t="s">
        <v>472</v>
      </c>
      <c r="F12" s="30" t="s">
        <v>504</v>
      </c>
      <c r="G12" s="12">
        <v>2</v>
      </c>
      <c r="H12" s="13">
        <v>22</v>
      </c>
      <c r="I12" s="31">
        <v>18000</v>
      </c>
      <c r="J12" s="5">
        <v>8093</v>
      </c>
      <c r="K12" s="15">
        <f>L12+4460</f>
        <v>12553</v>
      </c>
      <c r="L12" s="15">
        <f>2627+382+2542*2</f>
        <v>8093</v>
      </c>
      <c r="M12" s="15">
        <f t="shared" si="0"/>
        <v>8093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0.46614583333333331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224</v>
      </c>
      <c r="E13" s="53" t="s">
        <v>503</v>
      </c>
      <c r="F13" s="30" t="s">
        <v>168</v>
      </c>
      <c r="G13" s="33">
        <v>1</v>
      </c>
      <c r="H13" s="35">
        <v>24</v>
      </c>
      <c r="I13" s="7">
        <v>18000</v>
      </c>
      <c r="J13" s="14">
        <v>3678</v>
      </c>
      <c r="K13" s="15">
        <f>L13</f>
        <v>3678</v>
      </c>
      <c r="L13" s="15">
        <f>1620+1029*2</f>
        <v>3678</v>
      </c>
      <c r="M13" s="15">
        <f t="shared" si="0"/>
        <v>3678</v>
      </c>
      <c r="N13" s="15">
        <v>0</v>
      </c>
      <c r="O13" s="58">
        <f t="shared" si="1"/>
        <v>0</v>
      </c>
      <c r="P13" s="39">
        <f t="shared" si="2"/>
        <v>15</v>
      </c>
      <c r="Q13" s="40">
        <f t="shared" si="3"/>
        <v>9</v>
      </c>
      <c r="R13" s="7"/>
      <c r="S13" s="6">
        <v>9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0.625</v>
      </c>
      <c r="AD13" s="10">
        <f t="shared" si="6"/>
        <v>0.625</v>
      </c>
      <c r="AE13" s="36">
        <f t="shared" si="7"/>
        <v>0.46614583333333331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153</v>
      </c>
      <c r="F14" s="30" t="s">
        <v>144</v>
      </c>
      <c r="G14" s="33">
        <v>1</v>
      </c>
      <c r="H14" s="35">
        <v>50</v>
      </c>
      <c r="I14" s="7">
        <v>200</v>
      </c>
      <c r="J14" s="5">
        <v>392</v>
      </c>
      <c r="K14" s="15">
        <f>L14+392</f>
        <v>392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0.46614583333333331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121</v>
      </c>
      <c r="D15" s="52" t="s">
        <v>125</v>
      </c>
      <c r="E15" s="53" t="s">
        <v>150</v>
      </c>
      <c r="F15" s="12" t="s">
        <v>138</v>
      </c>
      <c r="G15" s="12">
        <v>1</v>
      </c>
      <c r="H15" s="13">
        <v>24</v>
      </c>
      <c r="I15" s="31">
        <v>6500</v>
      </c>
      <c r="J15" s="14">
        <v>5214</v>
      </c>
      <c r="K15" s="15">
        <f>L15+2059+5272+5214</f>
        <v>12545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0.46614583333333331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202</v>
      </c>
      <c r="E16" s="53" t="s">
        <v>203</v>
      </c>
      <c r="F16" s="30" t="s">
        <v>127</v>
      </c>
      <c r="G16" s="12">
        <v>4</v>
      </c>
      <c r="H16" s="13">
        <v>24</v>
      </c>
      <c r="I16" s="7">
        <v>8000</v>
      </c>
      <c r="J16" s="14">
        <v>9016</v>
      </c>
      <c r="K16" s="15">
        <f>L16</f>
        <v>9016</v>
      </c>
      <c r="L16" s="15">
        <f>1724*4+530*4</f>
        <v>9016</v>
      </c>
      <c r="M16" s="15">
        <f t="shared" si="0"/>
        <v>9016</v>
      </c>
      <c r="N16" s="15">
        <v>0</v>
      </c>
      <c r="O16" s="58">
        <f t="shared" si="1"/>
        <v>0</v>
      </c>
      <c r="P16" s="39">
        <f t="shared" si="2"/>
        <v>12</v>
      </c>
      <c r="Q16" s="40">
        <f t="shared" si="3"/>
        <v>12</v>
      </c>
      <c r="R16" s="7"/>
      <c r="S16" s="6"/>
      <c r="T16" s="16">
        <v>12</v>
      </c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0.5</v>
      </c>
      <c r="AD16" s="10">
        <f t="shared" si="6"/>
        <v>0.5</v>
      </c>
      <c r="AE16" s="36">
        <f t="shared" si="7"/>
        <v>0.46614583333333331</v>
      </c>
      <c r="AF16" s="84">
        <f t="shared" si="8"/>
        <v>11</v>
      </c>
    </row>
    <row r="17" spans="1:32" ht="30" customHeight="1">
      <c r="A17" s="95">
        <v>12</v>
      </c>
      <c r="B17" s="11" t="s">
        <v>502</v>
      </c>
      <c r="C17" s="34" t="s">
        <v>121</v>
      </c>
      <c r="D17" s="52" t="s">
        <v>125</v>
      </c>
      <c r="E17" s="53" t="s">
        <v>355</v>
      </c>
      <c r="F17" s="30" t="s">
        <v>138</v>
      </c>
      <c r="G17" s="12">
        <v>1</v>
      </c>
      <c r="H17" s="13">
        <v>24</v>
      </c>
      <c r="I17" s="7">
        <v>500</v>
      </c>
      <c r="J17" s="14">
        <v>600</v>
      </c>
      <c r="K17" s="15">
        <f>L17+600</f>
        <v>600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0.46614583333333331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201</v>
      </c>
      <c r="F18" s="30" t="s">
        <v>142</v>
      </c>
      <c r="G18" s="33">
        <v>4</v>
      </c>
      <c r="H18" s="35">
        <v>24</v>
      </c>
      <c r="I18" s="7">
        <v>8000</v>
      </c>
      <c r="J18" s="14">
        <v>6004</v>
      </c>
      <c r="K18" s="15">
        <f>L18</f>
        <v>6004</v>
      </c>
      <c r="L18" s="15">
        <f>1501*4</f>
        <v>6004</v>
      </c>
      <c r="M18" s="15">
        <f t="shared" si="0"/>
        <v>6004</v>
      </c>
      <c r="N18" s="15">
        <v>0</v>
      </c>
      <c r="O18" s="58">
        <f t="shared" si="1"/>
        <v>0</v>
      </c>
      <c r="P18" s="39">
        <f t="shared" si="2"/>
        <v>8</v>
      </c>
      <c r="Q18" s="40">
        <f t="shared" si="3"/>
        <v>16</v>
      </c>
      <c r="R18" s="7"/>
      <c r="S18" s="6">
        <v>16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0.33333333333333331</v>
      </c>
      <c r="AD18" s="10">
        <f t="shared" si="6"/>
        <v>0.33333333333333331</v>
      </c>
      <c r="AE18" s="36">
        <f t="shared" si="7"/>
        <v>0.46614583333333331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510</v>
      </c>
      <c r="F19" s="30" t="s">
        <v>171</v>
      </c>
      <c r="G19" s="33">
        <v>1</v>
      </c>
      <c r="H19" s="35">
        <v>24</v>
      </c>
      <c r="I19" s="7">
        <v>300</v>
      </c>
      <c r="J19" s="14">
        <v>5201</v>
      </c>
      <c r="K19" s="15">
        <f>L19</f>
        <v>0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0.46614583333333331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151</v>
      </c>
      <c r="F20" s="30" t="s">
        <v>142</v>
      </c>
      <c r="G20" s="12">
        <v>1</v>
      </c>
      <c r="H20" s="13">
        <v>24</v>
      </c>
      <c r="I20" s="7">
        <v>20000</v>
      </c>
      <c r="J20" s="14">
        <v>5515</v>
      </c>
      <c r="K20" s="15">
        <f>L20+5452+5525+5570+3196</f>
        <v>25258</v>
      </c>
      <c r="L20" s="15">
        <f>2716+2799</f>
        <v>5515</v>
      </c>
      <c r="M20" s="15">
        <f t="shared" si="0"/>
        <v>5515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0.46614583333333331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140</v>
      </c>
      <c r="F21" s="12" t="s">
        <v>114</v>
      </c>
      <c r="G21" s="12">
        <v>4</v>
      </c>
      <c r="H21" s="35">
        <v>20</v>
      </c>
      <c r="I21" s="7">
        <v>2000000</v>
      </c>
      <c r="J21" s="14">
        <v>29064</v>
      </c>
      <c r="K21" s="15">
        <f>L21+31300</f>
        <v>60364</v>
      </c>
      <c r="L21" s="15">
        <f>7266*4</f>
        <v>29064</v>
      </c>
      <c r="M21" s="15">
        <f t="shared" si="0"/>
        <v>29064</v>
      </c>
      <c r="N21" s="15">
        <v>0</v>
      </c>
      <c r="O21" s="58">
        <f t="shared" si="1"/>
        <v>0</v>
      </c>
      <c r="P21" s="39">
        <f t="shared" si="2"/>
        <v>12</v>
      </c>
      <c r="Q21" s="40">
        <f t="shared" si="3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</v>
      </c>
      <c r="AD21" s="10">
        <f t="shared" si="6"/>
        <v>0.5</v>
      </c>
      <c r="AE21" s="36">
        <f t="shared" si="7"/>
        <v>0.46614583333333331</v>
      </c>
      <c r="AF21" s="84">
        <f t="shared" si="8"/>
        <v>16</v>
      </c>
    </row>
    <row r="22" spans="1:32" ht="31.5" customHeight="1" thickBot="1">
      <c r="A22" s="384" t="s">
        <v>34</v>
      </c>
      <c r="B22" s="385"/>
      <c r="C22" s="385"/>
      <c r="D22" s="385"/>
      <c r="E22" s="385"/>
      <c r="F22" s="385"/>
      <c r="G22" s="385"/>
      <c r="H22" s="386"/>
      <c r="I22" s="22">
        <f t="shared" ref="I22:N22" si="9">SUM(I6:I21)</f>
        <v>2293600</v>
      </c>
      <c r="J22" s="19">
        <f t="shared" si="9"/>
        <v>175541</v>
      </c>
      <c r="K22" s="20">
        <f t="shared" si="9"/>
        <v>362914</v>
      </c>
      <c r="L22" s="21">
        <f t="shared" si="9"/>
        <v>94242</v>
      </c>
      <c r="M22" s="20">
        <f t="shared" si="9"/>
        <v>94242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179</v>
      </c>
      <c r="Q22" s="43">
        <f t="shared" si="10"/>
        <v>205</v>
      </c>
      <c r="R22" s="23">
        <f t="shared" si="10"/>
        <v>24</v>
      </c>
      <c r="S22" s="24">
        <f t="shared" si="10"/>
        <v>49</v>
      </c>
      <c r="T22" s="24">
        <f t="shared" si="10"/>
        <v>24</v>
      </c>
      <c r="U22" s="24">
        <f t="shared" si="10"/>
        <v>0</v>
      </c>
      <c r="V22" s="25">
        <f t="shared" si="10"/>
        <v>12</v>
      </c>
      <c r="W22" s="26">
        <f t="shared" si="10"/>
        <v>48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48</v>
      </c>
      <c r="AB22" s="28">
        <f>AVERAGE(AB6:AB21)</f>
        <v>0.625</v>
      </c>
      <c r="AC22" s="4">
        <f>AVERAGE(AC6:AC21)</f>
        <v>0.46614583333333331</v>
      </c>
      <c r="AD22" s="4">
        <f>AVERAGE(AD6:AD21)</f>
        <v>0.46614583333333331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387" t="s">
        <v>45</v>
      </c>
      <c r="B49" s="387"/>
      <c r="C49" s="387"/>
      <c r="D49" s="387"/>
      <c r="E49" s="38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388" t="s">
        <v>519</v>
      </c>
      <c r="B50" s="389"/>
      <c r="C50" s="389"/>
      <c r="D50" s="389"/>
      <c r="E50" s="389"/>
      <c r="F50" s="389"/>
      <c r="G50" s="389"/>
      <c r="H50" s="389"/>
      <c r="I50" s="389"/>
      <c r="J50" s="389"/>
      <c r="K50" s="389"/>
      <c r="L50" s="389"/>
      <c r="M50" s="390"/>
      <c r="N50" s="391" t="s">
        <v>523</v>
      </c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  <c r="AA50" s="392"/>
      <c r="AB50" s="392"/>
      <c r="AC50" s="392"/>
      <c r="AD50" s="393"/>
    </row>
    <row r="51" spans="1:32" ht="27" customHeight="1">
      <c r="A51" s="394" t="s">
        <v>2</v>
      </c>
      <c r="B51" s="395"/>
      <c r="C51" s="316" t="s">
        <v>46</v>
      </c>
      <c r="D51" s="316" t="s">
        <v>47</v>
      </c>
      <c r="E51" s="316" t="s">
        <v>107</v>
      </c>
      <c r="F51" s="396" t="s">
        <v>106</v>
      </c>
      <c r="G51" s="397"/>
      <c r="H51" s="397"/>
      <c r="I51" s="397"/>
      <c r="J51" s="397"/>
      <c r="K51" s="397"/>
      <c r="L51" s="397"/>
      <c r="M51" s="398"/>
      <c r="N51" s="67" t="s">
        <v>110</v>
      </c>
      <c r="O51" s="316" t="s">
        <v>46</v>
      </c>
      <c r="P51" s="396" t="s">
        <v>47</v>
      </c>
      <c r="Q51" s="399"/>
      <c r="R51" s="396" t="s">
        <v>38</v>
      </c>
      <c r="S51" s="397"/>
      <c r="T51" s="397"/>
      <c r="U51" s="399"/>
      <c r="V51" s="396" t="s">
        <v>48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420" t="s">
        <v>121</v>
      </c>
      <c r="B52" s="421"/>
      <c r="C52" s="312" t="s">
        <v>219</v>
      </c>
      <c r="D52" s="312"/>
      <c r="E52" s="312" t="s">
        <v>472</v>
      </c>
      <c r="F52" s="412" t="s">
        <v>365</v>
      </c>
      <c r="G52" s="413"/>
      <c r="H52" s="413"/>
      <c r="I52" s="413"/>
      <c r="J52" s="413"/>
      <c r="K52" s="413"/>
      <c r="L52" s="413"/>
      <c r="M52" s="414"/>
      <c r="N52" s="311" t="s">
        <v>121</v>
      </c>
      <c r="O52" s="309" t="s">
        <v>136</v>
      </c>
      <c r="P52" s="415"/>
      <c r="Q52" s="416"/>
      <c r="R52" s="415" t="s">
        <v>503</v>
      </c>
      <c r="S52" s="417"/>
      <c r="T52" s="417"/>
      <c r="U52" s="416"/>
      <c r="V52" s="418" t="s">
        <v>126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10" t="s">
        <v>121</v>
      </c>
      <c r="B53" s="411"/>
      <c r="C53" s="315" t="s">
        <v>136</v>
      </c>
      <c r="D53" s="315"/>
      <c r="E53" s="312" t="s">
        <v>503</v>
      </c>
      <c r="F53" s="412" t="s">
        <v>520</v>
      </c>
      <c r="G53" s="413"/>
      <c r="H53" s="413"/>
      <c r="I53" s="413"/>
      <c r="J53" s="413"/>
      <c r="K53" s="413"/>
      <c r="L53" s="413"/>
      <c r="M53" s="414"/>
      <c r="N53" s="311" t="s">
        <v>112</v>
      </c>
      <c r="O53" s="309" t="s">
        <v>135</v>
      </c>
      <c r="P53" s="415" t="s">
        <v>115</v>
      </c>
      <c r="Q53" s="416"/>
      <c r="R53" s="415" t="s">
        <v>510</v>
      </c>
      <c r="S53" s="417"/>
      <c r="T53" s="417"/>
      <c r="U53" s="416"/>
      <c r="V53" s="418" t="s">
        <v>126</v>
      </c>
      <c r="W53" s="418"/>
      <c r="X53" s="418"/>
      <c r="Y53" s="418"/>
      <c r="Z53" s="418"/>
      <c r="AA53" s="418"/>
      <c r="AB53" s="418"/>
      <c r="AC53" s="418"/>
      <c r="AD53" s="419"/>
    </row>
    <row r="54" spans="1:32" ht="27" customHeight="1">
      <c r="A54" s="420" t="s">
        <v>118</v>
      </c>
      <c r="B54" s="421"/>
      <c r="C54" s="312" t="s">
        <v>184</v>
      </c>
      <c r="D54" s="312" t="s">
        <v>115</v>
      </c>
      <c r="E54" s="312" t="s">
        <v>201</v>
      </c>
      <c r="F54" s="412" t="s">
        <v>521</v>
      </c>
      <c r="G54" s="413"/>
      <c r="H54" s="413"/>
      <c r="I54" s="413"/>
      <c r="J54" s="413"/>
      <c r="K54" s="413"/>
      <c r="L54" s="413"/>
      <c r="M54" s="414"/>
      <c r="N54" s="311" t="s">
        <v>118</v>
      </c>
      <c r="O54" s="309" t="s">
        <v>184</v>
      </c>
      <c r="P54" s="415" t="s">
        <v>115</v>
      </c>
      <c r="Q54" s="416"/>
      <c r="R54" s="415" t="s">
        <v>201</v>
      </c>
      <c r="S54" s="417"/>
      <c r="T54" s="417"/>
      <c r="U54" s="416"/>
      <c r="V54" s="418" t="s">
        <v>126</v>
      </c>
      <c r="W54" s="418"/>
      <c r="X54" s="418"/>
      <c r="Y54" s="418"/>
      <c r="Z54" s="418"/>
      <c r="AA54" s="418"/>
      <c r="AB54" s="418"/>
      <c r="AC54" s="418"/>
      <c r="AD54" s="419"/>
    </row>
    <row r="55" spans="1:32" ht="27" customHeight="1">
      <c r="A55" s="410" t="s">
        <v>118</v>
      </c>
      <c r="B55" s="411"/>
      <c r="C55" s="315" t="s">
        <v>137</v>
      </c>
      <c r="D55" s="315" t="s">
        <v>147</v>
      </c>
      <c r="E55" s="312" t="s">
        <v>459</v>
      </c>
      <c r="F55" s="412" t="s">
        <v>130</v>
      </c>
      <c r="G55" s="413"/>
      <c r="H55" s="413"/>
      <c r="I55" s="413"/>
      <c r="J55" s="413"/>
      <c r="K55" s="413"/>
      <c r="L55" s="413"/>
      <c r="M55" s="414"/>
      <c r="N55" s="311" t="s">
        <v>118</v>
      </c>
      <c r="O55" s="309" t="s">
        <v>335</v>
      </c>
      <c r="P55" s="415" t="s">
        <v>131</v>
      </c>
      <c r="Q55" s="416"/>
      <c r="R55" s="415" t="s">
        <v>406</v>
      </c>
      <c r="S55" s="417"/>
      <c r="T55" s="417"/>
      <c r="U55" s="416"/>
      <c r="V55" s="418" t="s">
        <v>130</v>
      </c>
      <c r="W55" s="418"/>
      <c r="X55" s="418"/>
      <c r="Y55" s="418"/>
      <c r="Z55" s="418"/>
      <c r="AA55" s="418"/>
      <c r="AB55" s="418"/>
      <c r="AC55" s="418"/>
      <c r="AD55" s="419"/>
    </row>
    <row r="56" spans="1:32" ht="27" customHeight="1">
      <c r="A56" s="410" t="s">
        <v>118</v>
      </c>
      <c r="B56" s="411"/>
      <c r="C56" s="315" t="s">
        <v>145</v>
      </c>
      <c r="D56" s="315" t="s">
        <v>202</v>
      </c>
      <c r="E56" s="312" t="s">
        <v>203</v>
      </c>
      <c r="F56" s="412" t="s">
        <v>130</v>
      </c>
      <c r="G56" s="413"/>
      <c r="H56" s="413"/>
      <c r="I56" s="413"/>
      <c r="J56" s="413"/>
      <c r="K56" s="413"/>
      <c r="L56" s="413"/>
      <c r="M56" s="414"/>
      <c r="N56" s="311" t="s">
        <v>121</v>
      </c>
      <c r="O56" s="309" t="s">
        <v>219</v>
      </c>
      <c r="P56" s="415"/>
      <c r="Q56" s="416"/>
      <c r="R56" s="415" t="s">
        <v>472</v>
      </c>
      <c r="S56" s="417"/>
      <c r="T56" s="417"/>
      <c r="U56" s="416"/>
      <c r="V56" s="418" t="s">
        <v>126</v>
      </c>
      <c r="W56" s="418"/>
      <c r="X56" s="418"/>
      <c r="Y56" s="418"/>
      <c r="Z56" s="418"/>
      <c r="AA56" s="418"/>
      <c r="AB56" s="418"/>
      <c r="AC56" s="418"/>
      <c r="AD56" s="419"/>
    </row>
    <row r="57" spans="1:32" ht="27" customHeight="1">
      <c r="A57" s="410" t="s">
        <v>112</v>
      </c>
      <c r="B57" s="411"/>
      <c r="C57" s="315" t="s">
        <v>135</v>
      </c>
      <c r="D57" s="315" t="s">
        <v>115</v>
      </c>
      <c r="E57" s="312" t="s">
        <v>510</v>
      </c>
      <c r="F57" s="412" t="s">
        <v>522</v>
      </c>
      <c r="G57" s="413"/>
      <c r="H57" s="413"/>
      <c r="I57" s="413"/>
      <c r="J57" s="413"/>
      <c r="K57" s="413"/>
      <c r="L57" s="413"/>
      <c r="M57" s="414"/>
      <c r="N57" s="311"/>
      <c r="O57" s="309"/>
      <c r="P57" s="415"/>
      <c r="Q57" s="416"/>
      <c r="R57" s="415"/>
      <c r="S57" s="417"/>
      <c r="T57" s="417"/>
      <c r="U57" s="416"/>
      <c r="V57" s="418"/>
      <c r="W57" s="418"/>
      <c r="X57" s="418"/>
      <c r="Y57" s="418"/>
      <c r="Z57" s="418"/>
      <c r="AA57" s="418"/>
      <c r="AB57" s="418"/>
      <c r="AC57" s="418"/>
      <c r="AD57" s="419"/>
    </row>
    <row r="58" spans="1:32" ht="27" customHeight="1">
      <c r="A58" s="410"/>
      <c r="B58" s="411"/>
      <c r="C58" s="315"/>
      <c r="D58" s="315"/>
      <c r="E58" s="312"/>
      <c r="F58" s="412"/>
      <c r="G58" s="413"/>
      <c r="H58" s="413"/>
      <c r="I58" s="413"/>
      <c r="J58" s="413"/>
      <c r="K58" s="413"/>
      <c r="L58" s="413"/>
      <c r="M58" s="414"/>
      <c r="N58" s="311"/>
      <c r="O58" s="309"/>
      <c r="P58" s="415"/>
      <c r="Q58" s="416"/>
      <c r="R58" s="415"/>
      <c r="S58" s="417"/>
      <c r="T58" s="417"/>
      <c r="U58" s="416"/>
      <c r="V58" s="418"/>
      <c r="W58" s="418"/>
      <c r="X58" s="418"/>
      <c r="Y58" s="418"/>
      <c r="Z58" s="418"/>
      <c r="AA58" s="418"/>
      <c r="AB58" s="418"/>
      <c r="AC58" s="418"/>
      <c r="AD58" s="419"/>
    </row>
    <row r="59" spans="1:32" ht="27" customHeight="1">
      <c r="A59" s="420"/>
      <c r="B59" s="421"/>
      <c r="C59" s="312"/>
      <c r="D59" s="312"/>
      <c r="E59" s="312"/>
      <c r="F59" s="412"/>
      <c r="G59" s="413"/>
      <c r="H59" s="413"/>
      <c r="I59" s="413"/>
      <c r="J59" s="413"/>
      <c r="K59" s="413"/>
      <c r="L59" s="413"/>
      <c r="M59" s="414"/>
      <c r="N59" s="311"/>
      <c r="O59" s="309"/>
      <c r="P59" s="415"/>
      <c r="Q59" s="416"/>
      <c r="R59" s="421"/>
      <c r="S59" s="421"/>
      <c r="T59" s="421"/>
      <c r="U59" s="421"/>
      <c r="V59" s="418"/>
      <c r="W59" s="418"/>
      <c r="X59" s="418"/>
      <c r="Y59" s="418"/>
      <c r="Z59" s="418"/>
      <c r="AA59" s="418"/>
      <c r="AB59" s="418"/>
      <c r="AC59" s="418"/>
      <c r="AD59" s="419"/>
    </row>
    <row r="60" spans="1:32" ht="27" customHeight="1">
      <c r="A60" s="410"/>
      <c r="B60" s="411"/>
      <c r="C60" s="315"/>
      <c r="D60" s="315"/>
      <c r="E60" s="312"/>
      <c r="F60" s="412"/>
      <c r="G60" s="413"/>
      <c r="H60" s="413"/>
      <c r="I60" s="413"/>
      <c r="J60" s="413"/>
      <c r="K60" s="413"/>
      <c r="L60" s="413"/>
      <c r="M60" s="414"/>
      <c r="N60" s="311"/>
      <c r="O60" s="309"/>
      <c r="P60" s="421"/>
      <c r="Q60" s="421"/>
      <c r="R60" s="421"/>
      <c r="S60" s="421"/>
      <c r="T60" s="421"/>
      <c r="U60" s="421"/>
      <c r="V60" s="418"/>
      <c r="W60" s="418"/>
      <c r="X60" s="418"/>
      <c r="Y60" s="418"/>
      <c r="Z60" s="418"/>
      <c r="AA60" s="418"/>
      <c r="AB60" s="418"/>
      <c r="AC60" s="418"/>
      <c r="AD60" s="419"/>
      <c r="AF60" s="84">
        <f>8*3000</f>
        <v>24000</v>
      </c>
    </row>
    <row r="61" spans="1:32" ht="27" customHeight="1" thickBot="1">
      <c r="A61" s="422"/>
      <c r="B61" s="423"/>
      <c r="C61" s="313"/>
      <c r="D61" s="314"/>
      <c r="E61" s="314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30" t="s">
        <v>524</v>
      </c>
      <c r="B62" s="430"/>
      <c r="C62" s="430"/>
      <c r="D62" s="430"/>
      <c r="E62" s="43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31" t="s">
        <v>111</v>
      </c>
      <c r="B63" s="432"/>
      <c r="C63" s="310" t="s">
        <v>2</v>
      </c>
      <c r="D63" s="310" t="s">
        <v>37</v>
      </c>
      <c r="E63" s="310" t="s">
        <v>3</v>
      </c>
      <c r="F63" s="432" t="s">
        <v>109</v>
      </c>
      <c r="G63" s="432"/>
      <c r="H63" s="432"/>
      <c r="I63" s="432"/>
      <c r="J63" s="432"/>
      <c r="K63" s="432" t="s">
        <v>39</v>
      </c>
      <c r="L63" s="432"/>
      <c r="M63" s="310" t="s">
        <v>40</v>
      </c>
      <c r="N63" s="432" t="s">
        <v>41</v>
      </c>
      <c r="O63" s="432"/>
      <c r="P63" s="433" t="s">
        <v>42</v>
      </c>
      <c r="Q63" s="434"/>
      <c r="R63" s="433" t="s">
        <v>43</v>
      </c>
      <c r="S63" s="435"/>
      <c r="T63" s="435"/>
      <c r="U63" s="435"/>
      <c r="V63" s="435"/>
      <c r="W63" s="435"/>
      <c r="X63" s="435"/>
      <c r="Y63" s="435"/>
      <c r="Z63" s="435"/>
      <c r="AA63" s="434"/>
      <c r="AB63" s="432" t="s">
        <v>44</v>
      </c>
      <c r="AC63" s="432"/>
      <c r="AD63" s="436"/>
      <c r="AF63" s="84">
        <f>SUM(AF60:AF62)</f>
        <v>96000</v>
      </c>
    </row>
    <row r="64" spans="1:32" ht="25.5" customHeight="1">
      <c r="A64" s="437">
        <v>1</v>
      </c>
      <c r="B64" s="438"/>
      <c r="C64" s="104" t="s">
        <v>119</v>
      </c>
      <c r="D64" s="305"/>
      <c r="E64" s="308" t="s">
        <v>231</v>
      </c>
      <c r="F64" s="439" t="s">
        <v>489</v>
      </c>
      <c r="G64" s="440"/>
      <c r="H64" s="440"/>
      <c r="I64" s="440"/>
      <c r="J64" s="441"/>
      <c r="K64" s="442" t="s">
        <v>132</v>
      </c>
      <c r="L64" s="442"/>
      <c r="M64" s="51" t="s">
        <v>141</v>
      </c>
      <c r="N64" s="443" t="s">
        <v>230</v>
      </c>
      <c r="O64" s="443"/>
      <c r="P64" s="444">
        <v>50</v>
      </c>
      <c r="Q64" s="444"/>
      <c r="R64" s="418"/>
      <c r="S64" s="418"/>
      <c r="T64" s="418"/>
      <c r="U64" s="418"/>
      <c r="V64" s="418"/>
      <c r="W64" s="418"/>
      <c r="X64" s="418"/>
      <c r="Y64" s="418"/>
      <c r="Z64" s="418"/>
      <c r="AA64" s="418"/>
      <c r="AB64" s="442"/>
      <c r="AC64" s="442"/>
      <c r="AD64" s="445"/>
      <c r="AF64" s="50"/>
    </row>
    <row r="65" spans="1:32" ht="25.5" customHeight="1">
      <c r="A65" s="437">
        <v>2</v>
      </c>
      <c r="B65" s="438"/>
      <c r="C65" s="104"/>
      <c r="D65" s="305"/>
      <c r="E65" s="308"/>
      <c r="F65" s="439"/>
      <c r="G65" s="440"/>
      <c r="H65" s="440"/>
      <c r="I65" s="440"/>
      <c r="J65" s="441"/>
      <c r="K65" s="442"/>
      <c r="L65" s="442"/>
      <c r="M65" s="51"/>
      <c r="N65" s="443"/>
      <c r="O65" s="443"/>
      <c r="P65" s="444"/>
      <c r="Q65" s="444"/>
      <c r="R65" s="418"/>
      <c r="S65" s="418"/>
      <c r="T65" s="418"/>
      <c r="U65" s="418"/>
      <c r="V65" s="418"/>
      <c r="W65" s="418"/>
      <c r="X65" s="418"/>
      <c r="Y65" s="418"/>
      <c r="Z65" s="418"/>
      <c r="AA65" s="418"/>
      <c r="AB65" s="442"/>
      <c r="AC65" s="442"/>
      <c r="AD65" s="445"/>
      <c r="AF65" s="50"/>
    </row>
    <row r="66" spans="1:32" ht="25.5" customHeight="1">
      <c r="A66" s="437">
        <v>3</v>
      </c>
      <c r="B66" s="438"/>
      <c r="C66" s="104"/>
      <c r="D66" s="305"/>
      <c r="E66" s="308"/>
      <c r="F66" s="439"/>
      <c r="G66" s="440"/>
      <c r="H66" s="440"/>
      <c r="I66" s="440"/>
      <c r="J66" s="441"/>
      <c r="K66" s="442"/>
      <c r="L66" s="442"/>
      <c r="M66" s="51"/>
      <c r="N66" s="443"/>
      <c r="O66" s="443"/>
      <c r="P66" s="444"/>
      <c r="Q66" s="444"/>
      <c r="R66" s="418"/>
      <c r="S66" s="418"/>
      <c r="T66" s="418"/>
      <c r="U66" s="418"/>
      <c r="V66" s="418"/>
      <c r="W66" s="418"/>
      <c r="X66" s="418"/>
      <c r="Y66" s="418"/>
      <c r="Z66" s="418"/>
      <c r="AA66" s="418"/>
      <c r="AB66" s="442"/>
      <c r="AC66" s="442"/>
      <c r="AD66" s="445"/>
      <c r="AF66" s="50"/>
    </row>
    <row r="67" spans="1:32" ht="25.5" customHeight="1">
      <c r="A67" s="437">
        <v>4</v>
      </c>
      <c r="B67" s="438"/>
      <c r="C67" s="104"/>
      <c r="D67" s="305"/>
      <c r="E67" s="308"/>
      <c r="F67" s="439"/>
      <c r="G67" s="440"/>
      <c r="H67" s="440"/>
      <c r="I67" s="440"/>
      <c r="J67" s="441"/>
      <c r="K67" s="442"/>
      <c r="L67" s="442"/>
      <c r="M67" s="51"/>
      <c r="N67" s="443"/>
      <c r="O67" s="443"/>
      <c r="P67" s="444"/>
      <c r="Q67" s="444"/>
      <c r="R67" s="418"/>
      <c r="S67" s="418"/>
      <c r="T67" s="418"/>
      <c r="U67" s="418"/>
      <c r="V67" s="418"/>
      <c r="W67" s="418"/>
      <c r="X67" s="418"/>
      <c r="Y67" s="418"/>
      <c r="Z67" s="418"/>
      <c r="AA67" s="418"/>
      <c r="AB67" s="442"/>
      <c r="AC67" s="442"/>
      <c r="AD67" s="445"/>
      <c r="AF67" s="50"/>
    </row>
    <row r="68" spans="1:32" ht="25.5" customHeight="1">
      <c r="A68" s="437">
        <v>5</v>
      </c>
      <c r="B68" s="438"/>
      <c r="C68" s="104"/>
      <c r="D68" s="305"/>
      <c r="E68" s="308"/>
      <c r="F68" s="439"/>
      <c r="G68" s="440"/>
      <c r="H68" s="440"/>
      <c r="I68" s="440"/>
      <c r="J68" s="441"/>
      <c r="K68" s="442"/>
      <c r="L68" s="442"/>
      <c r="M68" s="51"/>
      <c r="N68" s="443"/>
      <c r="O68" s="443"/>
      <c r="P68" s="444"/>
      <c r="Q68" s="444"/>
      <c r="R68" s="418"/>
      <c r="S68" s="418"/>
      <c r="T68" s="418"/>
      <c r="U68" s="418"/>
      <c r="V68" s="418"/>
      <c r="W68" s="418"/>
      <c r="X68" s="418"/>
      <c r="Y68" s="418"/>
      <c r="Z68" s="418"/>
      <c r="AA68" s="418"/>
      <c r="AB68" s="442"/>
      <c r="AC68" s="442"/>
      <c r="AD68" s="445"/>
      <c r="AF68" s="50"/>
    </row>
    <row r="69" spans="1:32" ht="25.5" customHeight="1">
      <c r="A69" s="437">
        <v>6</v>
      </c>
      <c r="B69" s="438"/>
      <c r="C69" s="104"/>
      <c r="D69" s="305"/>
      <c r="E69" s="308"/>
      <c r="F69" s="439"/>
      <c r="G69" s="440"/>
      <c r="H69" s="440"/>
      <c r="I69" s="440"/>
      <c r="J69" s="441"/>
      <c r="K69" s="442"/>
      <c r="L69" s="442"/>
      <c r="M69" s="51"/>
      <c r="N69" s="443"/>
      <c r="O69" s="443"/>
      <c r="P69" s="444"/>
      <c r="Q69" s="444"/>
      <c r="R69" s="418"/>
      <c r="S69" s="418"/>
      <c r="T69" s="418"/>
      <c r="U69" s="418"/>
      <c r="V69" s="418"/>
      <c r="W69" s="418"/>
      <c r="X69" s="418"/>
      <c r="Y69" s="418"/>
      <c r="Z69" s="418"/>
      <c r="AA69" s="418"/>
      <c r="AB69" s="442"/>
      <c r="AC69" s="442"/>
      <c r="AD69" s="445"/>
      <c r="AF69" s="50"/>
    </row>
    <row r="70" spans="1:32" ht="25.5" customHeight="1">
      <c r="A70" s="437">
        <v>7</v>
      </c>
      <c r="B70" s="438"/>
      <c r="C70" s="104"/>
      <c r="D70" s="305"/>
      <c r="E70" s="308"/>
      <c r="F70" s="439"/>
      <c r="G70" s="440"/>
      <c r="H70" s="440"/>
      <c r="I70" s="440"/>
      <c r="J70" s="441"/>
      <c r="K70" s="442"/>
      <c r="L70" s="442"/>
      <c r="M70" s="51"/>
      <c r="N70" s="443"/>
      <c r="O70" s="443"/>
      <c r="P70" s="444"/>
      <c r="Q70" s="444"/>
      <c r="R70" s="418"/>
      <c r="S70" s="418"/>
      <c r="T70" s="418"/>
      <c r="U70" s="418"/>
      <c r="V70" s="418"/>
      <c r="W70" s="418"/>
      <c r="X70" s="418"/>
      <c r="Y70" s="418"/>
      <c r="Z70" s="418"/>
      <c r="AA70" s="418"/>
      <c r="AB70" s="442"/>
      <c r="AC70" s="442"/>
      <c r="AD70" s="445"/>
      <c r="AF70" s="50"/>
    </row>
    <row r="71" spans="1:32" ht="25.5" customHeight="1">
      <c r="A71" s="437">
        <v>8</v>
      </c>
      <c r="B71" s="438"/>
      <c r="C71" s="104"/>
      <c r="D71" s="305"/>
      <c r="E71" s="308"/>
      <c r="F71" s="447"/>
      <c r="G71" s="442"/>
      <c r="H71" s="442"/>
      <c r="I71" s="442"/>
      <c r="J71" s="442"/>
      <c r="K71" s="442"/>
      <c r="L71" s="442"/>
      <c r="M71" s="51"/>
      <c r="N71" s="443"/>
      <c r="O71" s="443"/>
      <c r="P71" s="444"/>
      <c r="Q71" s="444"/>
      <c r="R71" s="418"/>
      <c r="S71" s="418"/>
      <c r="T71" s="418"/>
      <c r="U71" s="418"/>
      <c r="V71" s="418"/>
      <c r="W71" s="418"/>
      <c r="X71" s="418"/>
      <c r="Y71" s="418"/>
      <c r="Z71" s="418"/>
      <c r="AA71" s="418"/>
      <c r="AB71" s="442"/>
      <c r="AC71" s="442"/>
      <c r="AD71" s="445"/>
      <c r="AF71" s="50"/>
    </row>
    <row r="72" spans="1:32" ht="25.5" customHeight="1">
      <c r="A72" s="437">
        <v>9</v>
      </c>
      <c r="B72" s="438"/>
      <c r="C72" s="104"/>
      <c r="D72" s="305"/>
      <c r="E72" s="308"/>
      <c r="F72" s="447"/>
      <c r="G72" s="442"/>
      <c r="H72" s="442"/>
      <c r="I72" s="442"/>
      <c r="J72" s="442"/>
      <c r="K72" s="442"/>
      <c r="L72" s="442"/>
      <c r="M72" s="51"/>
      <c r="N72" s="443"/>
      <c r="O72" s="443"/>
      <c r="P72" s="444"/>
      <c r="Q72" s="444"/>
      <c r="R72" s="418"/>
      <c r="S72" s="418"/>
      <c r="T72" s="418"/>
      <c r="U72" s="418"/>
      <c r="V72" s="418"/>
      <c r="W72" s="418"/>
      <c r="X72" s="418"/>
      <c r="Y72" s="418"/>
      <c r="Z72" s="418"/>
      <c r="AA72" s="418"/>
      <c r="AB72" s="442"/>
      <c r="AC72" s="442"/>
      <c r="AD72" s="445"/>
      <c r="AF72" s="50"/>
    </row>
    <row r="73" spans="1:32" ht="25.5" customHeight="1">
      <c r="A73" s="437">
        <v>10</v>
      </c>
      <c r="B73" s="438"/>
      <c r="C73" s="104"/>
      <c r="D73" s="305"/>
      <c r="E73" s="308"/>
      <c r="F73" s="447"/>
      <c r="G73" s="442"/>
      <c r="H73" s="442"/>
      <c r="I73" s="442"/>
      <c r="J73" s="442"/>
      <c r="K73" s="442"/>
      <c r="L73" s="442"/>
      <c r="M73" s="51"/>
      <c r="N73" s="443"/>
      <c r="O73" s="443"/>
      <c r="P73" s="444"/>
      <c r="Q73" s="444"/>
      <c r="R73" s="418"/>
      <c r="S73" s="418"/>
      <c r="T73" s="418"/>
      <c r="U73" s="418"/>
      <c r="V73" s="418"/>
      <c r="W73" s="418"/>
      <c r="X73" s="418"/>
      <c r="Y73" s="418"/>
      <c r="Z73" s="418"/>
      <c r="AA73" s="418"/>
      <c r="AB73" s="442"/>
      <c r="AC73" s="442"/>
      <c r="AD73" s="445"/>
      <c r="AF73" s="50"/>
    </row>
    <row r="74" spans="1:32" ht="26.25" customHeight="1" thickBot="1">
      <c r="A74" s="448" t="s">
        <v>525</v>
      </c>
      <c r="B74" s="448"/>
      <c r="C74" s="448"/>
      <c r="D74" s="448"/>
      <c r="E74" s="44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49" t="s">
        <v>134</v>
      </c>
      <c r="B75" s="450"/>
      <c r="C75" s="307" t="s">
        <v>2</v>
      </c>
      <c r="D75" s="307" t="s">
        <v>37</v>
      </c>
      <c r="E75" s="307" t="s">
        <v>128</v>
      </c>
      <c r="F75" s="450" t="s">
        <v>38</v>
      </c>
      <c r="G75" s="450"/>
      <c r="H75" s="450"/>
      <c r="I75" s="450"/>
      <c r="J75" s="450"/>
      <c r="K75" s="451" t="s">
        <v>58</v>
      </c>
      <c r="L75" s="452"/>
      <c r="M75" s="452"/>
      <c r="N75" s="452"/>
      <c r="O75" s="452"/>
      <c r="P75" s="452"/>
      <c r="Q75" s="452"/>
      <c r="R75" s="452"/>
      <c r="S75" s="453"/>
      <c r="T75" s="450" t="s">
        <v>49</v>
      </c>
      <c r="U75" s="450"/>
      <c r="V75" s="451" t="s">
        <v>50</v>
      </c>
      <c r="W75" s="453"/>
      <c r="X75" s="452" t="s">
        <v>51</v>
      </c>
      <c r="Y75" s="452"/>
      <c r="Z75" s="452"/>
      <c r="AA75" s="452"/>
      <c r="AB75" s="452"/>
      <c r="AC75" s="452"/>
      <c r="AD75" s="454"/>
      <c r="AF75" s="50"/>
    </row>
    <row r="76" spans="1:32" ht="33.75" customHeight="1">
      <c r="A76" s="463">
        <v>1</v>
      </c>
      <c r="B76" s="464"/>
      <c r="C76" s="306" t="s">
        <v>112</v>
      </c>
      <c r="D76" s="306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44118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55">
        <f>A76+1</f>
        <v>2</v>
      </c>
      <c r="B77" s="456"/>
      <c r="C77" s="305"/>
      <c r="D77" s="305"/>
      <c r="E77" s="32"/>
      <c r="F77" s="456"/>
      <c r="G77" s="456"/>
      <c r="H77" s="456"/>
      <c r="I77" s="456"/>
      <c r="J77" s="456"/>
      <c r="K77" s="457"/>
      <c r="L77" s="458"/>
      <c r="M77" s="458"/>
      <c r="N77" s="458"/>
      <c r="O77" s="458"/>
      <c r="P77" s="458"/>
      <c r="Q77" s="458"/>
      <c r="R77" s="458"/>
      <c r="S77" s="459"/>
      <c r="T77" s="460"/>
      <c r="U77" s="460"/>
      <c r="V77" s="460"/>
      <c r="W77" s="460"/>
      <c r="X77" s="461"/>
      <c r="Y77" s="461"/>
      <c r="Z77" s="461"/>
      <c r="AA77" s="461"/>
      <c r="AB77" s="461"/>
      <c r="AC77" s="461"/>
      <c r="AD77" s="462"/>
      <c r="AF77" s="50"/>
    </row>
    <row r="78" spans="1:32" ht="30" customHeight="1">
      <c r="A78" s="455">
        <f t="shared" ref="A78:A82" si="11">A77+1</f>
        <v>3</v>
      </c>
      <c r="B78" s="456"/>
      <c r="C78" s="305"/>
      <c r="D78" s="305"/>
      <c r="E78" s="32"/>
      <c r="F78" s="456"/>
      <c r="G78" s="456"/>
      <c r="H78" s="456"/>
      <c r="I78" s="456"/>
      <c r="J78" s="456"/>
      <c r="K78" s="457"/>
      <c r="L78" s="458"/>
      <c r="M78" s="458"/>
      <c r="N78" s="458"/>
      <c r="O78" s="458"/>
      <c r="P78" s="458"/>
      <c r="Q78" s="458"/>
      <c r="R78" s="458"/>
      <c r="S78" s="459"/>
      <c r="T78" s="460"/>
      <c r="U78" s="460"/>
      <c r="V78" s="460"/>
      <c r="W78" s="460"/>
      <c r="X78" s="461"/>
      <c r="Y78" s="461"/>
      <c r="Z78" s="461"/>
      <c r="AA78" s="461"/>
      <c r="AB78" s="461"/>
      <c r="AC78" s="461"/>
      <c r="AD78" s="462"/>
      <c r="AF78" s="50"/>
    </row>
    <row r="79" spans="1:32" ht="30" customHeight="1">
      <c r="A79" s="455">
        <f t="shared" si="11"/>
        <v>4</v>
      </c>
      <c r="B79" s="456"/>
      <c r="C79" s="305"/>
      <c r="D79" s="305"/>
      <c r="E79" s="32"/>
      <c r="F79" s="456"/>
      <c r="G79" s="456"/>
      <c r="H79" s="456"/>
      <c r="I79" s="456"/>
      <c r="J79" s="456"/>
      <c r="K79" s="457"/>
      <c r="L79" s="458"/>
      <c r="M79" s="458"/>
      <c r="N79" s="458"/>
      <c r="O79" s="458"/>
      <c r="P79" s="458"/>
      <c r="Q79" s="458"/>
      <c r="R79" s="458"/>
      <c r="S79" s="459"/>
      <c r="T79" s="460"/>
      <c r="U79" s="460"/>
      <c r="V79" s="460"/>
      <c r="W79" s="460"/>
      <c r="X79" s="461"/>
      <c r="Y79" s="461"/>
      <c r="Z79" s="461"/>
      <c r="AA79" s="461"/>
      <c r="AB79" s="461"/>
      <c r="AC79" s="461"/>
      <c r="AD79" s="462"/>
      <c r="AF79" s="50"/>
    </row>
    <row r="80" spans="1:32" ht="30" customHeight="1">
      <c r="A80" s="455">
        <f t="shared" si="11"/>
        <v>5</v>
      </c>
      <c r="B80" s="456"/>
      <c r="C80" s="305"/>
      <c r="D80" s="305"/>
      <c r="E80" s="32"/>
      <c r="F80" s="456"/>
      <c r="G80" s="456"/>
      <c r="H80" s="456"/>
      <c r="I80" s="456"/>
      <c r="J80" s="456"/>
      <c r="K80" s="457"/>
      <c r="L80" s="458"/>
      <c r="M80" s="458"/>
      <c r="N80" s="458"/>
      <c r="O80" s="458"/>
      <c r="P80" s="458"/>
      <c r="Q80" s="458"/>
      <c r="R80" s="458"/>
      <c r="S80" s="459"/>
      <c r="T80" s="460"/>
      <c r="U80" s="460"/>
      <c r="V80" s="460"/>
      <c r="W80" s="460"/>
      <c r="X80" s="461"/>
      <c r="Y80" s="461"/>
      <c r="Z80" s="461"/>
      <c r="AA80" s="461"/>
      <c r="AB80" s="461"/>
      <c r="AC80" s="461"/>
      <c r="AD80" s="462"/>
      <c r="AF80" s="50"/>
    </row>
    <row r="81" spans="1:32" ht="30" customHeight="1">
      <c r="A81" s="455">
        <f t="shared" si="11"/>
        <v>6</v>
      </c>
      <c r="B81" s="456"/>
      <c r="C81" s="305"/>
      <c r="D81" s="305"/>
      <c r="E81" s="32"/>
      <c r="F81" s="456"/>
      <c r="G81" s="456"/>
      <c r="H81" s="456"/>
      <c r="I81" s="456"/>
      <c r="J81" s="456"/>
      <c r="K81" s="457"/>
      <c r="L81" s="458"/>
      <c r="M81" s="458"/>
      <c r="N81" s="458"/>
      <c r="O81" s="458"/>
      <c r="P81" s="458"/>
      <c r="Q81" s="458"/>
      <c r="R81" s="458"/>
      <c r="S81" s="459"/>
      <c r="T81" s="460"/>
      <c r="U81" s="460"/>
      <c r="V81" s="460"/>
      <c r="W81" s="460"/>
      <c r="X81" s="461"/>
      <c r="Y81" s="461"/>
      <c r="Z81" s="461"/>
      <c r="AA81" s="461"/>
      <c r="AB81" s="461"/>
      <c r="AC81" s="461"/>
      <c r="AD81" s="462"/>
      <c r="AF81" s="50"/>
    </row>
    <row r="82" spans="1:32" ht="30" customHeight="1">
      <c r="A82" s="455">
        <f t="shared" si="11"/>
        <v>7</v>
      </c>
      <c r="B82" s="456"/>
      <c r="C82" s="305"/>
      <c r="D82" s="305"/>
      <c r="E82" s="32"/>
      <c r="F82" s="456"/>
      <c r="G82" s="456"/>
      <c r="H82" s="456"/>
      <c r="I82" s="456"/>
      <c r="J82" s="456"/>
      <c r="K82" s="457"/>
      <c r="L82" s="458"/>
      <c r="M82" s="458"/>
      <c r="N82" s="458"/>
      <c r="O82" s="458"/>
      <c r="P82" s="458"/>
      <c r="Q82" s="458"/>
      <c r="R82" s="458"/>
      <c r="S82" s="459"/>
      <c r="T82" s="460"/>
      <c r="U82" s="460"/>
      <c r="V82" s="460"/>
      <c r="W82" s="460"/>
      <c r="X82" s="461"/>
      <c r="Y82" s="461"/>
      <c r="Z82" s="461"/>
      <c r="AA82" s="461"/>
      <c r="AB82" s="461"/>
      <c r="AC82" s="461"/>
      <c r="AD82" s="462"/>
      <c r="AF82" s="50"/>
    </row>
    <row r="83" spans="1:32" ht="36" thickBot="1">
      <c r="A83" s="448" t="s">
        <v>526</v>
      </c>
      <c r="B83" s="448"/>
      <c r="C83" s="448"/>
      <c r="D83" s="448"/>
      <c r="E83" s="44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49" t="s">
        <v>111</v>
      </c>
      <c r="B84" s="450"/>
      <c r="C84" s="476" t="s">
        <v>52</v>
      </c>
      <c r="D84" s="476"/>
      <c r="E84" s="476" t="s">
        <v>53</v>
      </c>
      <c r="F84" s="476"/>
      <c r="G84" s="476"/>
      <c r="H84" s="476"/>
      <c r="I84" s="476"/>
      <c r="J84" s="476"/>
      <c r="K84" s="476" t="s">
        <v>54</v>
      </c>
      <c r="L84" s="476"/>
      <c r="M84" s="476"/>
      <c r="N84" s="476"/>
      <c r="O84" s="476"/>
      <c r="P84" s="476"/>
      <c r="Q84" s="476"/>
      <c r="R84" s="476"/>
      <c r="S84" s="476"/>
      <c r="T84" s="476" t="s">
        <v>55</v>
      </c>
      <c r="U84" s="476"/>
      <c r="V84" s="476" t="s">
        <v>56</v>
      </c>
      <c r="W84" s="476"/>
      <c r="X84" s="476"/>
      <c r="Y84" s="476" t="s">
        <v>51</v>
      </c>
      <c r="Z84" s="476"/>
      <c r="AA84" s="476"/>
      <c r="AB84" s="476"/>
      <c r="AC84" s="476"/>
      <c r="AD84" s="477"/>
      <c r="AF84" s="50"/>
    </row>
    <row r="85" spans="1:32" ht="30.75" customHeight="1">
      <c r="A85" s="463">
        <v>1</v>
      </c>
      <c r="B85" s="464"/>
      <c r="C85" s="478"/>
      <c r="D85" s="478"/>
      <c r="E85" s="478"/>
      <c r="F85" s="478"/>
      <c r="G85" s="478"/>
      <c r="H85" s="478"/>
      <c r="I85" s="478"/>
      <c r="J85" s="478"/>
      <c r="K85" s="478"/>
      <c r="L85" s="478"/>
      <c r="M85" s="478"/>
      <c r="N85" s="478"/>
      <c r="O85" s="478"/>
      <c r="P85" s="478"/>
      <c r="Q85" s="478"/>
      <c r="R85" s="478"/>
      <c r="S85" s="478"/>
      <c r="T85" s="478"/>
      <c r="U85" s="478"/>
      <c r="V85" s="479"/>
      <c r="W85" s="479"/>
      <c r="X85" s="479"/>
      <c r="Y85" s="480"/>
      <c r="Z85" s="480"/>
      <c r="AA85" s="480"/>
      <c r="AB85" s="480"/>
      <c r="AC85" s="480"/>
      <c r="AD85" s="481"/>
      <c r="AF85" s="50"/>
    </row>
    <row r="86" spans="1:32" ht="30.75" customHeight="1">
      <c r="A86" s="455">
        <v>2</v>
      </c>
      <c r="B86" s="456"/>
      <c r="C86" s="489"/>
      <c r="D86" s="489"/>
      <c r="E86" s="489"/>
      <c r="F86" s="489"/>
      <c r="G86" s="489"/>
      <c r="H86" s="489"/>
      <c r="I86" s="489"/>
      <c r="J86" s="489"/>
      <c r="K86" s="489"/>
      <c r="L86" s="489"/>
      <c r="M86" s="489"/>
      <c r="N86" s="489"/>
      <c r="O86" s="489"/>
      <c r="P86" s="489"/>
      <c r="Q86" s="489"/>
      <c r="R86" s="489"/>
      <c r="S86" s="489"/>
      <c r="T86" s="490"/>
      <c r="U86" s="490"/>
      <c r="V86" s="491"/>
      <c r="W86" s="491"/>
      <c r="X86" s="491"/>
      <c r="Y86" s="482"/>
      <c r="Z86" s="482"/>
      <c r="AA86" s="482"/>
      <c r="AB86" s="482"/>
      <c r="AC86" s="482"/>
      <c r="AD86" s="483"/>
      <c r="AF86" s="50"/>
    </row>
    <row r="87" spans="1:32" ht="30.75" customHeight="1" thickBot="1">
      <c r="A87" s="484">
        <v>3</v>
      </c>
      <c r="B87" s="485"/>
      <c r="C87" s="486"/>
      <c r="D87" s="486"/>
      <c r="E87" s="486"/>
      <c r="F87" s="486"/>
      <c r="G87" s="486"/>
      <c r="H87" s="486"/>
      <c r="I87" s="486"/>
      <c r="J87" s="486"/>
      <c r="K87" s="486"/>
      <c r="L87" s="486"/>
      <c r="M87" s="486"/>
      <c r="N87" s="486"/>
      <c r="O87" s="486"/>
      <c r="P87" s="486"/>
      <c r="Q87" s="486"/>
      <c r="R87" s="486"/>
      <c r="S87" s="486"/>
      <c r="T87" s="486"/>
      <c r="U87" s="486"/>
      <c r="V87" s="486"/>
      <c r="W87" s="486"/>
      <c r="X87" s="486"/>
      <c r="Y87" s="487"/>
      <c r="Z87" s="487"/>
      <c r="AA87" s="487"/>
      <c r="AB87" s="487"/>
      <c r="AC87" s="487"/>
      <c r="AD87" s="488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E1B0-CD95-4A76-8D19-16BDB1732E6B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70" t="s">
        <v>527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5"/>
      <c r="T4" s="405"/>
      <c r="U4" s="405"/>
      <c r="V4" s="405"/>
      <c r="W4" s="406" t="s">
        <v>11</v>
      </c>
      <c r="X4" s="405"/>
      <c r="Y4" s="405"/>
      <c r="Z4" s="405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318" t="s">
        <v>17</v>
      </c>
      <c r="L5" s="318" t="s">
        <v>18</v>
      </c>
      <c r="M5" s="318" t="s">
        <v>19</v>
      </c>
      <c r="N5" s="31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125</v>
      </c>
      <c r="E6" s="53" t="s">
        <v>456</v>
      </c>
      <c r="F6" s="30" t="s">
        <v>206</v>
      </c>
      <c r="G6" s="12">
        <v>1</v>
      </c>
      <c r="H6" s="13">
        <v>24</v>
      </c>
      <c r="I6" s="7">
        <v>1600</v>
      </c>
      <c r="J6" s="14">
        <v>1902</v>
      </c>
      <c r="K6" s="15">
        <f>L6+2743+1902</f>
        <v>4645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0.33854166666666669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121</v>
      </c>
      <c r="D7" s="52" t="s">
        <v>125</v>
      </c>
      <c r="E7" s="53" t="s">
        <v>471</v>
      </c>
      <c r="F7" s="12" t="s">
        <v>138</v>
      </c>
      <c r="G7" s="12">
        <v>2</v>
      </c>
      <c r="H7" s="13">
        <v>24</v>
      </c>
      <c r="I7" s="31">
        <v>18000</v>
      </c>
      <c r="J7" s="14">
        <v>5180</v>
      </c>
      <c r="K7" s="15">
        <f>L7+7736+12588</f>
        <v>25504</v>
      </c>
      <c r="L7" s="15">
        <f>2590*2</f>
        <v>5180</v>
      </c>
      <c r="M7" s="15">
        <f t="shared" si="0"/>
        <v>5180</v>
      </c>
      <c r="N7" s="15">
        <v>0</v>
      </c>
      <c r="O7" s="58">
        <f t="shared" si="1"/>
        <v>0</v>
      </c>
      <c r="P7" s="39">
        <f t="shared" si="2"/>
        <v>10</v>
      </c>
      <c r="Q7" s="40">
        <f t="shared" si="3"/>
        <v>14</v>
      </c>
      <c r="R7" s="7"/>
      <c r="S7" s="6"/>
      <c r="T7" s="16"/>
      <c r="U7" s="16"/>
      <c r="V7" s="17"/>
      <c r="W7" s="5">
        <v>14</v>
      </c>
      <c r="X7" s="16"/>
      <c r="Y7" s="16"/>
      <c r="Z7" s="16"/>
      <c r="AA7" s="18"/>
      <c r="AB7" s="8">
        <f t="shared" si="4"/>
        <v>1</v>
      </c>
      <c r="AC7" s="9">
        <f t="shared" si="5"/>
        <v>0.41666666666666669</v>
      </c>
      <c r="AD7" s="10">
        <f t="shared" si="6"/>
        <v>0.41666666666666669</v>
      </c>
      <c r="AE7" s="36">
        <f t="shared" si="7"/>
        <v>0.33854166666666669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/>
      <c r="E8" s="53" t="s">
        <v>321</v>
      </c>
      <c r="F8" s="30" t="s">
        <v>340</v>
      </c>
      <c r="G8" s="33">
        <v>1</v>
      </c>
      <c r="H8" s="35">
        <v>24</v>
      </c>
      <c r="I8" s="7">
        <v>50500</v>
      </c>
      <c r="J8" s="5">
        <v>5494</v>
      </c>
      <c r="K8" s="15">
        <f>L8+4349+2445+5035+5245+5660+1855+3016+5569+5311+5560</f>
        <v>49539</v>
      </c>
      <c r="L8" s="15">
        <f>2721+2773</f>
        <v>5494</v>
      </c>
      <c r="M8" s="15">
        <f t="shared" si="0"/>
        <v>5494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0.33854166666666669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147</v>
      </c>
      <c r="E9" s="53" t="s">
        <v>459</v>
      </c>
      <c r="F9" s="30" t="s">
        <v>460</v>
      </c>
      <c r="G9" s="12">
        <v>4</v>
      </c>
      <c r="H9" s="13">
        <v>24</v>
      </c>
      <c r="I9" s="7">
        <v>8000</v>
      </c>
      <c r="J9" s="14">
        <v>8476</v>
      </c>
      <c r="K9" s="15">
        <f>L9+8476</f>
        <v>8476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/>
      <c r="X9" s="16"/>
      <c r="Y9" s="16"/>
      <c r="Z9" s="16"/>
      <c r="AA9" s="18">
        <v>24</v>
      </c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0.33854166666666669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147</v>
      </c>
      <c r="E10" s="53" t="s">
        <v>388</v>
      </c>
      <c r="F10" s="30" t="s">
        <v>127</v>
      </c>
      <c r="G10" s="33">
        <v>1</v>
      </c>
      <c r="H10" s="35">
        <v>24</v>
      </c>
      <c r="I10" s="7">
        <v>36000</v>
      </c>
      <c r="J10" s="14">
        <v>4876</v>
      </c>
      <c r="K10" s="15">
        <f>L10+3274+4039+5240+6353+6363+6007+6248</f>
        <v>42400</v>
      </c>
      <c r="L10" s="15">
        <f>1762+3114</f>
        <v>4876</v>
      </c>
      <c r="M10" s="15">
        <f t="shared" si="0"/>
        <v>4876</v>
      </c>
      <c r="N10" s="15">
        <v>0</v>
      </c>
      <c r="O10" s="58">
        <f t="shared" si="1"/>
        <v>0</v>
      </c>
      <c r="P10" s="39">
        <f t="shared" si="2"/>
        <v>21</v>
      </c>
      <c r="Q10" s="40">
        <f t="shared" si="3"/>
        <v>3</v>
      </c>
      <c r="R10" s="7"/>
      <c r="S10" s="6"/>
      <c r="T10" s="16"/>
      <c r="U10" s="16"/>
      <c r="V10" s="17"/>
      <c r="W10" s="5">
        <v>3</v>
      </c>
      <c r="X10" s="16"/>
      <c r="Y10" s="16"/>
      <c r="Z10" s="16"/>
      <c r="AA10" s="18"/>
      <c r="AB10" s="8">
        <f t="shared" si="4"/>
        <v>1</v>
      </c>
      <c r="AC10" s="9">
        <f t="shared" si="5"/>
        <v>0.875</v>
      </c>
      <c r="AD10" s="10">
        <f t="shared" si="6"/>
        <v>0.875</v>
      </c>
      <c r="AE10" s="36">
        <f t="shared" si="7"/>
        <v>0.33854166666666669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263</v>
      </c>
      <c r="E11" s="53" t="s">
        <v>264</v>
      </c>
      <c r="F11" s="30" t="s">
        <v>206</v>
      </c>
      <c r="G11" s="33">
        <v>16</v>
      </c>
      <c r="H11" s="35">
        <v>24</v>
      </c>
      <c r="I11" s="7">
        <v>100000</v>
      </c>
      <c r="J11" s="14">
        <v>67990</v>
      </c>
      <c r="K11" s="15">
        <f>L11+49500+67990</f>
        <v>117490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0.33854166666666669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121</v>
      </c>
      <c r="D12" s="52" t="s">
        <v>115</v>
      </c>
      <c r="E12" s="53" t="s">
        <v>472</v>
      </c>
      <c r="F12" s="30" t="s">
        <v>504</v>
      </c>
      <c r="G12" s="12">
        <v>2</v>
      </c>
      <c r="H12" s="13">
        <v>22</v>
      </c>
      <c r="I12" s="31">
        <v>18000</v>
      </c>
      <c r="J12" s="5">
        <v>6528</v>
      </c>
      <c r="K12" s="15">
        <f>L12+4460+8083</f>
        <v>19071</v>
      </c>
      <c r="L12" s="15">
        <f>2673*2+591*2</f>
        <v>6528</v>
      </c>
      <c r="M12" s="15">
        <f t="shared" si="0"/>
        <v>6528</v>
      </c>
      <c r="N12" s="15">
        <v>0</v>
      </c>
      <c r="O12" s="58">
        <f t="shared" si="1"/>
        <v>0</v>
      </c>
      <c r="P12" s="39">
        <f t="shared" si="2"/>
        <v>17</v>
      </c>
      <c r="Q12" s="40">
        <f t="shared" si="3"/>
        <v>7</v>
      </c>
      <c r="R12" s="7"/>
      <c r="S12" s="6">
        <v>7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0.70833333333333337</v>
      </c>
      <c r="AD12" s="10">
        <f t="shared" si="6"/>
        <v>0.70833333333333337</v>
      </c>
      <c r="AE12" s="36">
        <f t="shared" si="7"/>
        <v>0.33854166666666669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224</v>
      </c>
      <c r="E13" s="53" t="s">
        <v>503</v>
      </c>
      <c r="F13" s="30" t="s">
        <v>236</v>
      </c>
      <c r="G13" s="33">
        <v>1</v>
      </c>
      <c r="H13" s="35">
        <v>24</v>
      </c>
      <c r="I13" s="7">
        <v>18000</v>
      </c>
      <c r="J13" s="14">
        <v>1851</v>
      </c>
      <c r="K13" s="15">
        <f>L13+3678</f>
        <v>5529</v>
      </c>
      <c r="L13" s="15">
        <f>480+1371</f>
        <v>1851</v>
      </c>
      <c r="M13" s="15">
        <f t="shared" si="0"/>
        <v>1851</v>
      </c>
      <c r="N13" s="15">
        <v>0</v>
      </c>
      <c r="O13" s="58">
        <f t="shared" si="1"/>
        <v>0</v>
      </c>
      <c r="P13" s="39">
        <f t="shared" si="2"/>
        <v>9</v>
      </c>
      <c r="Q13" s="40">
        <f t="shared" si="3"/>
        <v>15</v>
      </c>
      <c r="R13" s="7"/>
      <c r="S13" s="6">
        <v>15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0.375</v>
      </c>
      <c r="AD13" s="10">
        <f t="shared" si="6"/>
        <v>0.375</v>
      </c>
      <c r="AE13" s="36">
        <f t="shared" si="7"/>
        <v>0.33854166666666669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153</v>
      </c>
      <c r="F14" s="30" t="s">
        <v>144</v>
      </c>
      <c r="G14" s="33">
        <v>1</v>
      </c>
      <c r="H14" s="35">
        <v>50</v>
      </c>
      <c r="I14" s="7">
        <v>200</v>
      </c>
      <c r="J14" s="5">
        <v>392</v>
      </c>
      <c r="K14" s="15">
        <f>L14+392</f>
        <v>392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0.33854166666666669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118</v>
      </c>
      <c r="D15" s="52" t="s">
        <v>131</v>
      </c>
      <c r="E15" s="53" t="s">
        <v>406</v>
      </c>
      <c r="F15" s="12" t="s">
        <v>403</v>
      </c>
      <c r="G15" s="12">
        <v>4</v>
      </c>
      <c r="H15" s="13">
        <v>24</v>
      </c>
      <c r="I15" s="31">
        <v>8000</v>
      </c>
      <c r="J15" s="14">
        <v>11936</v>
      </c>
      <c r="K15" s="15">
        <f>L15</f>
        <v>11936</v>
      </c>
      <c r="L15" s="15">
        <f>2339*4+645*4</f>
        <v>11936</v>
      </c>
      <c r="M15" s="15">
        <f t="shared" si="0"/>
        <v>11936</v>
      </c>
      <c r="N15" s="15">
        <v>0</v>
      </c>
      <c r="O15" s="58">
        <f t="shared" si="1"/>
        <v>0</v>
      </c>
      <c r="P15" s="39">
        <f t="shared" si="2"/>
        <v>15</v>
      </c>
      <c r="Q15" s="40">
        <f t="shared" si="3"/>
        <v>9</v>
      </c>
      <c r="R15" s="7"/>
      <c r="S15" s="6"/>
      <c r="T15" s="16"/>
      <c r="U15" s="16"/>
      <c r="V15" s="17"/>
      <c r="W15" s="5">
        <v>9</v>
      </c>
      <c r="X15" s="16"/>
      <c r="Y15" s="16"/>
      <c r="Z15" s="16"/>
      <c r="AA15" s="18"/>
      <c r="AB15" s="8">
        <f t="shared" si="4"/>
        <v>1</v>
      </c>
      <c r="AC15" s="9">
        <f t="shared" si="5"/>
        <v>0.625</v>
      </c>
      <c r="AD15" s="10">
        <f t="shared" si="6"/>
        <v>0.625</v>
      </c>
      <c r="AE15" s="36">
        <f t="shared" si="7"/>
        <v>0.33854166666666669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202</v>
      </c>
      <c r="E16" s="53" t="s">
        <v>203</v>
      </c>
      <c r="F16" s="30" t="s">
        <v>127</v>
      </c>
      <c r="G16" s="12">
        <v>4</v>
      </c>
      <c r="H16" s="13">
        <v>24</v>
      </c>
      <c r="I16" s="7">
        <v>8000</v>
      </c>
      <c r="J16" s="14">
        <v>9016</v>
      </c>
      <c r="K16" s="15">
        <f>L16+9016</f>
        <v>9016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0.33854166666666669</v>
      </c>
      <c r="AF16" s="84">
        <f t="shared" si="8"/>
        <v>11</v>
      </c>
    </row>
    <row r="17" spans="1:32" ht="30" customHeight="1">
      <c r="A17" s="95">
        <v>12</v>
      </c>
      <c r="B17" s="11" t="s">
        <v>502</v>
      </c>
      <c r="C17" s="34" t="s">
        <v>121</v>
      </c>
      <c r="D17" s="52" t="s">
        <v>125</v>
      </c>
      <c r="E17" s="53" t="s">
        <v>355</v>
      </c>
      <c r="F17" s="30" t="s">
        <v>138</v>
      </c>
      <c r="G17" s="12">
        <v>1</v>
      </c>
      <c r="H17" s="13">
        <v>24</v>
      </c>
      <c r="I17" s="7">
        <v>500</v>
      </c>
      <c r="J17" s="14">
        <v>600</v>
      </c>
      <c r="K17" s="15">
        <f>L17+600</f>
        <v>600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0.33854166666666669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201</v>
      </c>
      <c r="F18" s="30" t="s">
        <v>142</v>
      </c>
      <c r="G18" s="33">
        <v>4</v>
      </c>
      <c r="H18" s="35">
        <v>24</v>
      </c>
      <c r="I18" s="7">
        <v>8000</v>
      </c>
      <c r="J18" s="14">
        <v>5168</v>
      </c>
      <c r="K18" s="15">
        <f>L18+6004</f>
        <v>11172</v>
      </c>
      <c r="L18" s="15">
        <f>1292*4</f>
        <v>5168</v>
      </c>
      <c r="M18" s="15">
        <f t="shared" si="0"/>
        <v>5168</v>
      </c>
      <c r="N18" s="15">
        <v>0</v>
      </c>
      <c r="O18" s="58">
        <f t="shared" si="1"/>
        <v>0</v>
      </c>
      <c r="P18" s="39">
        <f t="shared" si="2"/>
        <v>10</v>
      </c>
      <c r="Q18" s="40">
        <f t="shared" si="3"/>
        <v>14</v>
      </c>
      <c r="R18" s="7"/>
      <c r="S18" s="6"/>
      <c r="T18" s="16"/>
      <c r="U18" s="16"/>
      <c r="V18" s="17"/>
      <c r="W18" s="5">
        <v>14</v>
      </c>
      <c r="X18" s="16"/>
      <c r="Y18" s="16"/>
      <c r="Z18" s="16"/>
      <c r="AA18" s="18"/>
      <c r="AB18" s="8">
        <f t="shared" si="4"/>
        <v>1</v>
      </c>
      <c r="AC18" s="9">
        <f t="shared" si="5"/>
        <v>0.41666666666666669</v>
      </c>
      <c r="AD18" s="10">
        <f t="shared" si="6"/>
        <v>0.41666666666666669</v>
      </c>
      <c r="AE18" s="36">
        <f t="shared" si="7"/>
        <v>0.33854166666666669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510</v>
      </c>
      <c r="F19" s="30" t="s">
        <v>171</v>
      </c>
      <c r="G19" s="33">
        <v>1</v>
      </c>
      <c r="H19" s="35">
        <v>24</v>
      </c>
      <c r="I19" s="7">
        <v>300</v>
      </c>
      <c r="J19" s="14">
        <v>5201</v>
      </c>
      <c r="K19" s="15">
        <f>L19</f>
        <v>0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0.33854166666666669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151</v>
      </c>
      <c r="F20" s="30" t="s">
        <v>142</v>
      </c>
      <c r="G20" s="12">
        <v>1</v>
      </c>
      <c r="H20" s="13">
        <v>24</v>
      </c>
      <c r="I20" s="7">
        <v>20000</v>
      </c>
      <c r="J20" s="14">
        <v>5572</v>
      </c>
      <c r="K20" s="15">
        <f>L20+5452+5525+5570+3196+5515</f>
        <v>30830</v>
      </c>
      <c r="L20" s="15">
        <f>2829+2743</f>
        <v>5572</v>
      </c>
      <c r="M20" s="15">
        <f t="shared" si="0"/>
        <v>5572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0.33854166666666669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140</v>
      </c>
      <c r="F21" s="12" t="s">
        <v>114</v>
      </c>
      <c r="G21" s="12">
        <v>4</v>
      </c>
      <c r="H21" s="35">
        <v>20</v>
      </c>
      <c r="I21" s="7">
        <v>2000000</v>
      </c>
      <c r="J21" s="14">
        <v>29064</v>
      </c>
      <c r="K21" s="15">
        <f>L21+31300+29064</f>
        <v>60364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0.33854166666666669</v>
      </c>
      <c r="AF21" s="84">
        <f t="shared" si="8"/>
        <v>16</v>
      </c>
    </row>
    <row r="22" spans="1:32" ht="31.5" customHeight="1" thickBot="1">
      <c r="A22" s="384" t="s">
        <v>34</v>
      </c>
      <c r="B22" s="385"/>
      <c r="C22" s="385"/>
      <c r="D22" s="385"/>
      <c r="E22" s="385"/>
      <c r="F22" s="385"/>
      <c r="G22" s="385"/>
      <c r="H22" s="386"/>
      <c r="I22" s="22">
        <f t="shared" ref="I22:N22" si="9">SUM(I6:I21)</f>
        <v>2295100</v>
      </c>
      <c r="J22" s="19">
        <f t="shared" si="9"/>
        <v>169246</v>
      </c>
      <c r="K22" s="20">
        <f t="shared" si="9"/>
        <v>396964</v>
      </c>
      <c r="L22" s="21">
        <f t="shared" si="9"/>
        <v>46605</v>
      </c>
      <c r="M22" s="20">
        <f t="shared" si="9"/>
        <v>46605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130</v>
      </c>
      <c r="Q22" s="43">
        <f t="shared" si="10"/>
        <v>254</v>
      </c>
      <c r="R22" s="23">
        <f t="shared" si="10"/>
        <v>24</v>
      </c>
      <c r="S22" s="24">
        <f t="shared" si="10"/>
        <v>46</v>
      </c>
      <c r="T22" s="24">
        <f t="shared" si="10"/>
        <v>0</v>
      </c>
      <c r="U22" s="24">
        <f t="shared" si="10"/>
        <v>0</v>
      </c>
      <c r="V22" s="25">
        <f t="shared" si="10"/>
        <v>24</v>
      </c>
      <c r="W22" s="26">
        <f t="shared" si="10"/>
        <v>88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72</v>
      </c>
      <c r="AB22" s="28">
        <f>AVERAGE(AB6:AB21)</f>
        <v>0.5</v>
      </c>
      <c r="AC22" s="4">
        <f>AVERAGE(AC6:AC21)</f>
        <v>0.33854166666666669</v>
      </c>
      <c r="AD22" s="4">
        <f>AVERAGE(AD6:AD21)</f>
        <v>0.33854166666666669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387" t="s">
        <v>45</v>
      </c>
      <c r="B49" s="387"/>
      <c r="C49" s="387"/>
      <c r="D49" s="387"/>
      <c r="E49" s="38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388" t="s">
        <v>528</v>
      </c>
      <c r="B50" s="389"/>
      <c r="C50" s="389"/>
      <c r="D50" s="389"/>
      <c r="E50" s="389"/>
      <c r="F50" s="389"/>
      <c r="G50" s="389"/>
      <c r="H50" s="389"/>
      <c r="I50" s="389"/>
      <c r="J50" s="389"/>
      <c r="K50" s="389"/>
      <c r="L50" s="389"/>
      <c r="M50" s="390"/>
      <c r="N50" s="391" t="s">
        <v>529</v>
      </c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  <c r="AA50" s="392"/>
      <c r="AB50" s="392"/>
      <c r="AC50" s="392"/>
      <c r="AD50" s="393"/>
    </row>
    <row r="51" spans="1:32" ht="27" customHeight="1">
      <c r="A51" s="394" t="s">
        <v>2</v>
      </c>
      <c r="B51" s="395"/>
      <c r="C51" s="319" t="s">
        <v>46</v>
      </c>
      <c r="D51" s="319" t="s">
        <v>47</v>
      </c>
      <c r="E51" s="319" t="s">
        <v>107</v>
      </c>
      <c r="F51" s="396" t="s">
        <v>106</v>
      </c>
      <c r="G51" s="397"/>
      <c r="H51" s="397"/>
      <c r="I51" s="397"/>
      <c r="J51" s="397"/>
      <c r="K51" s="397"/>
      <c r="L51" s="397"/>
      <c r="M51" s="398"/>
      <c r="N51" s="67" t="s">
        <v>110</v>
      </c>
      <c r="O51" s="319" t="s">
        <v>46</v>
      </c>
      <c r="P51" s="396" t="s">
        <v>47</v>
      </c>
      <c r="Q51" s="399"/>
      <c r="R51" s="396" t="s">
        <v>38</v>
      </c>
      <c r="S51" s="397"/>
      <c r="T51" s="397"/>
      <c r="U51" s="399"/>
      <c r="V51" s="396" t="s">
        <v>48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420" t="s">
        <v>121</v>
      </c>
      <c r="B52" s="421"/>
      <c r="C52" s="322" t="s">
        <v>219</v>
      </c>
      <c r="D52" s="322"/>
      <c r="E52" s="322" t="s">
        <v>472</v>
      </c>
      <c r="F52" s="412" t="s">
        <v>126</v>
      </c>
      <c r="G52" s="413"/>
      <c r="H52" s="413"/>
      <c r="I52" s="413"/>
      <c r="J52" s="413"/>
      <c r="K52" s="413"/>
      <c r="L52" s="413"/>
      <c r="M52" s="414"/>
      <c r="N52" s="321" t="s">
        <v>121</v>
      </c>
      <c r="O52" s="327" t="s">
        <v>136</v>
      </c>
      <c r="P52" s="415"/>
      <c r="Q52" s="416"/>
      <c r="R52" s="415" t="s">
        <v>503</v>
      </c>
      <c r="S52" s="417"/>
      <c r="T52" s="417"/>
      <c r="U52" s="416"/>
      <c r="V52" s="418" t="s">
        <v>126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10" t="s">
        <v>121</v>
      </c>
      <c r="B53" s="411"/>
      <c r="C53" s="320" t="s">
        <v>136</v>
      </c>
      <c r="D53" s="320"/>
      <c r="E53" s="322" t="s">
        <v>503</v>
      </c>
      <c r="F53" s="412" t="s">
        <v>378</v>
      </c>
      <c r="G53" s="413"/>
      <c r="H53" s="413"/>
      <c r="I53" s="413"/>
      <c r="J53" s="413"/>
      <c r="K53" s="413"/>
      <c r="L53" s="413"/>
      <c r="M53" s="414"/>
      <c r="N53" s="321" t="s">
        <v>112</v>
      </c>
      <c r="O53" s="327" t="s">
        <v>135</v>
      </c>
      <c r="P53" s="415" t="s">
        <v>115</v>
      </c>
      <c r="Q53" s="416"/>
      <c r="R53" s="415" t="s">
        <v>510</v>
      </c>
      <c r="S53" s="417"/>
      <c r="T53" s="417"/>
      <c r="U53" s="416"/>
      <c r="V53" s="418" t="s">
        <v>126</v>
      </c>
      <c r="W53" s="418"/>
      <c r="X53" s="418"/>
      <c r="Y53" s="418"/>
      <c r="Z53" s="418"/>
      <c r="AA53" s="418"/>
      <c r="AB53" s="418"/>
      <c r="AC53" s="418"/>
      <c r="AD53" s="419"/>
    </row>
    <row r="54" spans="1:32" ht="27" customHeight="1">
      <c r="A54" s="420" t="s">
        <v>118</v>
      </c>
      <c r="B54" s="421"/>
      <c r="C54" s="322" t="s">
        <v>184</v>
      </c>
      <c r="D54" s="322" t="s">
        <v>115</v>
      </c>
      <c r="E54" s="322" t="s">
        <v>201</v>
      </c>
      <c r="F54" s="412" t="s">
        <v>126</v>
      </c>
      <c r="G54" s="413"/>
      <c r="H54" s="413"/>
      <c r="I54" s="413"/>
      <c r="J54" s="413"/>
      <c r="K54" s="413"/>
      <c r="L54" s="413"/>
      <c r="M54" s="414"/>
      <c r="N54" s="321" t="s">
        <v>409</v>
      </c>
      <c r="O54" s="327" t="s">
        <v>145</v>
      </c>
      <c r="P54" s="415"/>
      <c r="Q54" s="416"/>
      <c r="R54" s="415" t="s">
        <v>492</v>
      </c>
      <c r="S54" s="417"/>
      <c r="T54" s="417"/>
      <c r="U54" s="416"/>
      <c r="V54" s="418" t="s">
        <v>130</v>
      </c>
      <c r="W54" s="418"/>
      <c r="X54" s="418"/>
      <c r="Y54" s="418"/>
      <c r="Z54" s="418"/>
      <c r="AA54" s="418"/>
      <c r="AB54" s="418"/>
      <c r="AC54" s="418"/>
      <c r="AD54" s="419"/>
    </row>
    <row r="55" spans="1:32" ht="27" customHeight="1">
      <c r="A55" s="410" t="s">
        <v>118</v>
      </c>
      <c r="B55" s="411"/>
      <c r="C55" s="320" t="s">
        <v>335</v>
      </c>
      <c r="D55" s="320" t="s">
        <v>131</v>
      </c>
      <c r="E55" s="322" t="s">
        <v>406</v>
      </c>
      <c r="F55" s="412" t="s">
        <v>130</v>
      </c>
      <c r="G55" s="413"/>
      <c r="H55" s="413"/>
      <c r="I55" s="413"/>
      <c r="J55" s="413"/>
      <c r="K55" s="413"/>
      <c r="L55" s="413"/>
      <c r="M55" s="414"/>
      <c r="N55" s="321" t="s">
        <v>113</v>
      </c>
      <c r="O55" s="327" t="s">
        <v>531</v>
      </c>
      <c r="P55" s="415"/>
      <c r="Q55" s="416"/>
      <c r="R55" s="415" t="s">
        <v>530</v>
      </c>
      <c r="S55" s="417"/>
      <c r="T55" s="417"/>
      <c r="U55" s="416"/>
      <c r="V55" s="418" t="s">
        <v>130</v>
      </c>
      <c r="W55" s="418"/>
      <c r="X55" s="418"/>
      <c r="Y55" s="418"/>
      <c r="Z55" s="418"/>
      <c r="AA55" s="418"/>
      <c r="AB55" s="418"/>
      <c r="AC55" s="418"/>
      <c r="AD55" s="419"/>
    </row>
    <row r="56" spans="1:32" ht="27" customHeight="1">
      <c r="A56" s="410"/>
      <c r="B56" s="411"/>
      <c r="C56" s="320"/>
      <c r="D56" s="320"/>
      <c r="E56" s="322"/>
      <c r="F56" s="412"/>
      <c r="G56" s="413"/>
      <c r="H56" s="413"/>
      <c r="I56" s="413"/>
      <c r="J56" s="413"/>
      <c r="K56" s="413"/>
      <c r="L56" s="413"/>
      <c r="M56" s="414"/>
      <c r="N56" s="321"/>
      <c r="O56" s="327"/>
      <c r="P56" s="415"/>
      <c r="Q56" s="416"/>
      <c r="R56" s="415"/>
      <c r="S56" s="417"/>
      <c r="T56" s="417"/>
      <c r="U56" s="416"/>
      <c r="V56" s="418"/>
      <c r="W56" s="418"/>
      <c r="X56" s="418"/>
      <c r="Y56" s="418"/>
      <c r="Z56" s="418"/>
      <c r="AA56" s="418"/>
      <c r="AB56" s="418"/>
      <c r="AC56" s="418"/>
      <c r="AD56" s="419"/>
    </row>
    <row r="57" spans="1:32" ht="27" customHeight="1">
      <c r="A57" s="410"/>
      <c r="B57" s="411"/>
      <c r="C57" s="320"/>
      <c r="D57" s="320"/>
      <c r="E57" s="322"/>
      <c r="F57" s="412"/>
      <c r="G57" s="413"/>
      <c r="H57" s="413"/>
      <c r="I57" s="413"/>
      <c r="J57" s="413"/>
      <c r="K57" s="413"/>
      <c r="L57" s="413"/>
      <c r="M57" s="414"/>
      <c r="N57" s="321"/>
      <c r="O57" s="327"/>
      <c r="P57" s="415"/>
      <c r="Q57" s="416"/>
      <c r="R57" s="415"/>
      <c r="S57" s="417"/>
      <c r="T57" s="417"/>
      <c r="U57" s="416"/>
      <c r="V57" s="418"/>
      <c r="W57" s="418"/>
      <c r="X57" s="418"/>
      <c r="Y57" s="418"/>
      <c r="Z57" s="418"/>
      <c r="AA57" s="418"/>
      <c r="AB57" s="418"/>
      <c r="AC57" s="418"/>
      <c r="AD57" s="419"/>
    </row>
    <row r="58" spans="1:32" ht="27" customHeight="1">
      <c r="A58" s="410"/>
      <c r="B58" s="411"/>
      <c r="C58" s="320"/>
      <c r="D58" s="320"/>
      <c r="E58" s="322"/>
      <c r="F58" s="412"/>
      <c r="G58" s="413"/>
      <c r="H58" s="413"/>
      <c r="I58" s="413"/>
      <c r="J58" s="413"/>
      <c r="K58" s="413"/>
      <c r="L58" s="413"/>
      <c r="M58" s="414"/>
      <c r="N58" s="321"/>
      <c r="O58" s="327"/>
      <c r="P58" s="415"/>
      <c r="Q58" s="416"/>
      <c r="R58" s="415"/>
      <c r="S58" s="417"/>
      <c r="T58" s="417"/>
      <c r="U58" s="416"/>
      <c r="V58" s="418"/>
      <c r="W58" s="418"/>
      <c r="X58" s="418"/>
      <c r="Y58" s="418"/>
      <c r="Z58" s="418"/>
      <c r="AA58" s="418"/>
      <c r="AB58" s="418"/>
      <c r="AC58" s="418"/>
      <c r="AD58" s="419"/>
    </row>
    <row r="59" spans="1:32" ht="27" customHeight="1">
      <c r="A59" s="420"/>
      <c r="B59" s="421"/>
      <c r="C59" s="322"/>
      <c r="D59" s="322"/>
      <c r="E59" s="322"/>
      <c r="F59" s="412"/>
      <c r="G59" s="413"/>
      <c r="H59" s="413"/>
      <c r="I59" s="413"/>
      <c r="J59" s="413"/>
      <c r="K59" s="413"/>
      <c r="L59" s="413"/>
      <c r="M59" s="414"/>
      <c r="N59" s="321"/>
      <c r="O59" s="327"/>
      <c r="P59" s="415"/>
      <c r="Q59" s="416"/>
      <c r="R59" s="421"/>
      <c r="S59" s="421"/>
      <c r="T59" s="421"/>
      <c r="U59" s="421"/>
      <c r="V59" s="418"/>
      <c r="W59" s="418"/>
      <c r="X59" s="418"/>
      <c r="Y59" s="418"/>
      <c r="Z59" s="418"/>
      <c r="AA59" s="418"/>
      <c r="AB59" s="418"/>
      <c r="AC59" s="418"/>
      <c r="AD59" s="419"/>
    </row>
    <row r="60" spans="1:32" ht="27" customHeight="1">
      <c r="A60" s="410"/>
      <c r="B60" s="411"/>
      <c r="C60" s="320"/>
      <c r="D60" s="320"/>
      <c r="E60" s="322"/>
      <c r="F60" s="412"/>
      <c r="G60" s="413"/>
      <c r="H60" s="413"/>
      <c r="I60" s="413"/>
      <c r="J60" s="413"/>
      <c r="K60" s="413"/>
      <c r="L60" s="413"/>
      <c r="M60" s="414"/>
      <c r="N60" s="321"/>
      <c r="O60" s="327"/>
      <c r="P60" s="421"/>
      <c r="Q60" s="421"/>
      <c r="R60" s="421"/>
      <c r="S60" s="421"/>
      <c r="T60" s="421"/>
      <c r="U60" s="421"/>
      <c r="V60" s="418"/>
      <c r="W60" s="418"/>
      <c r="X60" s="418"/>
      <c r="Y60" s="418"/>
      <c r="Z60" s="418"/>
      <c r="AA60" s="418"/>
      <c r="AB60" s="418"/>
      <c r="AC60" s="418"/>
      <c r="AD60" s="419"/>
      <c r="AF60" s="84">
        <f>8*3000</f>
        <v>24000</v>
      </c>
    </row>
    <row r="61" spans="1:32" ht="27" customHeight="1" thickBot="1">
      <c r="A61" s="422"/>
      <c r="B61" s="423"/>
      <c r="C61" s="323"/>
      <c r="D61" s="324"/>
      <c r="E61" s="324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30" t="s">
        <v>532</v>
      </c>
      <c r="B62" s="430"/>
      <c r="C62" s="430"/>
      <c r="D62" s="430"/>
      <c r="E62" s="43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31" t="s">
        <v>111</v>
      </c>
      <c r="B63" s="432"/>
      <c r="C63" s="325" t="s">
        <v>2</v>
      </c>
      <c r="D63" s="325" t="s">
        <v>37</v>
      </c>
      <c r="E63" s="325" t="s">
        <v>3</v>
      </c>
      <c r="F63" s="432" t="s">
        <v>109</v>
      </c>
      <c r="G63" s="432"/>
      <c r="H63" s="432"/>
      <c r="I63" s="432"/>
      <c r="J63" s="432"/>
      <c r="K63" s="432" t="s">
        <v>39</v>
      </c>
      <c r="L63" s="432"/>
      <c r="M63" s="325" t="s">
        <v>40</v>
      </c>
      <c r="N63" s="432" t="s">
        <v>41</v>
      </c>
      <c r="O63" s="432"/>
      <c r="P63" s="433" t="s">
        <v>42</v>
      </c>
      <c r="Q63" s="434"/>
      <c r="R63" s="433" t="s">
        <v>43</v>
      </c>
      <c r="S63" s="435"/>
      <c r="T63" s="435"/>
      <c r="U63" s="435"/>
      <c r="V63" s="435"/>
      <c r="W63" s="435"/>
      <c r="X63" s="435"/>
      <c r="Y63" s="435"/>
      <c r="Z63" s="435"/>
      <c r="AA63" s="434"/>
      <c r="AB63" s="432" t="s">
        <v>44</v>
      </c>
      <c r="AC63" s="432"/>
      <c r="AD63" s="436"/>
      <c r="AF63" s="84">
        <f>SUM(AF60:AF62)</f>
        <v>96000</v>
      </c>
    </row>
    <row r="64" spans="1:32" ht="25.5" customHeight="1">
      <c r="A64" s="437">
        <v>1</v>
      </c>
      <c r="B64" s="438"/>
      <c r="C64" s="104" t="s">
        <v>119</v>
      </c>
      <c r="D64" s="329"/>
      <c r="E64" s="326" t="s">
        <v>115</v>
      </c>
      <c r="F64" s="439" t="s">
        <v>533</v>
      </c>
      <c r="G64" s="440"/>
      <c r="H64" s="440"/>
      <c r="I64" s="440"/>
      <c r="J64" s="441"/>
      <c r="K64" s="442" t="s">
        <v>236</v>
      </c>
      <c r="L64" s="442"/>
      <c r="M64" s="51" t="s">
        <v>358</v>
      </c>
      <c r="N64" s="443" t="s">
        <v>137</v>
      </c>
      <c r="O64" s="443"/>
      <c r="P64" s="444">
        <v>50</v>
      </c>
      <c r="Q64" s="444"/>
      <c r="R64" s="418"/>
      <c r="S64" s="418"/>
      <c r="T64" s="418"/>
      <c r="U64" s="418"/>
      <c r="V64" s="418"/>
      <c r="W64" s="418"/>
      <c r="X64" s="418"/>
      <c r="Y64" s="418"/>
      <c r="Z64" s="418"/>
      <c r="AA64" s="418"/>
      <c r="AB64" s="442"/>
      <c r="AC64" s="442"/>
      <c r="AD64" s="445"/>
      <c r="AF64" s="50"/>
    </row>
    <row r="65" spans="1:32" ht="25.5" customHeight="1">
      <c r="A65" s="437">
        <v>2</v>
      </c>
      <c r="B65" s="438"/>
      <c r="C65" s="104" t="s">
        <v>112</v>
      </c>
      <c r="D65" s="329"/>
      <c r="E65" s="326" t="s">
        <v>115</v>
      </c>
      <c r="F65" s="439" t="s">
        <v>534</v>
      </c>
      <c r="G65" s="440"/>
      <c r="H65" s="440"/>
      <c r="I65" s="440"/>
      <c r="J65" s="441"/>
      <c r="K65" s="442" t="s">
        <v>477</v>
      </c>
      <c r="L65" s="442"/>
      <c r="M65" s="51" t="s">
        <v>358</v>
      </c>
      <c r="N65" s="443" t="s">
        <v>432</v>
      </c>
      <c r="O65" s="443"/>
      <c r="P65" s="444">
        <v>50</v>
      </c>
      <c r="Q65" s="444"/>
      <c r="R65" s="418"/>
      <c r="S65" s="418"/>
      <c r="T65" s="418"/>
      <c r="U65" s="418"/>
      <c r="V65" s="418"/>
      <c r="W65" s="418"/>
      <c r="X65" s="418"/>
      <c r="Y65" s="418"/>
      <c r="Z65" s="418"/>
      <c r="AA65" s="418"/>
      <c r="AB65" s="442"/>
      <c r="AC65" s="442"/>
      <c r="AD65" s="445"/>
      <c r="AF65" s="50"/>
    </row>
    <row r="66" spans="1:32" ht="25.5" customHeight="1">
      <c r="A66" s="437">
        <v>3</v>
      </c>
      <c r="B66" s="438"/>
      <c r="C66" s="104" t="s">
        <v>119</v>
      </c>
      <c r="D66" s="329"/>
      <c r="E66" s="326" t="s">
        <v>115</v>
      </c>
      <c r="F66" s="439" t="s">
        <v>496</v>
      </c>
      <c r="G66" s="440"/>
      <c r="H66" s="440"/>
      <c r="I66" s="440"/>
      <c r="J66" s="441"/>
      <c r="K66" s="442" t="s">
        <v>142</v>
      </c>
      <c r="L66" s="442"/>
      <c r="M66" s="51" t="s">
        <v>141</v>
      </c>
      <c r="N66" s="443" t="s">
        <v>145</v>
      </c>
      <c r="O66" s="443"/>
      <c r="P66" s="444">
        <v>50</v>
      </c>
      <c r="Q66" s="444"/>
      <c r="R66" s="418"/>
      <c r="S66" s="418"/>
      <c r="T66" s="418"/>
      <c r="U66" s="418"/>
      <c r="V66" s="418"/>
      <c r="W66" s="418"/>
      <c r="X66" s="418"/>
      <c r="Y66" s="418"/>
      <c r="Z66" s="418"/>
      <c r="AA66" s="418"/>
      <c r="AB66" s="442"/>
      <c r="AC66" s="442"/>
      <c r="AD66" s="445"/>
      <c r="AF66" s="50"/>
    </row>
    <row r="67" spans="1:32" ht="25.5" customHeight="1">
      <c r="A67" s="437">
        <v>4</v>
      </c>
      <c r="B67" s="438"/>
      <c r="C67" s="104" t="s">
        <v>119</v>
      </c>
      <c r="D67" s="329"/>
      <c r="E67" s="326" t="s">
        <v>131</v>
      </c>
      <c r="F67" s="439" t="s">
        <v>290</v>
      </c>
      <c r="G67" s="440"/>
      <c r="H67" s="440"/>
      <c r="I67" s="440"/>
      <c r="J67" s="441"/>
      <c r="K67" s="442" t="s">
        <v>132</v>
      </c>
      <c r="L67" s="442"/>
      <c r="M67" s="51" t="s">
        <v>141</v>
      </c>
      <c r="N67" s="443" t="s">
        <v>230</v>
      </c>
      <c r="O67" s="443"/>
      <c r="P67" s="444">
        <v>200</v>
      </c>
      <c r="Q67" s="444"/>
      <c r="R67" s="418"/>
      <c r="S67" s="418"/>
      <c r="T67" s="418"/>
      <c r="U67" s="418"/>
      <c r="V67" s="418"/>
      <c r="W67" s="418"/>
      <c r="X67" s="418"/>
      <c r="Y67" s="418"/>
      <c r="Z67" s="418"/>
      <c r="AA67" s="418"/>
      <c r="AB67" s="442"/>
      <c r="AC67" s="442"/>
      <c r="AD67" s="445"/>
      <c r="AF67" s="50"/>
    </row>
    <row r="68" spans="1:32" ht="25.5" customHeight="1">
      <c r="A68" s="437">
        <v>5</v>
      </c>
      <c r="B68" s="438"/>
      <c r="C68" s="104"/>
      <c r="D68" s="329"/>
      <c r="E68" s="326"/>
      <c r="F68" s="439"/>
      <c r="G68" s="440"/>
      <c r="H68" s="440"/>
      <c r="I68" s="440"/>
      <c r="J68" s="441"/>
      <c r="K68" s="442"/>
      <c r="L68" s="442"/>
      <c r="M68" s="51"/>
      <c r="N68" s="443"/>
      <c r="O68" s="443"/>
      <c r="P68" s="444"/>
      <c r="Q68" s="444"/>
      <c r="R68" s="418"/>
      <c r="S68" s="418"/>
      <c r="T68" s="418"/>
      <c r="U68" s="418"/>
      <c r="V68" s="418"/>
      <c r="W68" s="418"/>
      <c r="X68" s="418"/>
      <c r="Y68" s="418"/>
      <c r="Z68" s="418"/>
      <c r="AA68" s="418"/>
      <c r="AB68" s="442"/>
      <c r="AC68" s="442"/>
      <c r="AD68" s="445"/>
      <c r="AF68" s="50"/>
    </row>
    <row r="69" spans="1:32" ht="25.5" customHeight="1">
      <c r="A69" s="437">
        <v>6</v>
      </c>
      <c r="B69" s="438"/>
      <c r="C69" s="104"/>
      <c r="D69" s="329"/>
      <c r="E69" s="326"/>
      <c r="F69" s="439"/>
      <c r="G69" s="440"/>
      <c r="H69" s="440"/>
      <c r="I69" s="440"/>
      <c r="J69" s="441"/>
      <c r="K69" s="442"/>
      <c r="L69" s="442"/>
      <c r="M69" s="51"/>
      <c r="N69" s="443"/>
      <c r="O69" s="443"/>
      <c r="P69" s="444"/>
      <c r="Q69" s="444"/>
      <c r="R69" s="418"/>
      <c r="S69" s="418"/>
      <c r="T69" s="418"/>
      <c r="U69" s="418"/>
      <c r="V69" s="418"/>
      <c r="W69" s="418"/>
      <c r="X69" s="418"/>
      <c r="Y69" s="418"/>
      <c r="Z69" s="418"/>
      <c r="AA69" s="418"/>
      <c r="AB69" s="442"/>
      <c r="AC69" s="442"/>
      <c r="AD69" s="445"/>
      <c r="AF69" s="50"/>
    </row>
    <row r="70" spans="1:32" ht="25.5" customHeight="1">
      <c r="A70" s="437">
        <v>7</v>
      </c>
      <c r="B70" s="438"/>
      <c r="C70" s="104"/>
      <c r="D70" s="329"/>
      <c r="E70" s="326"/>
      <c r="F70" s="439"/>
      <c r="G70" s="440"/>
      <c r="H70" s="440"/>
      <c r="I70" s="440"/>
      <c r="J70" s="441"/>
      <c r="K70" s="442"/>
      <c r="L70" s="442"/>
      <c r="M70" s="51"/>
      <c r="N70" s="443"/>
      <c r="O70" s="443"/>
      <c r="P70" s="444"/>
      <c r="Q70" s="444"/>
      <c r="R70" s="418"/>
      <c r="S70" s="418"/>
      <c r="T70" s="418"/>
      <c r="U70" s="418"/>
      <c r="V70" s="418"/>
      <c r="W70" s="418"/>
      <c r="X70" s="418"/>
      <c r="Y70" s="418"/>
      <c r="Z70" s="418"/>
      <c r="AA70" s="418"/>
      <c r="AB70" s="442"/>
      <c r="AC70" s="442"/>
      <c r="AD70" s="445"/>
      <c r="AF70" s="50"/>
    </row>
    <row r="71" spans="1:32" ht="25.5" customHeight="1">
      <c r="A71" s="437">
        <v>8</v>
      </c>
      <c r="B71" s="438"/>
      <c r="C71" s="104"/>
      <c r="D71" s="329"/>
      <c r="E71" s="326"/>
      <c r="F71" s="447"/>
      <c r="G71" s="442"/>
      <c r="H71" s="442"/>
      <c r="I71" s="442"/>
      <c r="J71" s="442"/>
      <c r="K71" s="442"/>
      <c r="L71" s="442"/>
      <c r="M71" s="51"/>
      <c r="N71" s="443"/>
      <c r="O71" s="443"/>
      <c r="P71" s="444"/>
      <c r="Q71" s="444"/>
      <c r="R71" s="418"/>
      <c r="S71" s="418"/>
      <c r="T71" s="418"/>
      <c r="U71" s="418"/>
      <c r="V71" s="418"/>
      <c r="W71" s="418"/>
      <c r="X71" s="418"/>
      <c r="Y71" s="418"/>
      <c r="Z71" s="418"/>
      <c r="AA71" s="418"/>
      <c r="AB71" s="442"/>
      <c r="AC71" s="442"/>
      <c r="AD71" s="445"/>
      <c r="AF71" s="50"/>
    </row>
    <row r="72" spans="1:32" ht="25.5" customHeight="1">
      <c r="A72" s="437">
        <v>9</v>
      </c>
      <c r="B72" s="438"/>
      <c r="C72" s="104"/>
      <c r="D72" s="329"/>
      <c r="E72" s="326"/>
      <c r="F72" s="447"/>
      <c r="G72" s="442"/>
      <c r="H72" s="442"/>
      <c r="I72" s="442"/>
      <c r="J72" s="442"/>
      <c r="K72" s="442"/>
      <c r="L72" s="442"/>
      <c r="M72" s="51"/>
      <c r="N72" s="443"/>
      <c r="O72" s="443"/>
      <c r="P72" s="444"/>
      <c r="Q72" s="444"/>
      <c r="R72" s="418"/>
      <c r="S72" s="418"/>
      <c r="T72" s="418"/>
      <c r="U72" s="418"/>
      <c r="V72" s="418"/>
      <c r="W72" s="418"/>
      <c r="X72" s="418"/>
      <c r="Y72" s="418"/>
      <c r="Z72" s="418"/>
      <c r="AA72" s="418"/>
      <c r="AB72" s="442"/>
      <c r="AC72" s="442"/>
      <c r="AD72" s="445"/>
      <c r="AF72" s="50"/>
    </row>
    <row r="73" spans="1:32" ht="25.5" customHeight="1">
      <c r="A73" s="437">
        <v>10</v>
      </c>
      <c r="B73" s="438"/>
      <c r="C73" s="104"/>
      <c r="D73" s="329"/>
      <c r="E73" s="326"/>
      <c r="F73" s="447"/>
      <c r="G73" s="442"/>
      <c r="H73" s="442"/>
      <c r="I73" s="442"/>
      <c r="J73" s="442"/>
      <c r="K73" s="442"/>
      <c r="L73" s="442"/>
      <c r="M73" s="51"/>
      <c r="N73" s="443"/>
      <c r="O73" s="443"/>
      <c r="P73" s="444"/>
      <c r="Q73" s="444"/>
      <c r="R73" s="418"/>
      <c r="S73" s="418"/>
      <c r="T73" s="418"/>
      <c r="U73" s="418"/>
      <c r="V73" s="418"/>
      <c r="W73" s="418"/>
      <c r="X73" s="418"/>
      <c r="Y73" s="418"/>
      <c r="Z73" s="418"/>
      <c r="AA73" s="418"/>
      <c r="AB73" s="442"/>
      <c r="AC73" s="442"/>
      <c r="AD73" s="445"/>
      <c r="AF73" s="50"/>
    </row>
    <row r="74" spans="1:32" ht="26.25" customHeight="1" thickBot="1">
      <c r="A74" s="448" t="s">
        <v>535</v>
      </c>
      <c r="B74" s="448"/>
      <c r="C74" s="448"/>
      <c r="D74" s="448"/>
      <c r="E74" s="44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49" t="s">
        <v>134</v>
      </c>
      <c r="B75" s="450"/>
      <c r="C75" s="328" t="s">
        <v>2</v>
      </c>
      <c r="D75" s="328" t="s">
        <v>37</v>
      </c>
      <c r="E75" s="328" t="s">
        <v>128</v>
      </c>
      <c r="F75" s="450" t="s">
        <v>38</v>
      </c>
      <c r="G75" s="450"/>
      <c r="H75" s="450"/>
      <c r="I75" s="450"/>
      <c r="J75" s="450"/>
      <c r="K75" s="451" t="s">
        <v>58</v>
      </c>
      <c r="L75" s="452"/>
      <c r="M75" s="452"/>
      <c r="N75" s="452"/>
      <c r="O75" s="452"/>
      <c r="P75" s="452"/>
      <c r="Q75" s="452"/>
      <c r="R75" s="452"/>
      <c r="S75" s="453"/>
      <c r="T75" s="450" t="s">
        <v>49</v>
      </c>
      <c r="U75" s="450"/>
      <c r="V75" s="451" t="s">
        <v>50</v>
      </c>
      <c r="W75" s="453"/>
      <c r="X75" s="452" t="s">
        <v>51</v>
      </c>
      <c r="Y75" s="452"/>
      <c r="Z75" s="452"/>
      <c r="AA75" s="452"/>
      <c r="AB75" s="452"/>
      <c r="AC75" s="452"/>
      <c r="AD75" s="454"/>
      <c r="AF75" s="50"/>
    </row>
    <row r="76" spans="1:32" ht="33.75" customHeight="1">
      <c r="A76" s="463">
        <v>1</v>
      </c>
      <c r="B76" s="464"/>
      <c r="C76" s="330" t="s">
        <v>112</v>
      </c>
      <c r="D76" s="330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44118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55">
        <f>A76+1</f>
        <v>2</v>
      </c>
      <c r="B77" s="456"/>
      <c r="C77" s="329"/>
      <c r="D77" s="329"/>
      <c r="E77" s="32"/>
      <c r="F77" s="456"/>
      <c r="G77" s="456"/>
      <c r="H77" s="456"/>
      <c r="I77" s="456"/>
      <c r="J77" s="456"/>
      <c r="K77" s="457"/>
      <c r="L77" s="458"/>
      <c r="M77" s="458"/>
      <c r="N77" s="458"/>
      <c r="O77" s="458"/>
      <c r="P77" s="458"/>
      <c r="Q77" s="458"/>
      <c r="R77" s="458"/>
      <c r="S77" s="459"/>
      <c r="T77" s="460"/>
      <c r="U77" s="460"/>
      <c r="V77" s="460"/>
      <c r="W77" s="460"/>
      <c r="X77" s="461"/>
      <c r="Y77" s="461"/>
      <c r="Z77" s="461"/>
      <c r="AA77" s="461"/>
      <c r="AB77" s="461"/>
      <c r="AC77" s="461"/>
      <c r="AD77" s="462"/>
      <c r="AF77" s="50"/>
    </row>
    <row r="78" spans="1:32" ht="30" customHeight="1">
      <c r="A78" s="455">
        <f t="shared" ref="A78:A82" si="11">A77+1</f>
        <v>3</v>
      </c>
      <c r="B78" s="456"/>
      <c r="C78" s="329"/>
      <c r="D78" s="329"/>
      <c r="E78" s="32"/>
      <c r="F78" s="456"/>
      <c r="G78" s="456"/>
      <c r="H78" s="456"/>
      <c r="I78" s="456"/>
      <c r="J78" s="456"/>
      <c r="K78" s="457"/>
      <c r="L78" s="458"/>
      <c r="M78" s="458"/>
      <c r="N78" s="458"/>
      <c r="O78" s="458"/>
      <c r="P78" s="458"/>
      <c r="Q78" s="458"/>
      <c r="R78" s="458"/>
      <c r="S78" s="459"/>
      <c r="T78" s="460"/>
      <c r="U78" s="460"/>
      <c r="V78" s="460"/>
      <c r="W78" s="460"/>
      <c r="X78" s="461"/>
      <c r="Y78" s="461"/>
      <c r="Z78" s="461"/>
      <c r="AA78" s="461"/>
      <c r="AB78" s="461"/>
      <c r="AC78" s="461"/>
      <c r="AD78" s="462"/>
      <c r="AF78" s="50"/>
    </row>
    <row r="79" spans="1:32" ht="30" customHeight="1">
      <c r="A79" s="455">
        <f t="shared" si="11"/>
        <v>4</v>
      </c>
      <c r="B79" s="456"/>
      <c r="C79" s="329"/>
      <c r="D79" s="329"/>
      <c r="E79" s="32"/>
      <c r="F79" s="456"/>
      <c r="G79" s="456"/>
      <c r="H79" s="456"/>
      <c r="I79" s="456"/>
      <c r="J79" s="456"/>
      <c r="K79" s="457"/>
      <c r="L79" s="458"/>
      <c r="M79" s="458"/>
      <c r="N79" s="458"/>
      <c r="O79" s="458"/>
      <c r="P79" s="458"/>
      <c r="Q79" s="458"/>
      <c r="R79" s="458"/>
      <c r="S79" s="459"/>
      <c r="T79" s="460"/>
      <c r="U79" s="460"/>
      <c r="V79" s="460"/>
      <c r="W79" s="460"/>
      <c r="X79" s="461"/>
      <c r="Y79" s="461"/>
      <c r="Z79" s="461"/>
      <c r="AA79" s="461"/>
      <c r="AB79" s="461"/>
      <c r="AC79" s="461"/>
      <c r="AD79" s="462"/>
      <c r="AF79" s="50"/>
    </row>
    <row r="80" spans="1:32" ht="30" customHeight="1">
      <c r="A80" s="455">
        <f t="shared" si="11"/>
        <v>5</v>
      </c>
      <c r="B80" s="456"/>
      <c r="C80" s="329"/>
      <c r="D80" s="329"/>
      <c r="E80" s="32"/>
      <c r="F80" s="456"/>
      <c r="G80" s="456"/>
      <c r="H80" s="456"/>
      <c r="I80" s="456"/>
      <c r="J80" s="456"/>
      <c r="K80" s="457"/>
      <c r="L80" s="458"/>
      <c r="M80" s="458"/>
      <c r="N80" s="458"/>
      <c r="O80" s="458"/>
      <c r="P80" s="458"/>
      <c r="Q80" s="458"/>
      <c r="R80" s="458"/>
      <c r="S80" s="459"/>
      <c r="T80" s="460"/>
      <c r="U80" s="460"/>
      <c r="V80" s="460"/>
      <c r="W80" s="460"/>
      <c r="X80" s="461"/>
      <c r="Y80" s="461"/>
      <c r="Z80" s="461"/>
      <c r="AA80" s="461"/>
      <c r="AB80" s="461"/>
      <c r="AC80" s="461"/>
      <c r="AD80" s="462"/>
      <c r="AF80" s="50"/>
    </row>
    <row r="81" spans="1:32" ht="30" customHeight="1">
      <c r="A81" s="455">
        <f t="shared" si="11"/>
        <v>6</v>
      </c>
      <c r="B81" s="456"/>
      <c r="C81" s="329"/>
      <c r="D81" s="329"/>
      <c r="E81" s="32"/>
      <c r="F81" s="456"/>
      <c r="G81" s="456"/>
      <c r="H81" s="456"/>
      <c r="I81" s="456"/>
      <c r="J81" s="456"/>
      <c r="K81" s="457"/>
      <c r="L81" s="458"/>
      <c r="M81" s="458"/>
      <c r="N81" s="458"/>
      <c r="O81" s="458"/>
      <c r="P81" s="458"/>
      <c r="Q81" s="458"/>
      <c r="R81" s="458"/>
      <c r="S81" s="459"/>
      <c r="T81" s="460"/>
      <c r="U81" s="460"/>
      <c r="V81" s="460"/>
      <c r="W81" s="460"/>
      <c r="X81" s="461"/>
      <c r="Y81" s="461"/>
      <c r="Z81" s="461"/>
      <c r="AA81" s="461"/>
      <c r="AB81" s="461"/>
      <c r="AC81" s="461"/>
      <c r="AD81" s="462"/>
      <c r="AF81" s="50"/>
    </row>
    <row r="82" spans="1:32" ht="30" customHeight="1">
      <c r="A82" s="455">
        <f t="shared" si="11"/>
        <v>7</v>
      </c>
      <c r="B82" s="456"/>
      <c r="C82" s="329"/>
      <c r="D82" s="329"/>
      <c r="E82" s="32"/>
      <c r="F82" s="456"/>
      <c r="G82" s="456"/>
      <c r="H82" s="456"/>
      <c r="I82" s="456"/>
      <c r="J82" s="456"/>
      <c r="K82" s="457"/>
      <c r="L82" s="458"/>
      <c r="M82" s="458"/>
      <c r="N82" s="458"/>
      <c r="O82" s="458"/>
      <c r="P82" s="458"/>
      <c r="Q82" s="458"/>
      <c r="R82" s="458"/>
      <c r="S82" s="459"/>
      <c r="T82" s="460"/>
      <c r="U82" s="460"/>
      <c r="V82" s="460"/>
      <c r="W82" s="460"/>
      <c r="X82" s="461"/>
      <c r="Y82" s="461"/>
      <c r="Z82" s="461"/>
      <c r="AA82" s="461"/>
      <c r="AB82" s="461"/>
      <c r="AC82" s="461"/>
      <c r="AD82" s="462"/>
      <c r="AF82" s="50"/>
    </row>
    <row r="83" spans="1:32" ht="36" thickBot="1">
      <c r="A83" s="448" t="s">
        <v>536</v>
      </c>
      <c r="B83" s="448"/>
      <c r="C83" s="448"/>
      <c r="D83" s="448"/>
      <c r="E83" s="44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49" t="s">
        <v>111</v>
      </c>
      <c r="B84" s="450"/>
      <c r="C84" s="476" t="s">
        <v>52</v>
      </c>
      <c r="D84" s="476"/>
      <c r="E84" s="476" t="s">
        <v>53</v>
      </c>
      <c r="F84" s="476"/>
      <c r="G84" s="476"/>
      <c r="H84" s="476"/>
      <c r="I84" s="476"/>
      <c r="J84" s="476"/>
      <c r="K84" s="476" t="s">
        <v>54</v>
      </c>
      <c r="L84" s="476"/>
      <c r="M84" s="476"/>
      <c r="N84" s="476"/>
      <c r="O84" s="476"/>
      <c r="P84" s="476"/>
      <c r="Q84" s="476"/>
      <c r="R84" s="476"/>
      <c r="S84" s="476"/>
      <c r="T84" s="476" t="s">
        <v>55</v>
      </c>
      <c r="U84" s="476"/>
      <c r="V84" s="476" t="s">
        <v>56</v>
      </c>
      <c r="W84" s="476"/>
      <c r="X84" s="476"/>
      <c r="Y84" s="476" t="s">
        <v>51</v>
      </c>
      <c r="Z84" s="476"/>
      <c r="AA84" s="476"/>
      <c r="AB84" s="476"/>
      <c r="AC84" s="476"/>
      <c r="AD84" s="477"/>
      <c r="AF84" s="50"/>
    </row>
    <row r="85" spans="1:32" ht="30.75" customHeight="1">
      <c r="A85" s="463">
        <v>1</v>
      </c>
      <c r="B85" s="464"/>
      <c r="C85" s="478"/>
      <c r="D85" s="478"/>
      <c r="E85" s="478"/>
      <c r="F85" s="478"/>
      <c r="G85" s="478"/>
      <c r="H85" s="478"/>
      <c r="I85" s="478"/>
      <c r="J85" s="478"/>
      <c r="K85" s="478"/>
      <c r="L85" s="478"/>
      <c r="M85" s="478"/>
      <c r="N85" s="478"/>
      <c r="O85" s="478"/>
      <c r="P85" s="478"/>
      <c r="Q85" s="478"/>
      <c r="R85" s="478"/>
      <c r="S85" s="478"/>
      <c r="T85" s="478"/>
      <c r="U85" s="478"/>
      <c r="V85" s="479"/>
      <c r="W85" s="479"/>
      <c r="X85" s="479"/>
      <c r="Y85" s="480"/>
      <c r="Z85" s="480"/>
      <c r="AA85" s="480"/>
      <c r="AB85" s="480"/>
      <c r="AC85" s="480"/>
      <c r="AD85" s="481"/>
      <c r="AF85" s="50"/>
    </row>
    <row r="86" spans="1:32" ht="30.75" customHeight="1">
      <c r="A86" s="455">
        <v>2</v>
      </c>
      <c r="B86" s="456"/>
      <c r="C86" s="489"/>
      <c r="D86" s="489"/>
      <c r="E86" s="489"/>
      <c r="F86" s="489"/>
      <c r="G86" s="489"/>
      <c r="H86" s="489"/>
      <c r="I86" s="489"/>
      <c r="J86" s="489"/>
      <c r="K86" s="489"/>
      <c r="L86" s="489"/>
      <c r="M86" s="489"/>
      <c r="N86" s="489"/>
      <c r="O86" s="489"/>
      <c r="P86" s="489"/>
      <c r="Q86" s="489"/>
      <c r="R86" s="489"/>
      <c r="S86" s="489"/>
      <c r="T86" s="490"/>
      <c r="U86" s="490"/>
      <c r="V86" s="491"/>
      <c r="W86" s="491"/>
      <c r="X86" s="491"/>
      <c r="Y86" s="482"/>
      <c r="Z86" s="482"/>
      <c r="AA86" s="482"/>
      <c r="AB86" s="482"/>
      <c r="AC86" s="482"/>
      <c r="AD86" s="483"/>
      <c r="AF86" s="50"/>
    </row>
    <row r="87" spans="1:32" ht="30.75" customHeight="1" thickBot="1">
      <c r="A87" s="484">
        <v>3</v>
      </c>
      <c r="B87" s="485"/>
      <c r="C87" s="486"/>
      <c r="D87" s="486"/>
      <c r="E87" s="486"/>
      <c r="F87" s="486"/>
      <c r="G87" s="486"/>
      <c r="H87" s="486"/>
      <c r="I87" s="486"/>
      <c r="J87" s="486"/>
      <c r="K87" s="486"/>
      <c r="L87" s="486"/>
      <c r="M87" s="486"/>
      <c r="N87" s="486"/>
      <c r="O87" s="486"/>
      <c r="P87" s="486"/>
      <c r="Q87" s="486"/>
      <c r="R87" s="486"/>
      <c r="S87" s="486"/>
      <c r="T87" s="486"/>
      <c r="U87" s="486"/>
      <c r="V87" s="486"/>
      <c r="W87" s="486"/>
      <c r="X87" s="486"/>
      <c r="Y87" s="487"/>
      <c r="Z87" s="487"/>
      <c r="AA87" s="487"/>
      <c r="AB87" s="487"/>
      <c r="AC87" s="487"/>
      <c r="AD87" s="488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ABFA-6033-45AB-8EF0-67001E1879AE}">
  <dimension ref="A1:AF89"/>
  <sheetViews>
    <sheetView view="pageBreakPreview" zoomScale="70" zoomScaleNormal="72" zoomScaleSheetLayoutView="70" workbookViewId="0">
      <selection activeCell="L23" sqref="L2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70" t="s">
        <v>537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5"/>
      <c r="T4" s="405"/>
      <c r="U4" s="405"/>
      <c r="V4" s="405"/>
      <c r="W4" s="406" t="s">
        <v>11</v>
      </c>
      <c r="X4" s="405"/>
      <c r="Y4" s="405"/>
      <c r="Z4" s="405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343" t="s">
        <v>17</v>
      </c>
      <c r="L5" s="343" t="s">
        <v>18</v>
      </c>
      <c r="M5" s="343" t="s">
        <v>19</v>
      </c>
      <c r="N5" s="34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125</v>
      </c>
      <c r="E6" s="53" t="s">
        <v>456</v>
      </c>
      <c r="F6" s="30" t="s">
        <v>206</v>
      </c>
      <c r="G6" s="12">
        <v>1</v>
      </c>
      <c r="H6" s="13">
        <v>24</v>
      </c>
      <c r="I6" s="7">
        <v>1600</v>
      </c>
      <c r="J6" s="14">
        <v>1902</v>
      </c>
      <c r="K6" s="15">
        <f>L6+2743+1902</f>
        <v>4645</v>
      </c>
      <c r="L6" s="15"/>
      <c r="M6" s="15">
        <f t="shared" ref="M6:M23" si="0">L6-N6</f>
        <v>0</v>
      </c>
      <c r="N6" s="15">
        <v>0</v>
      </c>
      <c r="O6" s="58" t="str">
        <f t="shared" ref="O6:O24" si="1">IF(L6=0,"0",N6/L6)</f>
        <v>0</v>
      </c>
      <c r="P6" s="39" t="str">
        <f t="shared" ref="P6:P23" si="2">IF(L6=0,"0",(24-Q6))</f>
        <v>0</v>
      </c>
      <c r="Q6" s="40">
        <f t="shared" ref="Q6:Q23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23" si="4">IF(J6=0,"0",(L6/J6))</f>
        <v>0</v>
      </c>
      <c r="AC6" s="9">
        <f t="shared" ref="AC6:AC23" si="5">IF(P6=0,"0",(P6/24))</f>
        <v>0</v>
      </c>
      <c r="AD6" s="10">
        <f t="shared" ref="AD6:AD23" si="6">AC6*AB6*(1-O6)</f>
        <v>0</v>
      </c>
      <c r="AE6" s="36">
        <f t="shared" ref="AE6:AE23" si="7">$AD$24</f>
        <v>0.29166666666666663</v>
      </c>
      <c r="AF6" s="84">
        <f t="shared" ref="AF6:AF23" si="8">A6</f>
        <v>1</v>
      </c>
    </row>
    <row r="7" spans="1:32" ht="27" customHeight="1">
      <c r="A7" s="112">
        <v>2</v>
      </c>
      <c r="B7" s="11" t="s">
        <v>57</v>
      </c>
      <c r="C7" s="34" t="s">
        <v>121</v>
      </c>
      <c r="D7" s="52" t="s">
        <v>125</v>
      </c>
      <c r="E7" s="53" t="s">
        <v>471</v>
      </c>
      <c r="F7" s="12" t="s">
        <v>138</v>
      </c>
      <c r="G7" s="12">
        <v>2</v>
      </c>
      <c r="H7" s="13">
        <v>24</v>
      </c>
      <c r="I7" s="31">
        <v>18000</v>
      </c>
      <c r="J7" s="14">
        <v>5180</v>
      </c>
      <c r="K7" s="15">
        <f>L7+7736+12588+5180</f>
        <v>25504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0.29166666666666663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/>
      <c r="E8" s="53" t="s">
        <v>321</v>
      </c>
      <c r="F8" s="30" t="s">
        <v>340</v>
      </c>
      <c r="G8" s="33">
        <v>1</v>
      </c>
      <c r="H8" s="35">
        <v>24</v>
      </c>
      <c r="I8" s="7">
        <v>50500</v>
      </c>
      <c r="J8" s="5">
        <v>2802</v>
      </c>
      <c r="K8" s="15">
        <f>L8+4349+2445+5035+5245+5660+1855+3016+5569+5311+5560+5494</f>
        <v>52341</v>
      </c>
      <c r="L8" s="15">
        <f>2362+440</f>
        <v>2802</v>
      </c>
      <c r="M8" s="15">
        <f t="shared" si="0"/>
        <v>2802</v>
      </c>
      <c r="N8" s="15">
        <v>0</v>
      </c>
      <c r="O8" s="58">
        <f t="shared" si="1"/>
        <v>0</v>
      </c>
      <c r="P8" s="39">
        <f t="shared" si="2"/>
        <v>14</v>
      </c>
      <c r="Q8" s="40">
        <f t="shared" si="3"/>
        <v>10</v>
      </c>
      <c r="R8" s="7"/>
      <c r="S8" s="6">
        <v>10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0.58333333333333337</v>
      </c>
      <c r="AD8" s="10">
        <f t="shared" si="6"/>
        <v>0.58333333333333337</v>
      </c>
      <c r="AE8" s="36">
        <f t="shared" si="7"/>
        <v>0.29166666666666663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147</v>
      </c>
      <c r="E9" s="53" t="s">
        <v>459</v>
      </c>
      <c r="F9" s="30" t="s">
        <v>460</v>
      </c>
      <c r="G9" s="12">
        <v>4</v>
      </c>
      <c r="H9" s="13">
        <v>24</v>
      </c>
      <c r="I9" s="7">
        <v>8000</v>
      </c>
      <c r="J9" s="14">
        <v>8476</v>
      </c>
      <c r="K9" s="15">
        <f>L9+8476</f>
        <v>8476</v>
      </c>
      <c r="L9" s="15"/>
      <c r="M9" s="15">
        <f t="shared" si="0"/>
        <v>0</v>
      </c>
      <c r="N9" s="15">
        <v>0</v>
      </c>
      <c r="O9" s="58" t="str">
        <f t="shared" si="1"/>
        <v>0</v>
      </c>
      <c r="P9" s="39" t="str">
        <f t="shared" si="2"/>
        <v>0</v>
      </c>
      <c r="Q9" s="40">
        <f t="shared" si="3"/>
        <v>24</v>
      </c>
      <c r="R9" s="7"/>
      <c r="S9" s="6"/>
      <c r="T9" s="16"/>
      <c r="U9" s="16"/>
      <c r="V9" s="17"/>
      <c r="W9" s="5"/>
      <c r="X9" s="16"/>
      <c r="Y9" s="16"/>
      <c r="Z9" s="16"/>
      <c r="AA9" s="18">
        <v>24</v>
      </c>
      <c r="AB9" s="8">
        <f t="shared" si="4"/>
        <v>0</v>
      </c>
      <c r="AC9" s="9">
        <f t="shared" si="5"/>
        <v>0</v>
      </c>
      <c r="AD9" s="10">
        <f t="shared" si="6"/>
        <v>0</v>
      </c>
      <c r="AE9" s="36">
        <f t="shared" si="7"/>
        <v>0.29166666666666663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147</v>
      </c>
      <c r="E10" s="53" t="s">
        <v>388</v>
      </c>
      <c r="F10" s="30" t="s">
        <v>127</v>
      </c>
      <c r="G10" s="33">
        <v>1</v>
      </c>
      <c r="H10" s="35">
        <v>24</v>
      </c>
      <c r="I10" s="7">
        <v>36000</v>
      </c>
      <c r="J10" s="14">
        <v>4876</v>
      </c>
      <c r="K10" s="15">
        <f>L10+3274+4039+5240+6353+6363+6007+6248+4876</f>
        <v>42400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0.29166666666666663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263</v>
      </c>
      <c r="E11" s="53" t="s">
        <v>264</v>
      </c>
      <c r="F11" s="30" t="s">
        <v>206</v>
      </c>
      <c r="G11" s="33">
        <v>16</v>
      </c>
      <c r="H11" s="35">
        <v>24</v>
      </c>
      <c r="I11" s="7">
        <v>100000</v>
      </c>
      <c r="J11" s="14">
        <v>67990</v>
      </c>
      <c r="K11" s="15">
        <f>L11+49500+67990</f>
        <v>117490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0.29166666666666663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121</v>
      </c>
      <c r="D12" s="52" t="s">
        <v>115</v>
      </c>
      <c r="E12" s="53" t="s">
        <v>472</v>
      </c>
      <c r="F12" s="30" t="s">
        <v>504</v>
      </c>
      <c r="G12" s="12">
        <v>2</v>
      </c>
      <c r="H12" s="13">
        <v>22</v>
      </c>
      <c r="I12" s="31">
        <v>18000</v>
      </c>
      <c r="J12" s="5">
        <v>2500</v>
      </c>
      <c r="K12" s="15">
        <f>L12+4460+8083+6528</f>
        <v>21571</v>
      </c>
      <c r="L12" s="15">
        <f>1250*2</f>
        <v>2500</v>
      </c>
      <c r="M12" s="15">
        <f t="shared" si="0"/>
        <v>2500</v>
      </c>
      <c r="N12" s="15">
        <v>0</v>
      </c>
      <c r="O12" s="58">
        <f t="shared" si="1"/>
        <v>0</v>
      </c>
      <c r="P12" s="39">
        <f t="shared" si="2"/>
        <v>6</v>
      </c>
      <c r="Q12" s="40">
        <f t="shared" si="3"/>
        <v>18</v>
      </c>
      <c r="R12" s="7"/>
      <c r="S12" s="6"/>
      <c r="T12" s="16"/>
      <c r="U12" s="16"/>
      <c r="V12" s="17"/>
      <c r="W12" s="5">
        <v>18</v>
      </c>
      <c r="X12" s="16"/>
      <c r="Y12" s="16"/>
      <c r="Z12" s="16"/>
      <c r="AA12" s="18"/>
      <c r="AB12" s="8">
        <f t="shared" si="4"/>
        <v>1</v>
      </c>
      <c r="AC12" s="9">
        <f t="shared" si="5"/>
        <v>0.25</v>
      </c>
      <c r="AD12" s="10">
        <f t="shared" si="6"/>
        <v>0.25</v>
      </c>
      <c r="AE12" s="36">
        <f t="shared" si="7"/>
        <v>0.29166666666666663</v>
      </c>
      <c r="AF12" s="84">
        <f t="shared" si="8"/>
        <v>7</v>
      </c>
    </row>
    <row r="13" spans="1:32" ht="27" customHeight="1">
      <c r="A13" s="96">
        <v>7</v>
      </c>
      <c r="B13" s="11" t="s">
        <v>57</v>
      </c>
      <c r="C13" s="34" t="s">
        <v>118</v>
      </c>
      <c r="D13" s="52" t="s">
        <v>115</v>
      </c>
      <c r="E13" s="53" t="s">
        <v>220</v>
      </c>
      <c r="F13" s="30" t="s">
        <v>142</v>
      </c>
      <c r="G13" s="12">
        <v>1</v>
      </c>
      <c r="H13" s="13">
        <v>22</v>
      </c>
      <c r="I13" s="31">
        <v>23000</v>
      </c>
      <c r="J13" s="5">
        <v>3727</v>
      </c>
      <c r="K13" s="15">
        <f>L13</f>
        <v>3727</v>
      </c>
      <c r="L13" s="15">
        <f>996+2731</f>
        <v>3727</v>
      </c>
      <c r="M13" s="15">
        <f t="shared" ref="M13" si="9">L13-N13</f>
        <v>3727</v>
      </c>
      <c r="N13" s="15">
        <v>0</v>
      </c>
      <c r="O13" s="58">
        <f t="shared" ref="O13" si="10">IF(L13=0,"0",N13/L13)</f>
        <v>0</v>
      </c>
      <c r="P13" s="39">
        <f t="shared" ref="P13" si="11">IF(L13=0,"0",(24-Q13))</f>
        <v>17</v>
      </c>
      <c r="Q13" s="40">
        <f t="shared" ref="Q13" si="12">SUM(R13:AA13)</f>
        <v>7</v>
      </c>
      <c r="R13" s="7"/>
      <c r="S13" s="6"/>
      <c r="T13" s="16">
        <v>7</v>
      </c>
      <c r="U13" s="16"/>
      <c r="V13" s="17"/>
      <c r="W13" s="5"/>
      <c r="X13" s="16"/>
      <c r="Y13" s="16"/>
      <c r="Z13" s="16"/>
      <c r="AA13" s="18"/>
      <c r="AB13" s="8">
        <f t="shared" ref="AB13" si="13">IF(J13=0,"0",(L13/J13))</f>
        <v>1</v>
      </c>
      <c r="AC13" s="9">
        <f t="shared" ref="AC13" si="14">IF(P13=0,"0",(P13/24))</f>
        <v>0.70833333333333337</v>
      </c>
      <c r="AD13" s="10">
        <f t="shared" ref="AD13" si="15">AC13*AB13*(1-O13)</f>
        <v>0.70833333333333337</v>
      </c>
      <c r="AE13" s="36">
        <f t="shared" si="7"/>
        <v>0.29166666666666663</v>
      </c>
      <c r="AF13" s="84">
        <f t="shared" ref="AF13" si="16">A13</f>
        <v>7</v>
      </c>
    </row>
    <row r="14" spans="1:32" ht="27" customHeight="1">
      <c r="A14" s="96">
        <v>8</v>
      </c>
      <c r="B14" s="11" t="s">
        <v>57</v>
      </c>
      <c r="C14" s="11" t="s">
        <v>121</v>
      </c>
      <c r="D14" s="52" t="s">
        <v>224</v>
      </c>
      <c r="E14" s="53" t="s">
        <v>503</v>
      </c>
      <c r="F14" s="30" t="s">
        <v>236</v>
      </c>
      <c r="G14" s="33">
        <v>1</v>
      </c>
      <c r="H14" s="35">
        <v>24</v>
      </c>
      <c r="I14" s="7">
        <v>18000</v>
      </c>
      <c r="J14" s="14">
        <v>3101</v>
      </c>
      <c r="K14" s="15">
        <f>L14+3678+1851</f>
        <v>8630</v>
      </c>
      <c r="L14" s="15">
        <f>1104+1997</f>
        <v>3101</v>
      </c>
      <c r="M14" s="15">
        <f t="shared" si="0"/>
        <v>3101</v>
      </c>
      <c r="N14" s="15">
        <v>0</v>
      </c>
      <c r="O14" s="58">
        <f t="shared" si="1"/>
        <v>0</v>
      </c>
      <c r="P14" s="39">
        <f t="shared" si="2"/>
        <v>16</v>
      </c>
      <c r="Q14" s="40">
        <f t="shared" si="3"/>
        <v>8</v>
      </c>
      <c r="R14" s="7"/>
      <c r="S14" s="6">
        <v>8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0.66666666666666663</v>
      </c>
      <c r="AD14" s="10">
        <f t="shared" si="6"/>
        <v>0.66666666666666663</v>
      </c>
      <c r="AE14" s="36">
        <f t="shared" si="7"/>
        <v>0.29166666666666663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153</v>
      </c>
      <c r="F15" s="30" t="s">
        <v>144</v>
      </c>
      <c r="G15" s="33">
        <v>1</v>
      </c>
      <c r="H15" s="35">
        <v>50</v>
      </c>
      <c r="I15" s="7">
        <v>200</v>
      </c>
      <c r="J15" s="5">
        <v>392</v>
      </c>
      <c r="K15" s="15">
        <f>L15+392</f>
        <v>392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0.29166666666666663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118</v>
      </c>
      <c r="D16" s="52" t="s">
        <v>131</v>
      </c>
      <c r="E16" s="53" t="s">
        <v>406</v>
      </c>
      <c r="F16" s="12" t="s">
        <v>403</v>
      </c>
      <c r="G16" s="12">
        <v>4</v>
      </c>
      <c r="H16" s="13">
        <v>24</v>
      </c>
      <c r="I16" s="31">
        <v>8000</v>
      </c>
      <c r="J16" s="14">
        <v>11936</v>
      </c>
      <c r="K16" s="15">
        <f>L16+11936</f>
        <v>11936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0.29166666666666663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409</v>
      </c>
      <c r="D17" s="52"/>
      <c r="E17" s="53" t="s">
        <v>492</v>
      </c>
      <c r="F17" s="30" t="s">
        <v>538</v>
      </c>
      <c r="G17" s="12">
        <v>32</v>
      </c>
      <c r="H17" s="13">
        <v>24</v>
      </c>
      <c r="I17" s="7">
        <v>50000</v>
      </c>
      <c r="J17" s="14">
        <v>68160</v>
      </c>
      <c r="K17" s="15">
        <f>L17</f>
        <v>68160</v>
      </c>
      <c r="L17" s="15">
        <f>2130*32</f>
        <v>68160</v>
      </c>
      <c r="M17" s="15">
        <f t="shared" si="0"/>
        <v>68160</v>
      </c>
      <c r="N17" s="15">
        <v>0</v>
      </c>
      <c r="O17" s="58">
        <f t="shared" si="1"/>
        <v>0</v>
      </c>
      <c r="P17" s="39">
        <f t="shared" si="2"/>
        <v>10</v>
      </c>
      <c r="Q17" s="40">
        <f t="shared" si="3"/>
        <v>14</v>
      </c>
      <c r="R17" s="7"/>
      <c r="S17" s="6"/>
      <c r="T17" s="16"/>
      <c r="U17" s="16"/>
      <c r="V17" s="17"/>
      <c r="W17" s="5">
        <v>14</v>
      </c>
      <c r="X17" s="16"/>
      <c r="Y17" s="16"/>
      <c r="Z17" s="16"/>
      <c r="AA17" s="18"/>
      <c r="AB17" s="8">
        <f t="shared" si="4"/>
        <v>1</v>
      </c>
      <c r="AC17" s="9">
        <f t="shared" si="5"/>
        <v>0.41666666666666669</v>
      </c>
      <c r="AD17" s="10">
        <f t="shared" si="6"/>
        <v>0.41666666666666669</v>
      </c>
      <c r="AE17" s="36">
        <f t="shared" si="7"/>
        <v>0.29166666666666663</v>
      </c>
      <c r="AF17" s="84">
        <f t="shared" si="8"/>
        <v>11</v>
      </c>
    </row>
    <row r="18" spans="1:32" ht="30" customHeight="1">
      <c r="A18" s="95">
        <v>12</v>
      </c>
      <c r="B18" s="11" t="s">
        <v>502</v>
      </c>
      <c r="C18" s="34" t="s">
        <v>121</v>
      </c>
      <c r="D18" s="52" t="s">
        <v>125</v>
      </c>
      <c r="E18" s="53" t="s">
        <v>355</v>
      </c>
      <c r="F18" s="30" t="s">
        <v>138</v>
      </c>
      <c r="G18" s="12">
        <v>1</v>
      </c>
      <c r="H18" s="13">
        <v>24</v>
      </c>
      <c r="I18" s="7">
        <v>500</v>
      </c>
      <c r="J18" s="14">
        <v>600</v>
      </c>
      <c r="K18" s="15">
        <f>L18+600</f>
        <v>600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0.29166666666666663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118</v>
      </c>
      <c r="D19" s="52" t="s">
        <v>115</v>
      </c>
      <c r="E19" s="53" t="s">
        <v>201</v>
      </c>
      <c r="F19" s="30" t="s">
        <v>142</v>
      </c>
      <c r="G19" s="33">
        <v>4</v>
      </c>
      <c r="H19" s="35">
        <v>24</v>
      </c>
      <c r="I19" s="7">
        <v>8000</v>
      </c>
      <c r="J19" s="14">
        <v>5168</v>
      </c>
      <c r="K19" s="15">
        <f>L19+6004+5168</f>
        <v>11172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0.29166666666666663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115</v>
      </c>
      <c r="E20" s="53" t="s">
        <v>510</v>
      </c>
      <c r="F20" s="30" t="s">
        <v>171</v>
      </c>
      <c r="G20" s="33">
        <v>1</v>
      </c>
      <c r="H20" s="35">
        <v>24</v>
      </c>
      <c r="I20" s="7">
        <v>300</v>
      </c>
      <c r="J20" s="14">
        <v>399</v>
      </c>
      <c r="K20" s="15">
        <f>L20</f>
        <v>399</v>
      </c>
      <c r="L20" s="15">
        <v>399</v>
      </c>
      <c r="M20" s="15">
        <f t="shared" ref="M20" si="17">L20-N20</f>
        <v>399</v>
      </c>
      <c r="N20" s="15">
        <v>0</v>
      </c>
      <c r="O20" s="58">
        <f t="shared" ref="O20" si="18">IF(L20=0,"0",N20/L20)</f>
        <v>0</v>
      </c>
      <c r="P20" s="39">
        <f t="shared" ref="P20" si="19">IF(L20=0,"0",(24-Q20))</f>
        <v>6</v>
      </c>
      <c r="Q20" s="40">
        <f t="shared" ref="Q20" si="20">SUM(R20:AA20)</f>
        <v>18</v>
      </c>
      <c r="R20" s="7"/>
      <c r="S20" s="6"/>
      <c r="T20" s="16"/>
      <c r="U20" s="16"/>
      <c r="V20" s="17"/>
      <c r="W20" s="5">
        <v>18</v>
      </c>
      <c r="X20" s="16"/>
      <c r="Y20" s="16"/>
      <c r="Z20" s="16"/>
      <c r="AA20" s="18"/>
      <c r="AB20" s="8">
        <f t="shared" ref="AB20" si="21">IF(J20=0,"0",(L20/J20))</f>
        <v>1</v>
      </c>
      <c r="AC20" s="9">
        <f t="shared" ref="AC20" si="22">IF(P20=0,"0",(P20/24))</f>
        <v>0.25</v>
      </c>
      <c r="AD20" s="10">
        <f t="shared" ref="AD20" si="23">AC20*AB20*(1-O20)</f>
        <v>0.25</v>
      </c>
      <c r="AE20" s="36">
        <f t="shared" si="7"/>
        <v>0.29166666666666663</v>
      </c>
      <c r="AF20" s="84">
        <f t="shared" ref="AF20" si="24">A20</f>
        <v>14</v>
      </c>
    </row>
    <row r="21" spans="1:32" ht="27" customHeight="1">
      <c r="A21" s="96">
        <v>14</v>
      </c>
      <c r="B21" s="11" t="s">
        <v>57</v>
      </c>
      <c r="C21" s="11" t="s">
        <v>112</v>
      </c>
      <c r="D21" s="52" t="s">
        <v>224</v>
      </c>
      <c r="E21" s="53" t="s">
        <v>539</v>
      </c>
      <c r="F21" s="30" t="s">
        <v>127</v>
      </c>
      <c r="G21" s="33">
        <v>1</v>
      </c>
      <c r="H21" s="35">
        <v>24</v>
      </c>
      <c r="I21" s="7">
        <v>3500</v>
      </c>
      <c r="J21" s="14">
        <v>2303</v>
      </c>
      <c r="K21" s="15">
        <f>L21</f>
        <v>2303</v>
      </c>
      <c r="L21" s="15">
        <f>509+1794</f>
        <v>2303</v>
      </c>
      <c r="M21" s="15">
        <f t="shared" si="0"/>
        <v>2303</v>
      </c>
      <c r="N21" s="15">
        <v>0</v>
      </c>
      <c r="O21" s="58">
        <f t="shared" si="1"/>
        <v>0</v>
      </c>
      <c r="P21" s="39">
        <f t="shared" si="2"/>
        <v>13</v>
      </c>
      <c r="Q21" s="40">
        <f t="shared" si="3"/>
        <v>11</v>
      </c>
      <c r="R21" s="7"/>
      <c r="S21" s="6">
        <v>4</v>
      </c>
      <c r="T21" s="16">
        <v>7</v>
      </c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0.54166666666666663</v>
      </c>
      <c r="AD21" s="10">
        <f t="shared" si="6"/>
        <v>0.54166666666666663</v>
      </c>
      <c r="AE21" s="36">
        <f t="shared" si="7"/>
        <v>0.29166666666666663</v>
      </c>
      <c r="AF21" s="84">
        <f t="shared" si="8"/>
        <v>14</v>
      </c>
    </row>
    <row r="22" spans="1:32" ht="30" customHeight="1">
      <c r="A22" s="112">
        <v>15</v>
      </c>
      <c r="B22" s="11" t="s">
        <v>57</v>
      </c>
      <c r="C22" s="34" t="s">
        <v>112</v>
      </c>
      <c r="D22" s="52" t="s">
        <v>115</v>
      </c>
      <c r="E22" s="53" t="s">
        <v>151</v>
      </c>
      <c r="F22" s="30" t="s">
        <v>142</v>
      </c>
      <c r="G22" s="12">
        <v>1</v>
      </c>
      <c r="H22" s="13">
        <v>24</v>
      </c>
      <c r="I22" s="7">
        <v>20000</v>
      </c>
      <c r="J22" s="14">
        <v>5298</v>
      </c>
      <c r="K22" s="15">
        <f>L22+5452+5525+5570+3196+5515+5572</f>
        <v>36128</v>
      </c>
      <c r="L22" s="15">
        <f>2710+2588</f>
        <v>5298</v>
      </c>
      <c r="M22" s="15">
        <f t="shared" si="0"/>
        <v>5298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0.29166666666666663</v>
      </c>
      <c r="AF22" s="84">
        <f t="shared" si="8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540</v>
      </c>
      <c r="F23" s="12" t="s">
        <v>114</v>
      </c>
      <c r="G23" s="12">
        <v>3</v>
      </c>
      <c r="H23" s="35">
        <v>20</v>
      </c>
      <c r="I23" s="7">
        <v>100000</v>
      </c>
      <c r="J23" s="14">
        <v>30675</v>
      </c>
      <c r="K23" s="15">
        <f>L23</f>
        <v>30675</v>
      </c>
      <c r="L23" s="15">
        <f>7630*3+2595*3</f>
        <v>30675</v>
      </c>
      <c r="M23" s="15">
        <f t="shared" si="0"/>
        <v>30675</v>
      </c>
      <c r="N23" s="15">
        <v>0</v>
      </c>
      <c r="O23" s="58">
        <f t="shared" si="1"/>
        <v>0</v>
      </c>
      <c r="P23" s="39">
        <f t="shared" si="2"/>
        <v>20</v>
      </c>
      <c r="Q23" s="40">
        <f t="shared" si="3"/>
        <v>4</v>
      </c>
      <c r="R23" s="7"/>
      <c r="S23" s="6">
        <v>4</v>
      </c>
      <c r="T23" s="16"/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0.83333333333333337</v>
      </c>
      <c r="AD23" s="10">
        <f t="shared" si="6"/>
        <v>0.83333333333333337</v>
      </c>
      <c r="AE23" s="36">
        <f t="shared" si="7"/>
        <v>0.29166666666666663</v>
      </c>
      <c r="AF23" s="84">
        <f t="shared" si="8"/>
        <v>16</v>
      </c>
    </row>
    <row r="24" spans="1:32" ht="31.5" customHeight="1" thickBot="1">
      <c r="A24" s="384" t="s">
        <v>34</v>
      </c>
      <c r="B24" s="385"/>
      <c r="C24" s="385"/>
      <c r="D24" s="385"/>
      <c r="E24" s="385"/>
      <c r="F24" s="385"/>
      <c r="G24" s="385"/>
      <c r="H24" s="386"/>
      <c r="I24" s="22">
        <f t="shared" ref="I24:N24" si="25">SUM(I6:I23)</f>
        <v>463600</v>
      </c>
      <c r="J24" s="19">
        <f t="shared" si="25"/>
        <v>225485</v>
      </c>
      <c r="K24" s="20">
        <f t="shared" si="25"/>
        <v>446549</v>
      </c>
      <c r="L24" s="21">
        <f t="shared" si="25"/>
        <v>118965</v>
      </c>
      <c r="M24" s="20">
        <f t="shared" si="25"/>
        <v>118965</v>
      </c>
      <c r="N24" s="21">
        <f t="shared" si="25"/>
        <v>0</v>
      </c>
      <c r="O24" s="41">
        <f t="shared" si="1"/>
        <v>0</v>
      </c>
      <c r="P24" s="42">
        <f t="shared" ref="P24:AA24" si="26">SUM(P6:P23)</f>
        <v>126</v>
      </c>
      <c r="Q24" s="43">
        <f t="shared" si="26"/>
        <v>306</v>
      </c>
      <c r="R24" s="23">
        <f t="shared" si="26"/>
        <v>24</v>
      </c>
      <c r="S24" s="24">
        <f t="shared" si="26"/>
        <v>26</v>
      </c>
      <c r="T24" s="24">
        <f t="shared" si="26"/>
        <v>14</v>
      </c>
      <c r="U24" s="24">
        <f t="shared" si="26"/>
        <v>0</v>
      </c>
      <c r="V24" s="25">
        <f t="shared" si="26"/>
        <v>0</v>
      </c>
      <c r="W24" s="26">
        <f t="shared" si="26"/>
        <v>122</v>
      </c>
      <c r="X24" s="27">
        <f t="shared" si="26"/>
        <v>0</v>
      </c>
      <c r="Y24" s="27">
        <f t="shared" si="26"/>
        <v>0</v>
      </c>
      <c r="Z24" s="27">
        <f t="shared" si="26"/>
        <v>0</v>
      </c>
      <c r="AA24" s="27">
        <f t="shared" si="26"/>
        <v>120</v>
      </c>
      <c r="AB24" s="28">
        <f>AVERAGE(AB6:AB23)</f>
        <v>0.5</v>
      </c>
      <c r="AC24" s="4">
        <f>AVERAGE(AC6:AC23)</f>
        <v>0.29166666666666663</v>
      </c>
      <c r="AD24" s="4">
        <f>AVERAGE(AD6:AD23)</f>
        <v>0.29166666666666663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387" t="s">
        <v>45</v>
      </c>
      <c r="B51" s="387"/>
      <c r="C51" s="387"/>
      <c r="D51" s="387"/>
      <c r="E51" s="387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388" t="s">
        <v>541</v>
      </c>
      <c r="B52" s="389"/>
      <c r="C52" s="389"/>
      <c r="D52" s="389"/>
      <c r="E52" s="389"/>
      <c r="F52" s="389"/>
      <c r="G52" s="389"/>
      <c r="H52" s="389"/>
      <c r="I52" s="389"/>
      <c r="J52" s="389"/>
      <c r="K52" s="389"/>
      <c r="L52" s="389"/>
      <c r="M52" s="390"/>
      <c r="N52" s="391" t="s">
        <v>543</v>
      </c>
      <c r="O52" s="392"/>
      <c r="P52" s="392"/>
      <c r="Q52" s="392"/>
      <c r="R52" s="392"/>
      <c r="S52" s="392"/>
      <c r="T52" s="392"/>
      <c r="U52" s="392"/>
      <c r="V52" s="392"/>
      <c r="W52" s="392"/>
      <c r="X52" s="392"/>
      <c r="Y52" s="392"/>
      <c r="Z52" s="392"/>
      <c r="AA52" s="392"/>
      <c r="AB52" s="392"/>
      <c r="AC52" s="392"/>
      <c r="AD52" s="393"/>
    </row>
    <row r="53" spans="1:32" ht="27" customHeight="1">
      <c r="A53" s="394" t="s">
        <v>2</v>
      </c>
      <c r="B53" s="395"/>
      <c r="C53" s="342" t="s">
        <v>46</v>
      </c>
      <c r="D53" s="342" t="s">
        <v>47</v>
      </c>
      <c r="E53" s="342" t="s">
        <v>107</v>
      </c>
      <c r="F53" s="396" t="s">
        <v>106</v>
      </c>
      <c r="G53" s="397"/>
      <c r="H53" s="397"/>
      <c r="I53" s="397"/>
      <c r="J53" s="397"/>
      <c r="K53" s="397"/>
      <c r="L53" s="397"/>
      <c r="M53" s="398"/>
      <c r="N53" s="67" t="s">
        <v>110</v>
      </c>
      <c r="O53" s="342" t="s">
        <v>46</v>
      </c>
      <c r="P53" s="396" t="s">
        <v>47</v>
      </c>
      <c r="Q53" s="399"/>
      <c r="R53" s="396" t="s">
        <v>38</v>
      </c>
      <c r="S53" s="397"/>
      <c r="T53" s="397"/>
      <c r="U53" s="399"/>
      <c r="V53" s="396" t="s">
        <v>48</v>
      </c>
      <c r="W53" s="397"/>
      <c r="X53" s="397"/>
      <c r="Y53" s="397"/>
      <c r="Z53" s="397"/>
      <c r="AA53" s="397"/>
      <c r="AB53" s="397"/>
      <c r="AC53" s="397"/>
      <c r="AD53" s="398"/>
    </row>
    <row r="54" spans="1:32" ht="27" customHeight="1">
      <c r="A54" s="420" t="s">
        <v>118</v>
      </c>
      <c r="B54" s="421"/>
      <c r="C54" s="338" t="s">
        <v>219</v>
      </c>
      <c r="D54" s="338" t="s">
        <v>115</v>
      </c>
      <c r="E54" s="338" t="s">
        <v>220</v>
      </c>
      <c r="F54" s="412" t="s">
        <v>130</v>
      </c>
      <c r="G54" s="413"/>
      <c r="H54" s="413"/>
      <c r="I54" s="413"/>
      <c r="J54" s="413"/>
      <c r="K54" s="413"/>
      <c r="L54" s="413"/>
      <c r="M54" s="414"/>
      <c r="N54" s="337" t="s">
        <v>121</v>
      </c>
      <c r="O54" s="335" t="s">
        <v>136</v>
      </c>
      <c r="P54" s="415"/>
      <c r="Q54" s="416"/>
      <c r="R54" s="415" t="s">
        <v>503</v>
      </c>
      <c r="S54" s="417"/>
      <c r="T54" s="417"/>
      <c r="U54" s="416"/>
      <c r="V54" s="418" t="s">
        <v>126</v>
      </c>
      <c r="W54" s="418"/>
      <c r="X54" s="418"/>
      <c r="Y54" s="418"/>
      <c r="Z54" s="418"/>
      <c r="AA54" s="418"/>
      <c r="AB54" s="418"/>
      <c r="AC54" s="418"/>
      <c r="AD54" s="419"/>
    </row>
    <row r="55" spans="1:32" ht="27" customHeight="1">
      <c r="A55" s="410" t="s">
        <v>121</v>
      </c>
      <c r="B55" s="411"/>
      <c r="C55" s="341" t="s">
        <v>136</v>
      </c>
      <c r="D55" s="341"/>
      <c r="E55" s="338" t="s">
        <v>503</v>
      </c>
      <c r="F55" s="412" t="s">
        <v>378</v>
      </c>
      <c r="G55" s="413"/>
      <c r="H55" s="413"/>
      <c r="I55" s="413"/>
      <c r="J55" s="413"/>
      <c r="K55" s="413"/>
      <c r="L55" s="413"/>
      <c r="M55" s="414"/>
      <c r="N55" s="337" t="s">
        <v>112</v>
      </c>
      <c r="O55" s="335" t="s">
        <v>135</v>
      </c>
      <c r="P55" s="415" t="s">
        <v>224</v>
      </c>
      <c r="Q55" s="416"/>
      <c r="R55" s="415" t="s">
        <v>539</v>
      </c>
      <c r="S55" s="417"/>
      <c r="T55" s="417"/>
      <c r="U55" s="416"/>
      <c r="V55" s="418" t="s">
        <v>126</v>
      </c>
      <c r="W55" s="418"/>
      <c r="X55" s="418"/>
      <c r="Y55" s="418"/>
      <c r="Z55" s="418"/>
      <c r="AA55" s="418"/>
      <c r="AB55" s="418"/>
      <c r="AC55" s="418"/>
      <c r="AD55" s="419"/>
    </row>
    <row r="56" spans="1:32" ht="27" customHeight="1">
      <c r="A56" s="420" t="s">
        <v>409</v>
      </c>
      <c r="B56" s="421"/>
      <c r="C56" s="338" t="s">
        <v>145</v>
      </c>
      <c r="D56" s="338"/>
      <c r="E56" s="338" t="s">
        <v>492</v>
      </c>
      <c r="F56" s="412" t="s">
        <v>130</v>
      </c>
      <c r="G56" s="413"/>
      <c r="H56" s="413"/>
      <c r="I56" s="413"/>
      <c r="J56" s="413"/>
      <c r="K56" s="413"/>
      <c r="L56" s="413"/>
      <c r="M56" s="414"/>
      <c r="N56" s="337" t="s">
        <v>112</v>
      </c>
      <c r="O56" s="335" t="s">
        <v>199</v>
      </c>
      <c r="P56" s="415" t="s">
        <v>115</v>
      </c>
      <c r="Q56" s="416"/>
      <c r="R56" s="415" t="s">
        <v>544</v>
      </c>
      <c r="S56" s="417"/>
      <c r="T56" s="417"/>
      <c r="U56" s="416"/>
      <c r="V56" s="418" t="s">
        <v>130</v>
      </c>
      <c r="W56" s="418"/>
      <c r="X56" s="418"/>
      <c r="Y56" s="418"/>
      <c r="Z56" s="418"/>
      <c r="AA56" s="418"/>
      <c r="AB56" s="418"/>
      <c r="AC56" s="418"/>
      <c r="AD56" s="419"/>
    </row>
    <row r="57" spans="1:32" ht="27" customHeight="1">
      <c r="A57" s="410" t="s">
        <v>112</v>
      </c>
      <c r="B57" s="411"/>
      <c r="C57" s="341" t="s">
        <v>135</v>
      </c>
      <c r="D57" s="341" t="s">
        <v>115</v>
      </c>
      <c r="E57" s="338" t="s">
        <v>510</v>
      </c>
      <c r="F57" s="412" t="s">
        <v>130</v>
      </c>
      <c r="G57" s="413"/>
      <c r="H57" s="413"/>
      <c r="I57" s="413"/>
      <c r="J57" s="413"/>
      <c r="K57" s="413"/>
      <c r="L57" s="413"/>
      <c r="M57" s="414"/>
      <c r="N57" s="337" t="s">
        <v>119</v>
      </c>
      <c r="O57" s="335" t="s">
        <v>335</v>
      </c>
      <c r="P57" s="415" t="s">
        <v>545</v>
      </c>
      <c r="Q57" s="416"/>
      <c r="R57" s="415" t="s">
        <v>546</v>
      </c>
      <c r="S57" s="417"/>
      <c r="T57" s="417"/>
      <c r="U57" s="416"/>
      <c r="V57" s="418" t="s">
        <v>130</v>
      </c>
      <c r="W57" s="418"/>
      <c r="X57" s="418"/>
      <c r="Y57" s="418"/>
      <c r="Z57" s="418"/>
      <c r="AA57" s="418"/>
      <c r="AB57" s="418"/>
      <c r="AC57" s="418"/>
      <c r="AD57" s="419"/>
    </row>
    <row r="58" spans="1:32" ht="27" customHeight="1">
      <c r="A58" s="410" t="s">
        <v>112</v>
      </c>
      <c r="B58" s="411"/>
      <c r="C58" s="341" t="s">
        <v>135</v>
      </c>
      <c r="D58" s="341" t="s">
        <v>224</v>
      </c>
      <c r="E58" s="338" t="s">
        <v>539</v>
      </c>
      <c r="F58" s="412" t="s">
        <v>542</v>
      </c>
      <c r="G58" s="413"/>
      <c r="H58" s="413"/>
      <c r="I58" s="413"/>
      <c r="J58" s="413"/>
      <c r="K58" s="413"/>
      <c r="L58" s="413"/>
      <c r="M58" s="414"/>
      <c r="N58" s="337" t="s">
        <v>118</v>
      </c>
      <c r="O58" s="335" t="s">
        <v>137</v>
      </c>
      <c r="P58" s="415" t="s">
        <v>195</v>
      </c>
      <c r="Q58" s="416"/>
      <c r="R58" s="415" t="s">
        <v>327</v>
      </c>
      <c r="S58" s="417"/>
      <c r="T58" s="417"/>
      <c r="U58" s="416"/>
      <c r="V58" s="418" t="s">
        <v>130</v>
      </c>
      <c r="W58" s="418"/>
      <c r="X58" s="418"/>
      <c r="Y58" s="418"/>
      <c r="Z58" s="418"/>
      <c r="AA58" s="418"/>
      <c r="AB58" s="418"/>
      <c r="AC58" s="418"/>
      <c r="AD58" s="419"/>
    </row>
    <row r="59" spans="1:32" ht="27" customHeight="1">
      <c r="A59" s="410" t="s">
        <v>113</v>
      </c>
      <c r="B59" s="411"/>
      <c r="C59" s="341" t="s">
        <v>531</v>
      </c>
      <c r="D59" s="341"/>
      <c r="E59" s="338" t="s">
        <v>540</v>
      </c>
      <c r="F59" s="412" t="s">
        <v>130</v>
      </c>
      <c r="G59" s="413"/>
      <c r="H59" s="413"/>
      <c r="I59" s="413"/>
      <c r="J59" s="413"/>
      <c r="K59" s="413"/>
      <c r="L59" s="413"/>
      <c r="M59" s="414"/>
      <c r="N59" s="337"/>
      <c r="O59" s="335"/>
      <c r="P59" s="415"/>
      <c r="Q59" s="416"/>
      <c r="R59" s="415"/>
      <c r="S59" s="417"/>
      <c r="T59" s="417"/>
      <c r="U59" s="416"/>
      <c r="V59" s="418"/>
      <c r="W59" s="418"/>
      <c r="X59" s="418"/>
      <c r="Y59" s="418"/>
      <c r="Z59" s="418"/>
      <c r="AA59" s="418"/>
      <c r="AB59" s="418"/>
      <c r="AC59" s="418"/>
      <c r="AD59" s="419"/>
    </row>
    <row r="60" spans="1:32" ht="27" customHeight="1">
      <c r="A60" s="410"/>
      <c r="B60" s="411"/>
      <c r="C60" s="341"/>
      <c r="D60" s="341"/>
      <c r="E60" s="338"/>
      <c r="F60" s="412"/>
      <c r="G60" s="413"/>
      <c r="H60" s="413"/>
      <c r="I60" s="413"/>
      <c r="J60" s="413"/>
      <c r="K60" s="413"/>
      <c r="L60" s="413"/>
      <c r="M60" s="414"/>
      <c r="N60" s="337"/>
      <c r="O60" s="335"/>
      <c r="P60" s="415"/>
      <c r="Q60" s="416"/>
      <c r="R60" s="415"/>
      <c r="S60" s="417"/>
      <c r="T60" s="417"/>
      <c r="U60" s="416"/>
      <c r="V60" s="418"/>
      <c r="W60" s="418"/>
      <c r="X60" s="418"/>
      <c r="Y60" s="418"/>
      <c r="Z60" s="418"/>
      <c r="AA60" s="418"/>
      <c r="AB60" s="418"/>
      <c r="AC60" s="418"/>
      <c r="AD60" s="419"/>
    </row>
    <row r="61" spans="1:32" ht="27" customHeight="1">
      <c r="A61" s="420"/>
      <c r="B61" s="421"/>
      <c r="C61" s="338"/>
      <c r="D61" s="338"/>
      <c r="E61" s="338"/>
      <c r="F61" s="412"/>
      <c r="G61" s="413"/>
      <c r="H61" s="413"/>
      <c r="I61" s="413"/>
      <c r="J61" s="413"/>
      <c r="K61" s="413"/>
      <c r="L61" s="413"/>
      <c r="M61" s="414"/>
      <c r="N61" s="337"/>
      <c r="O61" s="335"/>
      <c r="P61" s="415"/>
      <c r="Q61" s="416"/>
      <c r="R61" s="421"/>
      <c r="S61" s="421"/>
      <c r="T61" s="421"/>
      <c r="U61" s="421"/>
      <c r="V61" s="418"/>
      <c r="W61" s="418"/>
      <c r="X61" s="418"/>
      <c r="Y61" s="418"/>
      <c r="Z61" s="418"/>
      <c r="AA61" s="418"/>
      <c r="AB61" s="418"/>
      <c r="AC61" s="418"/>
      <c r="AD61" s="419"/>
    </row>
    <row r="62" spans="1:32" ht="27" customHeight="1">
      <c r="A62" s="410"/>
      <c r="B62" s="411"/>
      <c r="C62" s="341"/>
      <c r="D62" s="341"/>
      <c r="E62" s="338"/>
      <c r="F62" s="412"/>
      <c r="G62" s="413"/>
      <c r="H62" s="413"/>
      <c r="I62" s="413"/>
      <c r="J62" s="413"/>
      <c r="K62" s="413"/>
      <c r="L62" s="413"/>
      <c r="M62" s="414"/>
      <c r="N62" s="337"/>
      <c r="O62" s="335"/>
      <c r="P62" s="421"/>
      <c r="Q62" s="421"/>
      <c r="R62" s="421"/>
      <c r="S62" s="421"/>
      <c r="T62" s="421"/>
      <c r="U62" s="421"/>
      <c r="V62" s="418"/>
      <c r="W62" s="418"/>
      <c r="X62" s="418"/>
      <c r="Y62" s="418"/>
      <c r="Z62" s="418"/>
      <c r="AA62" s="418"/>
      <c r="AB62" s="418"/>
      <c r="AC62" s="418"/>
      <c r="AD62" s="419"/>
      <c r="AF62" s="84">
        <f>8*3000</f>
        <v>24000</v>
      </c>
    </row>
    <row r="63" spans="1:32" ht="27" customHeight="1" thickBot="1">
      <c r="A63" s="422"/>
      <c r="B63" s="423"/>
      <c r="C63" s="339"/>
      <c r="D63" s="340"/>
      <c r="E63" s="340"/>
      <c r="F63" s="424"/>
      <c r="G63" s="425"/>
      <c r="H63" s="425"/>
      <c r="I63" s="425"/>
      <c r="J63" s="425"/>
      <c r="K63" s="425"/>
      <c r="L63" s="425"/>
      <c r="M63" s="426"/>
      <c r="N63" s="111"/>
      <c r="O63" s="103"/>
      <c r="P63" s="427"/>
      <c r="Q63" s="427"/>
      <c r="R63" s="427"/>
      <c r="S63" s="427"/>
      <c r="T63" s="427"/>
      <c r="U63" s="427"/>
      <c r="V63" s="428"/>
      <c r="W63" s="428"/>
      <c r="X63" s="428"/>
      <c r="Y63" s="428"/>
      <c r="Z63" s="428"/>
      <c r="AA63" s="428"/>
      <c r="AB63" s="428"/>
      <c r="AC63" s="428"/>
      <c r="AD63" s="429"/>
      <c r="AF63" s="84">
        <f>16*3000</f>
        <v>48000</v>
      </c>
    </row>
    <row r="64" spans="1:32" ht="27.75" thickBot="1">
      <c r="A64" s="430" t="s">
        <v>547</v>
      </c>
      <c r="B64" s="430"/>
      <c r="C64" s="430"/>
      <c r="D64" s="430"/>
      <c r="E64" s="430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431" t="s">
        <v>111</v>
      </c>
      <c r="B65" s="432"/>
      <c r="C65" s="336" t="s">
        <v>2</v>
      </c>
      <c r="D65" s="336" t="s">
        <v>37</v>
      </c>
      <c r="E65" s="336" t="s">
        <v>3</v>
      </c>
      <c r="F65" s="432" t="s">
        <v>109</v>
      </c>
      <c r="G65" s="432"/>
      <c r="H65" s="432"/>
      <c r="I65" s="432"/>
      <c r="J65" s="432"/>
      <c r="K65" s="432" t="s">
        <v>39</v>
      </c>
      <c r="L65" s="432"/>
      <c r="M65" s="336" t="s">
        <v>40</v>
      </c>
      <c r="N65" s="432" t="s">
        <v>41</v>
      </c>
      <c r="O65" s="432"/>
      <c r="P65" s="433" t="s">
        <v>42</v>
      </c>
      <c r="Q65" s="434"/>
      <c r="R65" s="433" t="s">
        <v>43</v>
      </c>
      <c r="S65" s="435"/>
      <c r="T65" s="435"/>
      <c r="U65" s="435"/>
      <c r="V65" s="435"/>
      <c r="W65" s="435"/>
      <c r="X65" s="435"/>
      <c r="Y65" s="435"/>
      <c r="Z65" s="435"/>
      <c r="AA65" s="434"/>
      <c r="AB65" s="432" t="s">
        <v>44</v>
      </c>
      <c r="AC65" s="432"/>
      <c r="AD65" s="436"/>
      <c r="AF65" s="84">
        <f>SUM(AF62:AF64)</f>
        <v>96000</v>
      </c>
    </row>
    <row r="66" spans="1:32" ht="25.5" customHeight="1">
      <c r="A66" s="437">
        <v>1</v>
      </c>
      <c r="B66" s="438"/>
      <c r="C66" s="104" t="s">
        <v>118</v>
      </c>
      <c r="D66" s="331"/>
      <c r="E66" s="334" t="s">
        <v>131</v>
      </c>
      <c r="F66" s="439" t="s">
        <v>548</v>
      </c>
      <c r="G66" s="440"/>
      <c r="H66" s="440"/>
      <c r="I66" s="440"/>
      <c r="J66" s="441"/>
      <c r="K66" s="442" t="s">
        <v>403</v>
      </c>
      <c r="L66" s="442"/>
      <c r="M66" s="51" t="s">
        <v>358</v>
      </c>
      <c r="N66" s="443" t="s">
        <v>255</v>
      </c>
      <c r="O66" s="443"/>
      <c r="P66" s="444"/>
      <c r="Q66" s="444"/>
      <c r="R66" s="418" t="s">
        <v>549</v>
      </c>
      <c r="S66" s="418"/>
      <c r="T66" s="418"/>
      <c r="U66" s="418"/>
      <c r="V66" s="418"/>
      <c r="W66" s="418"/>
      <c r="X66" s="418"/>
      <c r="Y66" s="418"/>
      <c r="Z66" s="418"/>
      <c r="AA66" s="418"/>
      <c r="AB66" s="442"/>
      <c r="AC66" s="442"/>
      <c r="AD66" s="445"/>
      <c r="AF66" s="50"/>
    </row>
    <row r="67" spans="1:32" ht="25.5" customHeight="1">
      <c r="A67" s="437">
        <v>2</v>
      </c>
      <c r="B67" s="438"/>
      <c r="C67" s="104" t="s">
        <v>118</v>
      </c>
      <c r="D67" s="331"/>
      <c r="E67" s="334" t="s">
        <v>115</v>
      </c>
      <c r="F67" s="439" t="s">
        <v>550</v>
      </c>
      <c r="G67" s="440"/>
      <c r="H67" s="440"/>
      <c r="I67" s="440"/>
      <c r="J67" s="441"/>
      <c r="K67" s="442" t="s">
        <v>403</v>
      </c>
      <c r="L67" s="442"/>
      <c r="M67" s="51" t="s">
        <v>358</v>
      </c>
      <c r="N67" s="443" t="s">
        <v>129</v>
      </c>
      <c r="O67" s="443"/>
      <c r="P67" s="444">
        <v>150</v>
      </c>
      <c r="Q67" s="444"/>
      <c r="R67" s="418" t="s">
        <v>551</v>
      </c>
      <c r="S67" s="418"/>
      <c r="T67" s="418"/>
      <c r="U67" s="418"/>
      <c r="V67" s="418"/>
      <c r="W67" s="418"/>
      <c r="X67" s="418"/>
      <c r="Y67" s="418"/>
      <c r="Z67" s="418"/>
      <c r="AA67" s="418"/>
      <c r="AB67" s="442"/>
      <c r="AC67" s="442"/>
      <c r="AD67" s="445"/>
      <c r="AF67" s="50"/>
    </row>
    <row r="68" spans="1:32" ht="25.5" customHeight="1">
      <c r="A68" s="437">
        <v>3</v>
      </c>
      <c r="B68" s="438"/>
      <c r="C68" s="104" t="s">
        <v>118</v>
      </c>
      <c r="D68" s="331"/>
      <c r="E68" s="334" t="s">
        <v>553</v>
      </c>
      <c r="F68" s="439" t="s">
        <v>552</v>
      </c>
      <c r="G68" s="440"/>
      <c r="H68" s="440"/>
      <c r="I68" s="440"/>
      <c r="J68" s="441"/>
      <c r="K68" s="442" t="s">
        <v>127</v>
      </c>
      <c r="L68" s="442"/>
      <c r="M68" s="51" t="s">
        <v>358</v>
      </c>
      <c r="N68" s="443" t="s">
        <v>137</v>
      </c>
      <c r="O68" s="443"/>
      <c r="P68" s="444">
        <v>300</v>
      </c>
      <c r="Q68" s="444"/>
      <c r="R68" s="418"/>
      <c r="S68" s="418"/>
      <c r="T68" s="418"/>
      <c r="U68" s="418"/>
      <c r="V68" s="418"/>
      <c r="W68" s="418"/>
      <c r="X68" s="418"/>
      <c r="Y68" s="418"/>
      <c r="Z68" s="418"/>
      <c r="AA68" s="418"/>
      <c r="AB68" s="442"/>
      <c r="AC68" s="442"/>
      <c r="AD68" s="445"/>
      <c r="AF68" s="50"/>
    </row>
    <row r="69" spans="1:32" ht="25.5" customHeight="1">
      <c r="A69" s="437">
        <v>4</v>
      </c>
      <c r="B69" s="438"/>
      <c r="C69" s="104" t="s">
        <v>118</v>
      </c>
      <c r="D69" s="331"/>
      <c r="E69" s="334" t="s">
        <v>228</v>
      </c>
      <c r="F69" s="439" t="s">
        <v>554</v>
      </c>
      <c r="G69" s="440"/>
      <c r="H69" s="440"/>
      <c r="I69" s="440"/>
      <c r="J69" s="441"/>
      <c r="K69" s="442" t="s">
        <v>132</v>
      </c>
      <c r="L69" s="442"/>
      <c r="M69" s="51" t="s">
        <v>358</v>
      </c>
      <c r="N69" s="443" t="s">
        <v>230</v>
      </c>
      <c r="O69" s="443"/>
      <c r="P69" s="444">
        <v>300</v>
      </c>
      <c r="Q69" s="444"/>
      <c r="R69" s="418"/>
      <c r="S69" s="418"/>
      <c r="T69" s="418"/>
      <c r="U69" s="418"/>
      <c r="V69" s="418"/>
      <c r="W69" s="418"/>
      <c r="X69" s="418"/>
      <c r="Y69" s="418"/>
      <c r="Z69" s="418"/>
      <c r="AA69" s="418"/>
      <c r="AB69" s="442"/>
      <c r="AC69" s="442"/>
      <c r="AD69" s="445"/>
      <c r="AF69" s="50"/>
    </row>
    <row r="70" spans="1:32" ht="25.5" customHeight="1">
      <c r="A70" s="437">
        <v>5</v>
      </c>
      <c r="B70" s="438"/>
      <c r="C70" s="104" t="s">
        <v>118</v>
      </c>
      <c r="D70" s="331"/>
      <c r="E70" s="334" t="s">
        <v>147</v>
      </c>
      <c r="F70" s="439" t="s">
        <v>555</v>
      </c>
      <c r="G70" s="440"/>
      <c r="H70" s="440"/>
      <c r="I70" s="440"/>
      <c r="J70" s="441"/>
      <c r="K70" s="442" t="s">
        <v>142</v>
      </c>
      <c r="L70" s="442"/>
      <c r="M70" s="51" t="s">
        <v>358</v>
      </c>
      <c r="N70" s="443" t="s">
        <v>184</v>
      </c>
      <c r="O70" s="443"/>
      <c r="P70" s="444">
        <v>150</v>
      </c>
      <c r="Q70" s="444"/>
      <c r="R70" s="418" t="s">
        <v>551</v>
      </c>
      <c r="S70" s="418"/>
      <c r="T70" s="418"/>
      <c r="U70" s="418"/>
      <c r="V70" s="418"/>
      <c r="W70" s="418"/>
      <c r="X70" s="418"/>
      <c r="Y70" s="418"/>
      <c r="Z70" s="418"/>
      <c r="AA70" s="418"/>
      <c r="AB70" s="442"/>
      <c r="AC70" s="442"/>
      <c r="AD70" s="445"/>
      <c r="AF70" s="50"/>
    </row>
    <row r="71" spans="1:32" ht="25.5" customHeight="1">
      <c r="A71" s="437">
        <v>6</v>
      </c>
      <c r="B71" s="438"/>
      <c r="C71" s="104" t="s">
        <v>112</v>
      </c>
      <c r="D71" s="331"/>
      <c r="E71" s="334" t="s">
        <v>115</v>
      </c>
      <c r="F71" s="439" t="s">
        <v>534</v>
      </c>
      <c r="G71" s="440"/>
      <c r="H71" s="440"/>
      <c r="I71" s="440"/>
      <c r="J71" s="441"/>
      <c r="K71" s="442" t="s">
        <v>477</v>
      </c>
      <c r="L71" s="442"/>
      <c r="M71" s="51" t="s">
        <v>141</v>
      </c>
      <c r="N71" s="443" t="s">
        <v>432</v>
      </c>
      <c r="O71" s="443"/>
      <c r="P71" s="444">
        <v>50</v>
      </c>
      <c r="Q71" s="444"/>
      <c r="R71" s="418"/>
      <c r="S71" s="418"/>
      <c r="T71" s="418"/>
      <c r="U71" s="418"/>
      <c r="V71" s="418"/>
      <c r="W71" s="418"/>
      <c r="X71" s="418"/>
      <c r="Y71" s="418"/>
      <c r="Z71" s="418"/>
      <c r="AA71" s="418"/>
      <c r="AB71" s="442"/>
      <c r="AC71" s="442"/>
      <c r="AD71" s="445"/>
      <c r="AF71" s="50"/>
    </row>
    <row r="72" spans="1:32" ht="25.5" customHeight="1">
      <c r="A72" s="437">
        <v>7</v>
      </c>
      <c r="B72" s="438"/>
      <c r="C72" s="104"/>
      <c r="D72" s="331"/>
      <c r="E72" s="334"/>
      <c r="F72" s="439"/>
      <c r="G72" s="440"/>
      <c r="H72" s="440"/>
      <c r="I72" s="440"/>
      <c r="J72" s="441"/>
      <c r="K72" s="442"/>
      <c r="L72" s="442"/>
      <c r="M72" s="51"/>
      <c r="N72" s="443"/>
      <c r="O72" s="443"/>
      <c r="P72" s="444"/>
      <c r="Q72" s="444"/>
      <c r="R72" s="418"/>
      <c r="S72" s="418"/>
      <c r="T72" s="418"/>
      <c r="U72" s="418"/>
      <c r="V72" s="418"/>
      <c r="W72" s="418"/>
      <c r="X72" s="418"/>
      <c r="Y72" s="418"/>
      <c r="Z72" s="418"/>
      <c r="AA72" s="418"/>
      <c r="AB72" s="442"/>
      <c r="AC72" s="442"/>
      <c r="AD72" s="445"/>
      <c r="AF72" s="50"/>
    </row>
    <row r="73" spans="1:32" ht="25.5" customHeight="1">
      <c r="A73" s="437">
        <v>8</v>
      </c>
      <c r="B73" s="438"/>
      <c r="C73" s="104"/>
      <c r="D73" s="331"/>
      <c r="E73" s="334"/>
      <c r="F73" s="447"/>
      <c r="G73" s="442"/>
      <c r="H73" s="442"/>
      <c r="I73" s="442"/>
      <c r="J73" s="442"/>
      <c r="K73" s="442"/>
      <c r="L73" s="442"/>
      <c r="M73" s="51"/>
      <c r="N73" s="443"/>
      <c r="O73" s="443"/>
      <c r="P73" s="444"/>
      <c r="Q73" s="444"/>
      <c r="R73" s="418"/>
      <c r="S73" s="418"/>
      <c r="T73" s="418"/>
      <c r="U73" s="418"/>
      <c r="V73" s="418"/>
      <c r="W73" s="418"/>
      <c r="X73" s="418"/>
      <c r="Y73" s="418"/>
      <c r="Z73" s="418"/>
      <c r="AA73" s="418"/>
      <c r="AB73" s="442"/>
      <c r="AC73" s="442"/>
      <c r="AD73" s="445"/>
      <c r="AF73" s="50"/>
    </row>
    <row r="74" spans="1:32" ht="25.5" customHeight="1">
      <c r="A74" s="437">
        <v>9</v>
      </c>
      <c r="B74" s="438"/>
      <c r="C74" s="104"/>
      <c r="D74" s="331"/>
      <c r="E74" s="334"/>
      <c r="F74" s="447"/>
      <c r="G74" s="442"/>
      <c r="H74" s="442"/>
      <c r="I74" s="442"/>
      <c r="J74" s="442"/>
      <c r="K74" s="442"/>
      <c r="L74" s="442"/>
      <c r="M74" s="51"/>
      <c r="N74" s="443"/>
      <c r="O74" s="443"/>
      <c r="P74" s="444"/>
      <c r="Q74" s="444"/>
      <c r="R74" s="418"/>
      <c r="S74" s="418"/>
      <c r="T74" s="418"/>
      <c r="U74" s="418"/>
      <c r="V74" s="418"/>
      <c r="W74" s="418"/>
      <c r="X74" s="418"/>
      <c r="Y74" s="418"/>
      <c r="Z74" s="418"/>
      <c r="AA74" s="418"/>
      <c r="AB74" s="442"/>
      <c r="AC74" s="442"/>
      <c r="AD74" s="445"/>
      <c r="AF74" s="50"/>
    </row>
    <row r="75" spans="1:32" ht="25.5" customHeight="1">
      <c r="A75" s="437">
        <v>10</v>
      </c>
      <c r="B75" s="438"/>
      <c r="C75" s="104"/>
      <c r="D75" s="331"/>
      <c r="E75" s="334"/>
      <c r="F75" s="447"/>
      <c r="G75" s="442"/>
      <c r="H75" s="442"/>
      <c r="I75" s="442"/>
      <c r="J75" s="442"/>
      <c r="K75" s="442"/>
      <c r="L75" s="442"/>
      <c r="M75" s="51"/>
      <c r="N75" s="443"/>
      <c r="O75" s="443"/>
      <c r="P75" s="444"/>
      <c r="Q75" s="444"/>
      <c r="R75" s="418"/>
      <c r="S75" s="418"/>
      <c r="T75" s="418"/>
      <c r="U75" s="418"/>
      <c r="V75" s="418"/>
      <c r="W75" s="418"/>
      <c r="X75" s="418"/>
      <c r="Y75" s="418"/>
      <c r="Z75" s="418"/>
      <c r="AA75" s="418"/>
      <c r="AB75" s="442"/>
      <c r="AC75" s="442"/>
      <c r="AD75" s="445"/>
      <c r="AF75" s="50"/>
    </row>
    <row r="76" spans="1:32" ht="26.25" customHeight="1" thickBot="1">
      <c r="A76" s="448" t="s">
        <v>556</v>
      </c>
      <c r="B76" s="448"/>
      <c r="C76" s="448"/>
      <c r="D76" s="448"/>
      <c r="E76" s="448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449" t="s">
        <v>134</v>
      </c>
      <c r="B77" s="450"/>
      <c r="C77" s="333" t="s">
        <v>2</v>
      </c>
      <c r="D77" s="333" t="s">
        <v>37</v>
      </c>
      <c r="E77" s="333" t="s">
        <v>128</v>
      </c>
      <c r="F77" s="450" t="s">
        <v>38</v>
      </c>
      <c r="G77" s="450"/>
      <c r="H77" s="450"/>
      <c r="I77" s="450"/>
      <c r="J77" s="450"/>
      <c r="K77" s="451" t="s">
        <v>58</v>
      </c>
      <c r="L77" s="452"/>
      <c r="M77" s="452"/>
      <c r="N77" s="452"/>
      <c r="O77" s="452"/>
      <c r="P77" s="452"/>
      <c r="Q77" s="452"/>
      <c r="R77" s="452"/>
      <c r="S77" s="453"/>
      <c r="T77" s="450" t="s">
        <v>49</v>
      </c>
      <c r="U77" s="450"/>
      <c r="V77" s="451" t="s">
        <v>50</v>
      </c>
      <c r="W77" s="453"/>
      <c r="X77" s="452" t="s">
        <v>51</v>
      </c>
      <c r="Y77" s="452"/>
      <c r="Z77" s="452"/>
      <c r="AA77" s="452"/>
      <c r="AB77" s="452"/>
      <c r="AC77" s="452"/>
      <c r="AD77" s="454"/>
      <c r="AF77" s="50"/>
    </row>
    <row r="78" spans="1:32" ht="33.75" customHeight="1">
      <c r="A78" s="463">
        <v>1</v>
      </c>
      <c r="B78" s="464"/>
      <c r="C78" s="332" t="s">
        <v>112</v>
      </c>
      <c r="D78" s="332"/>
      <c r="E78" s="65" t="s">
        <v>117</v>
      </c>
      <c r="F78" s="465" t="s">
        <v>116</v>
      </c>
      <c r="G78" s="466"/>
      <c r="H78" s="466"/>
      <c r="I78" s="466"/>
      <c r="J78" s="467"/>
      <c r="K78" s="468" t="s">
        <v>120</v>
      </c>
      <c r="L78" s="469"/>
      <c r="M78" s="469"/>
      <c r="N78" s="469"/>
      <c r="O78" s="469"/>
      <c r="P78" s="469"/>
      <c r="Q78" s="469"/>
      <c r="R78" s="469"/>
      <c r="S78" s="470"/>
      <c r="T78" s="471">
        <v>44118</v>
      </c>
      <c r="U78" s="472"/>
      <c r="V78" s="473"/>
      <c r="W78" s="473"/>
      <c r="X78" s="474"/>
      <c r="Y78" s="474"/>
      <c r="Z78" s="474"/>
      <c r="AA78" s="474"/>
      <c r="AB78" s="474"/>
      <c r="AC78" s="474"/>
      <c r="AD78" s="475"/>
      <c r="AF78" s="50"/>
    </row>
    <row r="79" spans="1:32" ht="30" customHeight="1">
      <c r="A79" s="455">
        <f>A78+1</f>
        <v>2</v>
      </c>
      <c r="B79" s="456"/>
      <c r="C79" s="331"/>
      <c r="D79" s="331"/>
      <c r="E79" s="32"/>
      <c r="F79" s="456"/>
      <c r="G79" s="456"/>
      <c r="H79" s="456"/>
      <c r="I79" s="456"/>
      <c r="J79" s="456"/>
      <c r="K79" s="457"/>
      <c r="L79" s="458"/>
      <c r="M79" s="458"/>
      <c r="N79" s="458"/>
      <c r="O79" s="458"/>
      <c r="P79" s="458"/>
      <c r="Q79" s="458"/>
      <c r="R79" s="458"/>
      <c r="S79" s="459"/>
      <c r="T79" s="460"/>
      <c r="U79" s="460"/>
      <c r="V79" s="460"/>
      <c r="W79" s="460"/>
      <c r="X79" s="461"/>
      <c r="Y79" s="461"/>
      <c r="Z79" s="461"/>
      <c r="AA79" s="461"/>
      <c r="AB79" s="461"/>
      <c r="AC79" s="461"/>
      <c r="AD79" s="462"/>
      <c r="AF79" s="50"/>
    </row>
    <row r="80" spans="1:32" ht="30" customHeight="1">
      <c r="A80" s="455">
        <f t="shared" ref="A80:A84" si="27">A79+1</f>
        <v>3</v>
      </c>
      <c r="B80" s="456"/>
      <c r="C80" s="331"/>
      <c r="D80" s="331"/>
      <c r="E80" s="32"/>
      <c r="F80" s="456"/>
      <c r="G80" s="456"/>
      <c r="H80" s="456"/>
      <c r="I80" s="456"/>
      <c r="J80" s="456"/>
      <c r="K80" s="457"/>
      <c r="L80" s="458"/>
      <c r="M80" s="458"/>
      <c r="N80" s="458"/>
      <c r="O80" s="458"/>
      <c r="P80" s="458"/>
      <c r="Q80" s="458"/>
      <c r="R80" s="458"/>
      <c r="S80" s="459"/>
      <c r="T80" s="460"/>
      <c r="U80" s="460"/>
      <c r="V80" s="460"/>
      <c r="W80" s="460"/>
      <c r="X80" s="461"/>
      <c r="Y80" s="461"/>
      <c r="Z80" s="461"/>
      <c r="AA80" s="461"/>
      <c r="AB80" s="461"/>
      <c r="AC80" s="461"/>
      <c r="AD80" s="462"/>
      <c r="AF80" s="50"/>
    </row>
    <row r="81" spans="1:32" ht="30" customHeight="1">
      <c r="A81" s="455">
        <f t="shared" si="27"/>
        <v>4</v>
      </c>
      <c r="B81" s="456"/>
      <c r="C81" s="331"/>
      <c r="D81" s="331"/>
      <c r="E81" s="32"/>
      <c r="F81" s="456"/>
      <c r="G81" s="456"/>
      <c r="H81" s="456"/>
      <c r="I81" s="456"/>
      <c r="J81" s="456"/>
      <c r="K81" s="457"/>
      <c r="L81" s="458"/>
      <c r="M81" s="458"/>
      <c r="N81" s="458"/>
      <c r="O81" s="458"/>
      <c r="P81" s="458"/>
      <c r="Q81" s="458"/>
      <c r="R81" s="458"/>
      <c r="S81" s="459"/>
      <c r="T81" s="460"/>
      <c r="U81" s="460"/>
      <c r="V81" s="460"/>
      <c r="W81" s="460"/>
      <c r="X81" s="461"/>
      <c r="Y81" s="461"/>
      <c r="Z81" s="461"/>
      <c r="AA81" s="461"/>
      <c r="AB81" s="461"/>
      <c r="AC81" s="461"/>
      <c r="AD81" s="462"/>
      <c r="AF81" s="50"/>
    </row>
    <row r="82" spans="1:32" ht="30" customHeight="1">
      <c r="A82" s="455">
        <f t="shared" si="27"/>
        <v>5</v>
      </c>
      <c r="B82" s="456"/>
      <c r="C82" s="331"/>
      <c r="D82" s="331"/>
      <c r="E82" s="32"/>
      <c r="F82" s="456"/>
      <c r="G82" s="456"/>
      <c r="H82" s="456"/>
      <c r="I82" s="456"/>
      <c r="J82" s="456"/>
      <c r="K82" s="457"/>
      <c r="L82" s="458"/>
      <c r="M82" s="458"/>
      <c r="N82" s="458"/>
      <c r="O82" s="458"/>
      <c r="P82" s="458"/>
      <c r="Q82" s="458"/>
      <c r="R82" s="458"/>
      <c r="S82" s="459"/>
      <c r="T82" s="460"/>
      <c r="U82" s="460"/>
      <c r="V82" s="460"/>
      <c r="W82" s="460"/>
      <c r="X82" s="461"/>
      <c r="Y82" s="461"/>
      <c r="Z82" s="461"/>
      <c r="AA82" s="461"/>
      <c r="AB82" s="461"/>
      <c r="AC82" s="461"/>
      <c r="AD82" s="462"/>
      <c r="AF82" s="50"/>
    </row>
    <row r="83" spans="1:32" ht="30" customHeight="1">
      <c r="A83" s="455">
        <f t="shared" si="27"/>
        <v>6</v>
      </c>
      <c r="B83" s="456"/>
      <c r="C83" s="331"/>
      <c r="D83" s="331"/>
      <c r="E83" s="32"/>
      <c r="F83" s="456"/>
      <c r="G83" s="456"/>
      <c r="H83" s="456"/>
      <c r="I83" s="456"/>
      <c r="J83" s="456"/>
      <c r="K83" s="457"/>
      <c r="L83" s="458"/>
      <c r="M83" s="458"/>
      <c r="N83" s="458"/>
      <c r="O83" s="458"/>
      <c r="P83" s="458"/>
      <c r="Q83" s="458"/>
      <c r="R83" s="458"/>
      <c r="S83" s="459"/>
      <c r="T83" s="460"/>
      <c r="U83" s="460"/>
      <c r="V83" s="460"/>
      <c r="W83" s="460"/>
      <c r="X83" s="461"/>
      <c r="Y83" s="461"/>
      <c r="Z83" s="461"/>
      <c r="AA83" s="461"/>
      <c r="AB83" s="461"/>
      <c r="AC83" s="461"/>
      <c r="AD83" s="462"/>
      <c r="AF83" s="50"/>
    </row>
    <row r="84" spans="1:32" ht="30" customHeight="1">
      <c r="A84" s="455">
        <f t="shared" si="27"/>
        <v>7</v>
      </c>
      <c r="B84" s="456"/>
      <c r="C84" s="331"/>
      <c r="D84" s="331"/>
      <c r="E84" s="32"/>
      <c r="F84" s="456"/>
      <c r="G84" s="456"/>
      <c r="H84" s="456"/>
      <c r="I84" s="456"/>
      <c r="J84" s="456"/>
      <c r="K84" s="457"/>
      <c r="L84" s="458"/>
      <c r="M84" s="458"/>
      <c r="N84" s="458"/>
      <c r="O84" s="458"/>
      <c r="P84" s="458"/>
      <c r="Q84" s="458"/>
      <c r="R84" s="458"/>
      <c r="S84" s="459"/>
      <c r="T84" s="460"/>
      <c r="U84" s="460"/>
      <c r="V84" s="460"/>
      <c r="W84" s="460"/>
      <c r="X84" s="461"/>
      <c r="Y84" s="461"/>
      <c r="Z84" s="461"/>
      <c r="AA84" s="461"/>
      <c r="AB84" s="461"/>
      <c r="AC84" s="461"/>
      <c r="AD84" s="462"/>
      <c r="AF84" s="50"/>
    </row>
    <row r="85" spans="1:32" ht="36" thickBot="1">
      <c r="A85" s="448" t="s">
        <v>557</v>
      </c>
      <c r="B85" s="448"/>
      <c r="C85" s="448"/>
      <c r="D85" s="448"/>
      <c r="E85" s="448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49" t="s">
        <v>111</v>
      </c>
      <c r="B86" s="450"/>
      <c r="C86" s="476" t="s">
        <v>52</v>
      </c>
      <c r="D86" s="476"/>
      <c r="E86" s="476" t="s">
        <v>53</v>
      </c>
      <c r="F86" s="476"/>
      <c r="G86" s="476"/>
      <c r="H86" s="476"/>
      <c r="I86" s="476"/>
      <c r="J86" s="476"/>
      <c r="K86" s="476" t="s">
        <v>54</v>
      </c>
      <c r="L86" s="476"/>
      <c r="M86" s="476"/>
      <c r="N86" s="476"/>
      <c r="O86" s="476"/>
      <c r="P86" s="476"/>
      <c r="Q86" s="476"/>
      <c r="R86" s="476"/>
      <c r="S86" s="476"/>
      <c r="T86" s="476" t="s">
        <v>55</v>
      </c>
      <c r="U86" s="476"/>
      <c r="V86" s="476" t="s">
        <v>56</v>
      </c>
      <c r="W86" s="476"/>
      <c r="X86" s="476"/>
      <c r="Y86" s="476" t="s">
        <v>51</v>
      </c>
      <c r="Z86" s="476"/>
      <c r="AA86" s="476"/>
      <c r="AB86" s="476"/>
      <c r="AC86" s="476"/>
      <c r="AD86" s="477"/>
      <c r="AF86" s="50"/>
    </row>
    <row r="87" spans="1:32" ht="30.75" customHeight="1">
      <c r="A87" s="463">
        <v>1</v>
      </c>
      <c r="B87" s="464"/>
      <c r="C87" s="478"/>
      <c r="D87" s="478"/>
      <c r="E87" s="478"/>
      <c r="F87" s="478"/>
      <c r="G87" s="478"/>
      <c r="H87" s="478"/>
      <c r="I87" s="478"/>
      <c r="J87" s="478"/>
      <c r="K87" s="478"/>
      <c r="L87" s="478"/>
      <c r="M87" s="478"/>
      <c r="N87" s="478"/>
      <c r="O87" s="478"/>
      <c r="P87" s="478"/>
      <c r="Q87" s="478"/>
      <c r="R87" s="478"/>
      <c r="S87" s="478"/>
      <c r="T87" s="478"/>
      <c r="U87" s="478"/>
      <c r="V87" s="479"/>
      <c r="W87" s="479"/>
      <c r="X87" s="479"/>
      <c r="Y87" s="480"/>
      <c r="Z87" s="480"/>
      <c r="AA87" s="480"/>
      <c r="AB87" s="480"/>
      <c r="AC87" s="480"/>
      <c r="AD87" s="481"/>
      <c r="AF87" s="50"/>
    </row>
    <row r="88" spans="1:32" ht="30.75" customHeight="1">
      <c r="A88" s="455">
        <v>2</v>
      </c>
      <c r="B88" s="456"/>
      <c r="C88" s="489"/>
      <c r="D88" s="489"/>
      <c r="E88" s="489"/>
      <c r="F88" s="489"/>
      <c r="G88" s="489"/>
      <c r="H88" s="489"/>
      <c r="I88" s="489"/>
      <c r="J88" s="489"/>
      <c r="K88" s="489"/>
      <c r="L88" s="489"/>
      <c r="M88" s="489"/>
      <c r="N88" s="489"/>
      <c r="O88" s="489"/>
      <c r="P88" s="489"/>
      <c r="Q88" s="489"/>
      <c r="R88" s="489"/>
      <c r="S88" s="489"/>
      <c r="T88" s="490"/>
      <c r="U88" s="490"/>
      <c r="V88" s="491"/>
      <c r="W88" s="491"/>
      <c r="X88" s="491"/>
      <c r="Y88" s="482"/>
      <c r="Z88" s="482"/>
      <c r="AA88" s="482"/>
      <c r="AB88" s="482"/>
      <c r="AC88" s="482"/>
      <c r="AD88" s="483"/>
      <c r="AF88" s="50"/>
    </row>
    <row r="89" spans="1:32" ht="30.75" customHeight="1" thickBot="1">
      <c r="A89" s="484">
        <v>3</v>
      </c>
      <c r="B89" s="485"/>
      <c r="C89" s="486"/>
      <c r="D89" s="486"/>
      <c r="E89" s="486"/>
      <c r="F89" s="486"/>
      <c r="G89" s="486"/>
      <c r="H89" s="486"/>
      <c r="I89" s="486"/>
      <c r="J89" s="486"/>
      <c r="K89" s="486"/>
      <c r="L89" s="486"/>
      <c r="M89" s="486"/>
      <c r="N89" s="486"/>
      <c r="O89" s="486"/>
      <c r="P89" s="486"/>
      <c r="Q89" s="486"/>
      <c r="R89" s="486"/>
      <c r="S89" s="486"/>
      <c r="T89" s="486"/>
      <c r="U89" s="486"/>
      <c r="V89" s="486"/>
      <c r="W89" s="486"/>
      <c r="X89" s="486"/>
      <c r="Y89" s="487"/>
      <c r="Z89" s="487"/>
      <c r="AA89" s="487"/>
      <c r="AB89" s="487"/>
      <c r="AC89" s="487"/>
      <c r="AD89" s="488"/>
      <c r="AF89" s="50"/>
    </row>
  </sheetData>
  <mergeCells count="232"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9" max="29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9227-6BED-4E3E-9FBC-D956F8F15DEB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70" t="s">
        <v>558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5"/>
      <c r="T4" s="405"/>
      <c r="U4" s="405"/>
      <c r="V4" s="405"/>
      <c r="W4" s="406" t="s">
        <v>11</v>
      </c>
      <c r="X4" s="405"/>
      <c r="Y4" s="405"/>
      <c r="Z4" s="405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344" t="s">
        <v>17</v>
      </c>
      <c r="L5" s="344" t="s">
        <v>18</v>
      </c>
      <c r="M5" s="344" t="s">
        <v>19</v>
      </c>
      <c r="N5" s="34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125</v>
      </c>
      <c r="E6" s="53" t="s">
        <v>456</v>
      </c>
      <c r="F6" s="30" t="s">
        <v>206</v>
      </c>
      <c r="G6" s="12">
        <v>1</v>
      </c>
      <c r="H6" s="13">
        <v>24</v>
      </c>
      <c r="I6" s="7">
        <v>1600</v>
      </c>
      <c r="J6" s="14">
        <v>1902</v>
      </c>
      <c r="K6" s="15">
        <f>L6+2743+1902</f>
        <v>4645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0.19531249999999997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121</v>
      </c>
      <c r="D7" s="52" t="s">
        <v>125</v>
      </c>
      <c r="E7" s="53" t="s">
        <v>471</v>
      </c>
      <c r="F7" s="12" t="s">
        <v>138</v>
      </c>
      <c r="G7" s="12">
        <v>2</v>
      </c>
      <c r="H7" s="13">
        <v>24</v>
      </c>
      <c r="I7" s="31">
        <v>18000</v>
      </c>
      <c r="J7" s="14">
        <v>5180</v>
      </c>
      <c r="K7" s="15">
        <f>L7+7736+12588+5180</f>
        <v>25504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0.19531249999999997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/>
      <c r="E8" s="53" t="s">
        <v>321</v>
      </c>
      <c r="F8" s="30" t="s">
        <v>340</v>
      </c>
      <c r="G8" s="33">
        <v>1</v>
      </c>
      <c r="H8" s="35">
        <v>24</v>
      </c>
      <c r="I8" s="7">
        <v>50500</v>
      </c>
      <c r="J8" s="5">
        <v>2448</v>
      </c>
      <c r="K8" s="15">
        <f>L8+4349+2445+5035+5245+5660+1855+3016+5569+5311+5560+5494+2802</f>
        <v>54789</v>
      </c>
      <c r="L8" s="15">
        <v>2448</v>
      </c>
      <c r="M8" s="15">
        <f t="shared" si="0"/>
        <v>2448</v>
      </c>
      <c r="N8" s="15">
        <v>0</v>
      </c>
      <c r="O8" s="58">
        <f t="shared" si="1"/>
        <v>0</v>
      </c>
      <c r="P8" s="39">
        <f t="shared" si="2"/>
        <v>10</v>
      </c>
      <c r="Q8" s="40">
        <f t="shared" si="3"/>
        <v>14</v>
      </c>
      <c r="R8" s="7"/>
      <c r="S8" s="6"/>
      <c r="T8" s="16"/>
      <c r="U8" s="16"/>
      <c r="V8" s="17">
        <v>14</v>
      </c>
      <c r="W8" s="5"/>
      <c r="X8" s="16"/>
      <c r="Y8" s="16"/>
      <c r="Z8" s="16"/>
      <c r="AA8" s="18"/>
      <c r="AB8" s="8">
        <f t="shared" si="4"/>
        <v>1</v>
      </c>
      <c r="AC8" s="9">
        <f t="shared" si="5"/>
        <v>0.41666666666666669</v>
      </c>
      <c r="AD8" s="10">
        <f t="shared" si="6"/>
        <v>0.41666666666666669</v>
      </c>
      <c r="AE8" s="36">
        <f t="shared" si="7"/>
        <v>0.19531249999999997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559</v>
      </c>
      <c r="E9" s="53" t="s">
        <v>238</v>
      </c>
      <c r="F9" s="30" t="s">
        <v>213</v>
      </c>
      <c r="G9" s="12">
        <v>1</v>
      </c>
      <c r="H9" s="13">
        <v>24</v>
      </c>
      <c r="I9" s="7">
        <v>50000</v>
      </c>
      <c r="J9" s="14">
        <v>1962</v>
      </c>
      <c r="K9" s="15">
        <f>L9</f>
        <v>1962</v>
      </c>
      <c r="L9" s="15">
        <v>1962</v>
      </c>
      <c r="M9" s="15">
        <f t="shared" si="0"/>
        <v>1962</v>
      </c>
      <c r="N9" s="15">
        <v>0</v>
      </c>
      <c r="O9" s="58">
        <f t="shared" si="1"/>
        <v>0</v>
      </c>
      <c r="P9" s="39">
        <f t="shared" si="2"/>
        <v>9</v>
      </c>
      <c r="Q9" s="40">
        <f t="shared" si="3"/>
        <v>15</v>
      </c>
      <c r="R9" s="7"/>
      <c r="S9" s="6"/>
      <c r="T9" s="16">
        <v>1</v>
      </c>
      <c r="U9" s="16"/>
      <c r="V9" s="17">
        <v>14</v>
      </c>
      <c r="W9" s="5"/>
      <c r="X9" s="16"/>
      <c r="Y9" s="16"/>
      <c r="Z9" s="16"/>
      <c r="AA9" s="18"/>
      <c r="AB9" s="8">
        <f t="shared" si="4"/>
        <v>1</v>
      </c>
      <c r="AC9" s="9">
        <f t="shared" si="5"/>
        <v>0.375</v>
      </c>
      <c r="AD9" s="10">
        <f t="shared" si="6"/>
        <v>0.375</v>
      </c>
      <c r="AE9" s="36">
        <f t="shared" si="7"/>
        <v>0.19531249999999997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147</v>
      </c>
      <c r="E10" s="53" t="s">
        <v>388</v>
      </c>
      <c r="F10" s="30" t="s">
        <v>127</v>
      </c>
      <c r="G10" s="33">
        <v>1</v>
      </c>
      <c r="H10" s="35">
        <v>24</v>
      </c>
      <c r="I10" s="7">
        <v>36000</v>
      </c>
      <c r="J10" s="14">
        <v>4876</v>
      </c>
      <c r="K10" s="15">
        <f>L10+3274+4039+5240+6353+6363+6007+6248+4876</f>
        <v>42400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0.19531249999999997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263</v>
      </c>
      <c r="E11" s="53" t="s">
        <v>264</v>
      </c>
      <c r="F11" s="30" t="s">
        <v>206</v>
      </c>
      <c r="G11" s="33">
        <v>16</v>
      </c>
      <c r="H11" s="35">
        <v>24</v>
      </c>
      <c r="I11" s="7">
        <v>100000</v>
      </c>
      <c r="J11" s="14">
        <v>67990</v>
      </c>
      <c r="K11" s="15">
        <f>L11+49500+67990</f>
        <v>117490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0.19531249999999997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220</v>
      </c>
      <c r="F12" s="30" t="s">
        <v>142</v>
      </c>
      <c r="G12" s="12">
        <v>1</v>
      </c>
      <c r="H12" s="13">
        <v>22</v>
      </c>
      <c r="I12" s="31">
        <v>23000</v>
      </c>
      <c r="J12" s="5">
        <v>2350</v>
      </c>
      <c r="K12" s="15">
        <f>L12+3727</f>
        <v>6077</v>
      </c>
      <c r="L12" s="15">
        <v>2350</v>
      </c>
      <c r="M12" s="15">
        <f t="shared" si="0"/>
        <v>2350</v>
      </c>
      <c r="N12" s="15">
        <v>0</v>
      </c>
      <c r="O12" s="58">
        <f t="shared" si="1"/>
        <v>0</v>
      </c>
      <c r="P12" s="39">
        <f t="shared" si="2"/>
        <v>10</v>
      </c>
      <c r="Q12" s="40">
        <f t="shared" si="3"/>
        <v>14</v>
      </c>
      <c r="R12" s="7"/>
      <c r="S12" s="6"/>
      <c r="T12" s="16"/>
      <c r="U12" s="16"/>
      <c r="V12" s="17">
        <v>14</v>
      </c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0.41666666666666669</v>
      </c>
      <c r="AD12" s="10">
        <f t="shared" si="6"/>
        <v>0.41666666666666669</v>
      </c>
      <c r="AE12" s="36">
        <f t="shared" si="7"/>
        <v>0.19531249999999997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224</v>
      </c>
      <c r="E13" s="53" t="s">
        <v>503</v>
      </c>
      <c r="F13" s="30" t="s">
        <v>236</v>
      </c>
      <c r="G13" s="33">
        <v>1</v>
      </c>
      <c r="H13" s="35">
        <v>24</v>
      </c>
      <c r="I13" s="7">
        <v>18000</v>
      </c>
      <c r="J13" s="14">
        <v>1908</v>
      </c>
      <c r="K13" s="15">
        <f>L13+3678+1851+3101</f>
        <v>10538</v>
      </c>
      <c r="L13" s="15">
        <v>1908</v>
      </c>
      <c r="M13" s="15">
        <f t="shared" si="0"/>
        <v>1908</v>
      </c>
      <c r="N13" s="15">
        <v>0</v>
      </c>
      <c r="O13" s="58">
        <f t="shared" si="1"/>
        <v>0</v>
      </c>
      <c r="P13" s="39">
        <f t="shared" si="2"/>
        <v>9</v>
      </c>
      <c r="Q13" s="40">
        <f t="shared" si="3"/>
        <v>15</v>
      </c>
      <c r="R13" s="7"/>
      <c r="S13" s="6">
        <v>1</v>
      </c>
      <c r="T13" s="16"/>
      <c r="U13" s="16"/>
      <c r="V13" s="17">
        <v>14</v>
      </c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0.375</v>
      </c>
      <c r="AD13" s="10">
        <f t="shared" si="6"/>
        <v>0.375</v>
      </c>
      <c r="AE13" s="36">
        <f t="shared" si="7"/>
        <v>0.19531249999999997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153</v>
      </c>
      <c r="F14" s="30" t="s">
        <v>144</v>
      </c>
      <c r="G14" s="33">
        <v>1</v>
      </c>
      <c r="H14" s="35">
        <v>50</v>
      </c>
      <c r="I14" s="7">
        <v>200</v>
      </c>
      <c r="J14" s="5">
        <v>392</v>
      </c>
      <c r="K14" s="15">
        <f>L14+392</f>
        <v>392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0.19531249999999997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119</v>
      </c>
      <c r="D15" s="52" t="s">
        <v>545</v>
      </c>
      <c r="E15" s="53" t="s">
        <v>546</v>
      </c>
      <c r="F15" s="12">
        <v>8301</v>
      </c>
      <c r="G15" s="12">
        <v>1</v>
      </c>
      <c r="H15" s="13">
        <v>24</v>
      </c>
      <c r="I15" s="31">
        <v>6000</v>
      </c>
      <c r="J15" s="14">
        <v>2269</v>
      </c>
      <c r="K15" s="15">
        <f>L15</f>
        <v>2269</v>
      </c>
      <c r="L15" s="15">
        <f>2269</f>
        <v>2269</v>
      </c>
      <c r="M15" s="15">
        <f t="shared" si="0"/>
        <v>2269</v>
      </c>
      <c r="N15" s="15">
        <v>0</v>
      </c>
      <c r="O15" s="58">
        <f t="shared" si="1"/>
        <v>0</v>
      </c>
      <c r="P15" s="39">
        <f t="shared" si="2"/>
        <v>10</v>
      </c>
      <c r="Q15" s="40">
        <f t="shared" si="3"/>
        <v>14</v>
      </c>
      <c r="R15" s="7"/>
      <c r="S15" s="6"/>
      <c r="T15" s="16"/>
      <c r="U15" s="16"/>
      <c r="V15" s="17">
        <v>14</v>
      </c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0.41666666666666669</v>
      </c>
      <c r="AD15" s="10">
        <f t="shared" si="6"/>
        <v>0.41666666666666669</v>
      </c>
      <c r="AE15" s="36">
        <f t="shared" si="7"/>
        <v>0.19531249999999997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409</v>
      </c>
      <c r="D16" s="52"/>
      <c r="E16" s="53" t="s">
        <v>492</v>
      </c>
      <c r="F16" s="30" t="s">
        <v>538</v>
      </c>
      <c r="G16" s="12">
        <v>32</v>
      </c>
      <c r="H16" s="13">
        <v>24</v>
      </c>
      <c r="I16" s="7">
        <v>50000</v>
      </c>
      <c r="J16" s="14">
        <v>68160</v>
      </c>
      <c r="K16" s="15">
        <f>L16+68160</f>
        <v>68160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0.19531249999999997</v>
      </c>
      <c r="AF16" s="84">
        <f t="shared" si="8"/>
        <v>11</v>
      </c>
    </row>
    <row r="17" spans="1:32" ht="30" customHeight="1">
      <c r="A17" s="95">
        <v>12</v>
      </c>
      <c r="B17" s="11" t="s">
        <v>502</v>
      </c>
      <c r="C17" s="34" t="s">
        <v>121</v>
      </c>
      <c r="D17" s="52" t="s">
        <v>125</v>
      </c>
      <c r="E17" s="53" t="s">
        <v>355</v>
      </c>
      <c r="F17" s="30" t="s">
        <v>138</v>
      </c>
      <c r="G17" s="12">
        <v>1</v>
      </c>
      <c r="H17" s="13">
        <v>24</v>
      </c>
      <c r="I17" s="7">
        <v>500</v>
      </c>
      <c r="J17" s="14">
        <v>600</v>
      </c>
      <c r="K17" s="15">
        <f>L17+600</f>
        <v>600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0.19531249999999997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201</v>
      </c>
      <c r="F18" s="30" t="s">
        <v>142</v>
      </c>
      <c r="G18" s="33">
        <v>4</v>
      </c>
      <c r="H18" s="35">
        <v>24</v>
      </c>
      <c r="I18" s="7">
        <v>8000</v>
      </c>
      <c r="J18" s="14">
        <v>5168</v>
      </c>
      <c r="K18" s="15">
        <f>L18+6004+5168</f>
        <v>11172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0.19531249999999997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224</v>
      </c>
      <c r="E19" s="53" t="s">
        <v>539</v>
      </c>
      <c r="F19" s="30" t="s">
        <v>127</v>
      </c>
      <c r="G19" s="33">
        <v>1</v>
      </c>
      <c r="H19" s="35">
        <v>24</v>
      </c>
      <c r="I19" s="7">
        <v>3500</v>
      </c>
      <c r="J19" s="14">
        <v>1260</v>
      </c>
      <c r="K19" s="15">
        <f>L19</f>
        <v>1260</v>
      </c>
      <c r="L19" s="15">
        <v>1260</v>
      </c>
      <c r="M19" s="15">
        <f t="shared" si="0"/>
        <v>1260</v>
      </c>
      <c r="N19" s="15">
        <v>0</v>
      </c>
      <c r="O19" s="58">
        <f t="shared" si="1"/>
        <v>0</v>
      </c>
      <c r="P19" s="39">
        <f t="shared" si="2"/>
        <v>7</v>
      </c>
      <c r="Q19" s="40">
        <f t="shared" si="3"/>
        <v>17</v>
      </c>
      <c r="R19" s="7"/>
      <c r="S19" s="6">
        <v>3</v>
      </c>
      <c r="T19" s="16"/>
      <c r="U19" s="16"/>
      <c r="V19" s="17">
        <v>14</v>
      </c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0.29166666666666669</v>
      </c>
      <c r="AD19" s="10">
        <f t="shared" si="6"/>
        <v>0.29166666666666669</v>
      </c>
      <c r="AE19" s="36">
        <f t="shared" si="7"/>
        <v>0.19531249999999997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560</v>
      </c>
      <c r="F20" s="30" t="s">
        <v>171</v>
      </c>
      <c r="G20" s="12">
        <v>1</v>
      </c>
      <c r="H20" s="13">
        <v>24</v>
      </c>
      <c r="I20" s="7">
        <v>3500</v>
      </c>
      <c r="J20" s="14">
        <v>1901</v>
      </c>
      <c r="K20" s="15">
        <f>L20</f>
        <v>1901</v>
      </c>
      <c r="L20" s="15">
        <v>1901</v>
      </c>
      <c r="M20" s="15">
        <f t="shared" si="0"/>
        <v>1901</v>
      </c>
      <c r="N20" s="15">
        <v>0</v>
      </c>
      <c r="O20" s="58">
        <f t="shared" si="1"/>
        <v>0</v>
      </c>
      <c r="P20" s="39">
        <f t="shared" si="2"/>
        <v>10</v>
      </c>
      <c r="Q20" s="40">
        <f t="shared" si="3"/>
        <v>14</v>
      </c>
      <c r="R20" s="7"/>
      <c r="S20" s="6"/>
      <c r="T20" s="16"/>
      <c r="U20" s="16"/>
      <c r="V20" s="17">
        <v>14</v>
      </c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0.41666666666666669</v>
      </c>
      <c r="AD20" s="10">
        <f t="shared" si="6"/>
        <v>0.41666666666666669</v>
      </c>
      <c r="AE20" s="36">
        <f t="shared" si="7"/>
        <v>0.19531249999999997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540</v>
      </c>
      <c r="F21" s="12" t="s">
        <v>114</v>
      </c>
      <c r="G21" s="12">
        <v>3</v>
      </c>
      <c r="H21" s="35">
        <v>20</v>
      </c>
      <c r="I21" s="7">
        <v>100000</v>
      </c>
      <c r="J21" s="14">
        <v>23163</v>
      </c>
      <c r="K21" s="15">
        <f>L21+30675</f>
        <v>53838</v>
      </c>
      <c r="L21" s="15">
        <f>7721*3</f>
        <v>23163</v>
      </c>
      <c r="M21" s="15">
        <f t="shared" si="0"/>
        <v>23163</v>
      </c>
      <c r="N21" s="15">
        <v>0</v>
      </c>
      <c r="O21" s="58">
        <f t="shared" si="1"/>
        <v>0</v>
      </c>
      <c r="P21" s="39">
        <f t="shared" si="2"/>
        <v>10</v>
      </c>
      <c r="Q21" s="40">
        <f t="shared" si="3"/>
        <v>14</v>
      </c>
      <c r="R21" s="7"/>
      <c r="S21" s="6"/>
      <c r="T21" s="16"/>
      <c r="U21" s="16"/>
      <c r="V21" s="17">
        <v>14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0.41666666666666669</v>
      </c>
      <c r="AD21" s="10">
        <f t="shared" si="6"/>
        <v>0.41666666666666669</v>
      </c>
      <c r="AE21" s="36">
        <f t="shared" si="7"/>
        <v>0.19531249999999997</v>
      </c>
      <c r="AF21" s="84">
        <f t="shared" si="8"/>
        <v>16</v>
      </c>
    </row>
    <row r="22" spans="1:32" ht="31.5" customHeight="1" thickBot="1">
      <c r="A22" s="384" t="s">
        <v>34</v>
      </c>
      <c r="B22" s="385"/>
      <c r="C22" s="385"/>
      <c r="D22" s="385"/>
      <c r="E22" s="385"/>
      <c r="F22" s="385"/>
      <c r="G22" s="385"/>
      <c r="H22" s="386"/>
      <c r="I22" s="22">
        <f t="shared" ref="I22:N22" si="9">SUM(I6:I21)</f>
        <v>468800</v>
      </c>
      <c r="J22" s="19">
        <f t="shared" si="9"/>
        <v>191529</v>
      </c>
      <c r="K22" s="20">
        <f t="shared" si="9"/>
        <v>402997</v>
      </c>
      <c r="L22" s="21">
        <f t="shared" si="9"/>
        <v>37261</v>
      </c>
      <c r="M22" s="20">
        <f t="shared" si="9"/>
        <v>37261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75</v>
      </c>
      <c r="Q22" s="43">
        <f t="shared" si="10"/>
        <v>309</v>
      </c>
      <c r="R22" s="23">
        <f t="shared" si="10"/>
        <v>24</v>
      </c>
      <c r="S22" s="24">
        <f t="shared" si="10"/>
        <v>4</v>
      </c>
      <c r="T22" s="24">
        <f t="shared" si="10"/>
        <v>1</v>
      </c>
      <c r="U22" s="24">
        <f t="shared" si="10"/>
        <v>0</v>
      </c>
      <c r="V22" s="25">
        <f t="shared" si="10"/>
        <v>112</v>
      </c>
      <c r="W22" s="26">
        <f t="shared" si="10"/>
        <v>72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96</v>
      </c>
      <c r="AB22" s="28">
        <f>AVERAGE(AB6:AB21)</f>
        <v>0.5</v>
      </c>
      <c r="AC22" s="4">
        <f>AVERAGE(AC6:AC21)</f>
        <v>0.19531249999999997</v>
      </c>
      <c r="AD22" s="4">
        <f>AVERAGE(AD6:AD21)</f>
        <v>0.19531249999999997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387" t="s">
        <v>45</v>
      </c>
      <c r="B49" s="387"/>
      <c r="C49" s="387"/>
      <c r="D49" s="387"/>
      <c r="E49" s="38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388" t="s">
        <v>561</v>
      </c>
      <c r="B50" s="389"/>
      <c r="C50" s="389"/>
      <c r="D50" s="389"/>
      <c r="E50" s="389"/>
      <c r="F50" s="389"/>
      <c r="G50" s="389"/>
      <c r="H50" s="389"/>
      <c r="I50" s="389"/>
      <c r="J50" s="389"/>
      <c r="K50" s="389"/>
      <c r="L50" s="389"/>
      <c r="M50" s="390"/>
      <c r="N50" s="391" t="s">
        <v>562</v>
      </c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  <c r="AA50" s="392"/>
      <c r="AB50" s="392"/>
      <c r="AC50" s="392"/>
      <c r="AD50" s="393"/>
    </row>
    <row r="51" spans="1:32" ht="27" customHeight="1">
      <c r="A51" s="394" t="s">
        <v>2</v>
      </c>
      <c r="B51" s="395"/>
      <c r="C51" s="345" t="s">
        <v>46</v>
      </c>
      <c r="D51" s="345" t="s">
        <v>47</v>
      </c>
      <c r="E51" s="345" t="s">
        <v>107</v>
      </c>
      <c r="F51" s="396" t="s">
        <v>106</v>
      </c>
      <c r="G51" s="397"/>
      <c r="H51" s="397"/>
      <c r="I51" s="397"/>
      <c r="J51" s="397"/>
      <c r="K51" s="397"/>
      <c r="L51" s="397"/>
      <c r="M51" s="398"/>
      <c r="N51" s="67" t="s">
        <v>110</v>
      </c>
      <c r="O51" s="345" t="s">
        <v>46</v>
      </c>
      <c r="P51" s="396" t="s">
        <v>47</v>
      </c>
      <c r="Q51" s="399"/>
      <c r="R51" s="396" t="s">
        <v>38</v>
      </c>
      <c r="S51" s="397"/>
      <c r="T51" s="397"/>
      <c r="U51" s="399"/>
      <c r="V51" s="396" t="s">
        <v>48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420" t="s">
        <v>118</v>
      </c>
      <c r="B52" s="421"/>
      <c r="C52" s="348" t="s">
        <v>137</v>
      </c>
      <c r="D52" s="348" t="s">
        <v>195</v>
      </c>
      <c r="E52" s="348" t="s">
        <v>238</v>
      </c>
      <c r="F52" s="412" t="s">
        <v>130</v>
      </c>
      <c r="G52" s="413"/>
      <c r="H52" s="413"/>
      <c r="I52" s="413"/>
      <c r="J52" s="413"/>
      <c r="K52" s="413"/>
      <c r="L52" s="413"/>
      <c r="M52" s="414"/>
      <c r="N52" s="347" t="s">
        <v>112</v>
      </c>
      <c r="O52" s="353" t="s">
        <v>145</v>
      </c>
      <c r="P52" s="415" t="s">
        <v>564</v>
      </c>
      <c r="Q52" s="416"/>
      <c r="R52" s="415" t="s">
        <v>563</v>
      </c>
      <c r="S52" s="417"/>
      <c r="T52" s="417"/>
      <c r="U52" s="416"/>
      <c r="V52" s="418" t="s">
        <v>130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10" t="s">
        <v>121</v>
      </c>
      <c r="B53" s="411"/>
      <c r="C53" s="346" t="s">
        <v>136</v>
      </c>
      <c r="D53" s="346"/>
      <c r="E53" s="348" t="s">
        <v>503</v>
      </c>
      <c r="F53" s="412" t="s">
        <v>126</v>
      </c>
      <c r="G53" s="413"/>
      <c r="H53" s="413"/>
      <c r="I53" s="413"/>
      <c r="J53" s="413"/>
      <c r="K53" s="413"/>
      <c r="L53" s="413"/>
      <c r="M53" s="414"/>
      <c r="N53" s="347" t="s">
        <v>118</v>
      </c>
      <c r="O53" s="353" t="s">
        <v>184</v>
      </c>
      <c r="P53" s="415" t="s">
        <v>565</v>
      </c>
      <c r="Q53" s="416"/>
      <c r="R53" s="415" t="s">
        <v>566</v>
      </c>
      <c r="S53" s="417"/>
      <c r="T53" s="417"/>
      <c r="U53" s="416"/>
      <c r="V53" s="418" t="s">
        <v>130</v>
      </c>
      <c r="W53" s="418"/>
      <c r="X53" s="418"/>
      <c r="Y53" s="418"/>
      <c r="Z53" s="418"/>
      <c r="AA53" s="418"/>
      <c r="AB53" s="418"/>
      <c r="AC53" s="418"/>
      <c r="AD53" s="419"/>
    </row>
    <row r="54" spans="1:32" ht="27" customHeight="1">
      <c r="A54" s="420" t="s">
        <v>119</v>
      </c>
      <c r="B54" s="421"/>
      <c r="C54" s="348" t="s">
        <v>335</v>
      </c>
      <c r="D54" s="348" t="s">
        <v>545</v>
      </c>
      <c r="E54" s="348" t="s">
        <v>546</v>
      </c>
      <c r="F54" s="412" t="s">
        <v>130</v>
      </c>
      <c r="G54" s="413"/>
      <c r="H54" s="413"/>
      <c r="I54" s="413"/>
      <c r="J54" s="413"/>
      <c r="K54" s="413"/>
      <c r="L54" s="413"/>
      <c r="M54" s="414"/>
      <c r="N54" s="347"/>
      <c r="O54" s="353"/>
      <c r="P54" s="415"/>
      <c r="Q54" s="416"/>
      <c r="R54" s="415"/>
      <c r="S54" s="417"/>
      <c r="T54" s="417"/>
      <c r="U54" s="416"/>
      <c r="V54" s="418"/>
      <c r="W54" s="418"/>
      <c r="X54" s="418"/>
      <c r="Y54" s="418"/>
      <c r="Z54" s="418"/>
      <c r="AA54" s="418"/>
      <c r="AB54" s="418"/>
      <c r="AC54" s="418"/>
      <c r="AD54" s="419"/>
    </row>
    <row r="55" spans="1:32" ht="27" customHeight="1">
      <c r="A55" s="410" t="s">
        <v>112</v>
      </c>
      <c r="B55" s="411"/>
      <c r="C55" s="346" t="s">
        <v>135</v>
      </c>
      <c r="D55" s="346" t="s">
        <v>224</v>
      </c>
      <c r="E55" s="348" t="s">
        <v>539</v>
      </c>
      <c r="F55" s="412" t="s">
        <v>126</v>
      </c>
      <c r="G55" s="413"/>
      <c r="H55" s="413"/>
      <c r="I55" s="413"/>
      <c r="J55" s="413"/>
      <c r="K55" s="413"/>
      <c r="L55" s="413"/>
      <c r="M55" s="414"/>
      <c r="N55" s="347"/>
      <c r="O55" s="353"/>
      <c r="P55" s="415"/>
      <c r="Q55" s="416"/>
      <c r="R55" s="415"/>
      <c r="S55" s="417"/>
      <c r="T55" s="417"/>
      <c r="U55" s="416"/>
      <c r="V55" s="418"/>
      <c r="W55" s="418"/>
      <c r="X55" s="418"/>
      <c r="Y55" s="418"/>
      <c r="Z55" s="418"/>
      <c r="AA55" s="418"/>
      <c r="AB55" s="418"/>
      <c r="AC55" s="418"/>
      <c r="AD55" s="419"/>
    </row>
    <row r="56" spans="1:32" ht="27" customHeight="1">
      <c r="A56" s="410" t="s">
        <v>112</v>
      </c>
      <c r="B56" s="411"/>
      <c r="C56" s="346" t="s">
        <v>199</v>
      </c>
      <c r="D56" s="346" t="s">
        <v>115</v>
      </c>
      <c r="E56" s="348" t="s">
        <v>544</v>
      </c>
      <c r="F56" s="412" t="s">
        <v>130</v>
      </c>
      <c r="G56" s="413"/>
      <c r="H56" s="413"/>
      <c r="I56" s="413"/>
      <c r="J56" s="413"/>
      <c r="K56" s="413"/>
      <c r="L56" s="413"/>
      <c r="M56" s="414"/>
      <c r="N56" s="347"/>
      <c r="O56" s="353"/>
      <c r="P56" s="415"/>
      <c r="Q56" s="416"/>
      <c r="R56" s="415"/>
      <c r="S56" s="417"/>
      <c r="T56" s="417"/>
      <c r="U56" s="416"/>
      <c r="V56" s="418"/>
      <c r="W56" s="418"/>
      <c r="X56" s="418"/>
      <c r="Y56" s="418"/>
      <c r="Z56" s="418"/>
      <c r="AA56" s="418"/>
      <c r="AB56" s="418"/>
      <c r="AC56" s="418"/>
      <c r="AD56" s="419"/>
    </row>
    <row r="57" spans="1:32" ht="27" customHeight="1">
      <c r="A57" s="410"/>
      <c r="B57" s="411"/>
      <c r="C57" s="346"/>
      <c r="D57" s="346"/>
      <c r="E57" s="348"/>
      <c r="F57" s="412"/>
      <c r="G57" s="413"/>
      <c r="H57" s="413"/>
      <c r="I57" s="413"/>
      <c r="J57" s="413"/>
      <c r="K57" s="413"/>
      <c r="L57" s="413"/>
      <c r="M57" s="414"/>
      <c r="N57" s="347"/>
      <c r="O57" s="353"/>
      <c r="P57" s="415"/>
      <c r="Q57" s="416"/>
      <c r="R57" s="415"/>
      <c r="S57" s="417"/>
      <c r="T57" s="417"/>
      <c r="U57" s="416"/>
      <c r="V57" s="418"/>
      <c r="W57" s="418"/>
      <c r="X57" s="418"/>
      <c r="Y57" s="418"/>
      <c r="Z57" s="418"/>
      <c r="AA57" s="418"/>
      <c r="AB57" s="418"/>
      <c r="AC57" s="418"/>
      <c r="AD57" s="419"/>
    </row>
    <row r="58" spans="1:32" ht="27" customHeight="1">
      <c r="A58" s="410"/>
      <c r="B58" s="411"/>
      <c r="C58" s="346"/>
      <c r="D58" s="346"/>
      <c r="E58" s="348"/>
      <c r="F58" s="412"/>
      <c r="G58" s="413"/>
      <c r="H58" s="413"/>
      <c r="I58" s="413"/>
      <c r="J58" s="413"/>
      <c r="K58" s="413"/>
      <c r="L58" s="413"/>
      <c r="M58" s="414"/>
      <c r="N58" s="347"/>
      <c r="O58" s="353"/>
      <c r="P58" s="415"/>
      <c r="Q58" s="416"/>
      <c r="R58" s="415"/>
      <c r="S58" s="417"/>
      <c r="T58" s="417"/>
      <c r="U58" s="416"/>
      <c r="V58" s="418"/>
      <c r="W58" s="418"/>
      <c r="X58" s="418"/>
      <c r="Y58" s="418"/>
      <c r="Z58" s="418"/>
      <c r="AA58" s="418"/>
      <c r="AB58" s="418"/>
      <c r="AC58" s="418"/>
      <c r="AD58" s="419"/>
    </row>
    <row r="59" spans="1:32" ht="27" customHeight="1">
      <c r="A59" s="420"/>
      <c r="B59" s="421"/>
      <c r="C59" s="348"/>
      <c r="D59" s="348"/>
      <c r="E59" s="348"/>
      <c r="F59" s="412"/>
      <c r="G59" s="413"/>
      <c r="H59" s="413"/>
      <c r="I59" s="413"/>
      <c r="J59" s="413"/>
      <c r="K59" s="413"/>
      <c r="L59" s="413"/>
      <c r="M59" s="414"/>
      <c r="N59" s="347"/>
      <c r="O59" s="353"/>
      <c r="P59" s="415"/>
      <c r="Q59" s="416"/>
      <c r="R59" s="421"/>
      <c r="S59" s="421"/>
      <c r="T59" s="421"/>
      <c r="U59" s="421"/>
      <c r="V59" s="418"/>
      <c r="W59" s="418"/>
      <c r="X59" s="418"/>
      <c r="Y59" s="418"/>
      <c r="Z59" s="418"/>
      <c r="AA59" s="418"/>
      <c r="AB59" s="418"/>
      <c r="AC59" s="418"/>
      <c r="AD59" s="419"/>
    </row>
    <row r="60" spans="1:32" ht="27" customHeight="1">
      <c r="A60" s="410"/>
      <c r="B60" s="411"/>
      <c r="C60" s="346"/>
      <c r="D60" s="346"/>
      <c r="E60" s="348"/>
      <c r="F60" s="412"/>
      <c r="G60" s="413"/>
      <c r="H60" s="413"/>
      <c r="I60" s="413"/>
      <c r="J60" s="413"/>
      <c r="K60" s="413"/>
      <c r="L60" s="413"/>
      <c r="M60" s="414"/>
      <c r="N60" s="347"/>
      <c r="O60" s="353"/>
      <c r="P60" s="421"/>
      <c r="Q60" s="421"/>
      <c r="R60" s="421"/>
      <c r="S60" s="421"/>
      <c r="T60" s="421"/>
      <c r="U60" s="421"/>
      <c r="V60" s="418"/>
      <c r="W60" s="418"/>
      <c r="X60" s="418"/>
      <c r="Y60" s="418"/>
      <c r="Z60" s="418"/>
      <c r="AA60" s="418"/>
      <c r="AB60" s="418"/>
      <c r="AC60" s="418"/>
      <c r="AD60" s="419"/>
      <c r="AF60" s="84">
        <f>8*3000</f>
        <v>24000</v>
      </c>
    </row>
    <row r="61" spans="1:32" ht="27" customHeight="1" thickBot="1">
      <c r="A61" s="422"/>
      <c r="B61" s="423"/>
      <c r="C61" s="349"/>
      <c r="D61" s="350"/>
      <c r="E61" s="350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30" t="s">
        <v>567</v>
      </c>
      <c r="B62" s="430"/>
      <c r="C62" s="430"/>
      <c r="D62" s="430"/>
      <c r="E62" s="43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31" t="s">
        <v>111</v>
      </c>
      <c r="B63" s="432"/>
      <c r="C63" s="351" t="s">
        <v>2</v>
      </c>
      <c r="D63" s="351" t="s">
        <v>37</v>
      </c>
      <c r="E63" s="351" t="s">
        <v>3</v>
      </c>
      <c r="F63" s="432" t="s">
        <v>109</v>
      </c>
      <c r="G63" s="432"/>
      <c r="H63" s="432"/>
      <c r="I63" s="432"/>
      <c r="J63" s="432"/>
      <c r="K63" s="432" t="s">
        <v>39</v>
      </c>
      <c r="L63" s="432"/>
      <c r="M63" s="351" t="s">
        <v>40</v>
      </c>
      <c r="N63" s="432" t="s">
        <v>41</v>
      </c>
      <c r="O63" s="432"/>
      <c r="P63" s="433" t="s">
        <v>42</v>
      </c>
      <c r="Q63" s="434"/>
      <c r="R63" s="433" t="s">
        <v>43</v>
      </c>
      <c r="S63" s="435"/>
      <c r="T63" s="435"/>
      <c r="U63" s="435"/>
      <c r="V63" s="435"/>
      <c r="W63" s="435"/>
      <c r="X63" s="435"/>
      <c r="Y63" s="435"/>
      <c r="Z63" s="435"/>
      <c r="AA63" s="434"/>
      <c r="AB63" s="432" t="s">
        <v>44</v>
      </c>
      <c r="AC63" s="432"/>
      <c r="AD63" s="436"/>
      <c r="AF63" s="84">
        <f>SUM(AF60:AF62)</f>
        <v>96000</v>
      </c>
    </row>
    <row r="64" spans="1:32" ht="25.5" customHeight="1">
      <c r="A64" s="437">
        <v>1</v>
      </c>
      <c r="B64" s="438"/>
      <c r="C64" s="104" t="s">
        <v>118</v>
      </c>
      <c r="D64" s="355"/>
      <c r="E64" s="352" t="s">
        <v>131</v>
      </c>
      <c r="F64" s="439" t="s">
        <v>548</v>
      </c>
      <c r="G64" s="440"/>
      <c r="H64" s="440"/>
      <c r="I64" s="440"/>
      <c r="J64" s="441"/>
      <c r="K64" s="442" t="s">
        <v>403</v>
      </c>
      <c r="L64" s="442"/>
      <c r="M64" s="51" t="s">
        <v>358</v>
      </c>
      <c r="N64" s="443" t="s">
        <v>255</v>
      </c>
      <c r="O64" s="443"/>
      <c r="P64" s="444">
        <v>150</v>
      </c>
      <c r="Q64" s="444"/>
      <c r="R64" s="418"/>
      <c r="S64" s="418"/>
      <c r="T64" s="418"/>
      <c r="U64" s="418"/>
      <c r="V64" s="418"/>
      <c r="W64" s="418"/>
      <c r="X64" s="418"/>
      <c r="Y64" s="418"/>
      <c r="Z64" s="418"/>
      <c r="AA64" s="418"/>
      <c r="AB64" s="442"/>
      <c r="AC64" s="442"/>
      <c r="AD64" s="445"/>
      <c r="AF64" s="50"/>
    </row>
    <row r="65" spans="1:32" ht="25.5" customHeight="1">
      <c r="A65" s="437">
        <v>2</v>
      </c>
      <c r="B65" s="438"/>
      <c r="C65" s="104" t="s">
        <v>118</v>
      </c>
      <c r="D65" s="355"/>
      <c r="E65" s="352" t="s">
        <v>131</v>
      </c>
      <c r="F65" s="439" t="s">
        <v>406</v>
      </c>
      <c r="G65" s="440"/>
      <c r="H65" s="440"/>
      <c r="I65" s="440"/>
      <c r="J65" s="441"/>
      <c r="K65" s="442" t="s">
        <v>568</v>
      </c>
      <c r="L65" s="442"/>
      <c r="M65" s="51" t="s">
        <v>474</v>
      </c>
      <c r="N65" s="443" t="s">
        <v>255</v>
      </c>
      <c r="O65" s="443"/>
      <c r="P65" s="444" t="s">
        <v>569</v>
      </c>
      <c r="Q65" s="444"/>
      <c r="R65" s="418"/>
      <c r="S65" s="418"/>
      <c r="T65" s="418"/>
      <c r="U65" s="418"/>
      <c r="V65" s="418"/>
      <c r="W65" s="418"/>
      <c r="X65" s="418"/>
      <c r="Y65" s="418"/>
      <c r="Z65" s="418"/>
      <c r="AA65" s="418"/>
      <c r="AB65" s="442"/>
      <c r="AC65" s="442"/>
      <c r="AD65" s="445"/>
      <c r="AF65" s="50"/>
    </row>
    <row r="66" spans="1:32" ht="25.5" customHeight="1">
      <c r="A66" s="437">
        <v>3</v>
      </c>
      <c r="B66" s="438"/>
      <c r="C66" s="104"/>
      <c r="D66" s="355"/>
      <c r="E66" s="352"/>
      <c r="F66" s="439"/>
      <c r="G66" s="440"/>
      <c r="H66" s="440"/>
      <c r="I66" s="440"/>
      <c r="J66" s="441"/>
      <c r="K66" s="442"/>
      <c r="L66" s="442"/>
      <c r="M66" s="51"/>
      <c r="N66" s="443"/>
      <c r="O66" s="443"/>
      <c r="P66" s="444"/>
      <c r="Q66" s="444"/>
      <c r="R66" s="418"/>
      <c r="S66" s="418"/>
      <c r="T66" s="418"/>
      <c r="U66" s="418"/>
      <c r="V66" s="418"/>
      <c r="W66" s="418"/>
      <c r="X66" s="418"/>
      <c r="Y66" s="418"/>
      <c r="Z66" s="418"/>
      <c r="AA66" s="418"/>
      <c r="AB66" s="442"/>
      <c r="AC66" s="442"/>
      <c r="AD66" s="445"/>
      <c r="AF66" s="50"/>
    </row>
    <row r="67" spans="1:32" ht="25.5" customHeight="1">
      <c r="A67" s="437">
        <v>4</v>
      </c>
      <c r="B67" s="438"/>
      <c r="C67" s="104"/>
      <c r="D67" s="355"/>
      <c r="E67" s="352"/>
      <c r="F67" s="439"/>
      <c r="G67" s="440"/>
      <c r="H67" s="440"/>
      <c r="I67" s="440"/>
      <c r="J67" s="441"/>
      <c r="K67" s="442"/>
      <c r="L67" s="442"/>
      <c r="M67" s="51"/>
      <c r="N67" s="443"/>
      <c r="O67" s="443"/>
      <c r="P67" s="444"/>
      <c r="Q67" s="444"/>
      <c r="R67" s="418"/>
      <c r="S67" s="418"/>
      <c r="T67" s="418"/>
      <c r="U67" s="418"/>
      <c r="V67" s="418"/>
      <c r="W67" s="418"/>
      <c r="X67" s="418"/>
      <c r="Y67" s="418"/>
      <c r="Z67" s="418"/>
      <c r="AA67" s="418"/>
      <c r="AB67" s="442"/>
      <c r="AC67" s="442"/>
      <c r="AD67" s="445"/>
      <c r="AF67" s="50"/>
    </row>
    <row r="68" spans="1:32" ht="25.5" customHeight="1">
      <c r="A68" s="437">
        <v>5</v>
      </c>
      <c r="B68" s="438"/>
      <c r="C68" s="104"/>
      <c r="D68" s="355"/>
      <c r="E68" s="352"/>
      <c r="F68" s="439"/>
      <c r="G68" s="440"/>
      <c r="H68" s="440"/>
      <c r="I68" s="440"/>
      <c r="J68" s="441"/>
      <c r="K68" s="442"/>
      <c r="L68" s="442"/>
      <c r="M68" s="51"/>
      <c r="N68" s="443"/>
      <c r="O68" s="443"/>
      <c r="P68" s="444"/>
      <c r="Q68" s="444"/>
      <c r="R68" s="418"/>
      <c r="S68" s="418"/>
      <c r="T68" s="418"/>
      <c r="U68" s="418"/>
      <c r="V68" s="418"/>
      <c r="W68" s="418"/>
      <c r="X68" s="418"/>
      <c r="Y68" s="418"/>
      <c r="Z68" s="418"/>
      <c r="AA68" s="418"/>
      <c r="AB68" s="442"/>
      <c r="AC68" s="442"/>
      <c r="AD68" s="445"/>
      <c r="AF68" s="50"/>
    </row>
    <row r="69" spans="1:32" ht="25.5" customHeight="1">
      <c r="A69" s="437">
        <v>6</v>
      </c>
      <c r="B69" s="438"/>
      <c r="C69" s="104"/>
      <c r="D69" s="355"/>
      <c r="E69" s="352"/>
      <c r="F69" s="439"/>
      <c r="G69" s="440"/>
      <c r="H69" s="440"/>
      <c r="I69" s="440"/>
      <c r="J69" s="441"/>
      <c r="K69" s="442"/>
      <c r="L69" s="442"/>
      <c r="M69" s="51"/>
      <c r="N69" s="443"/>
      <c r="O69" s="443"/>
      <c r="P69" s="444"/>
      <c r="Q69" s="444"/>
      <c r="R69" s="418"/>
      <c r="S69" s="418"/>
      <c r="T69" s="418"/>
      <c r="U69" s="418"/>
      <c r="V69" s="418"/>
      <c r="W69" s="418"/>
      <c r="X69" s="418"/>
      <c r="Y69" s="418"/>
      <c r="Z69" s="418"/>
      <c r="AA69" s="418"/>
      <c r="AB69" s="442"/>
      <c r="AC69" s="442"/>
      <c r="AD69" s="445"/>
      <c r="AF69" s="50"/>
    </row>
    <row r="70" spans="1:32" ht="25.5" customHeight="1">
      <c r="A70" s="437">
        <v>7</v>
      </c>
      <c r="B70" s="438"/>
      <c r="C70" s="104"/>
      <c r="D70" s="355"/>
      <c r="E70" s="352"/>
      <c r="F70" s="439"/>
      <c r="G70" s="440"/>
      <c r="H70" s="440"/>
      <c r="I70" s="440"/>
      <c r="J70" s="441"/>
      <c r="K70" s="442"/>
      <c r="L70" s="442"/>
      <c r="M70" s="51"/>
      <c r="N70" s="443"/>
      <c r="O70" s="443"/>
      <c r="P70" s="444"/>
      <c r="Q70" s="444"/>
      <c r="R70" s="418"/>
      <c r="S70" s="418"/>
      <c r="T70" s="418"/>
      <c r="U70" s="418"/>
      <c r="V70" s="418"/>
      <c r="W70" s="418"/>
      <c r="X70" s="418"/>
      <c r="Y70" s="418"/>
      <c r="Z70" s="418"/>
      <c r="AA70" s="418"/>
      <c r="AB70" s="442"/>
      <c r="AC70" s="442"/>
      <c r="AD70" s="445"/>
      <c r="AF70" s="50"/>
    </row>
    <row r="71" spans="1:32" ht="25.5" customHeight="1">
      <c r="A71" s="437">
        <v>8</v>
      </c>
      <c r="B71" s="438"/>
      <c r="C71" s="104"/>
      <c r="D71" s="355"/>
      <c r="E71" s="352"/>
      <c r="F71" s="447"/>
      <c r="G71" s="442"/>
      <c r="H71" s="442"/>
      <c r="I71" s="442"/>
      <c r="J71" s="442"/>
      <c r="K71" s="442"/>
      <c r="L71" s="442"/>
      <c r="M71" s="51"/>
      <c r="N71" s="443"/>
      <c r="O71" s="443"/>
      <c r="P71" s="444"/>
      <c r="Q71" s="444"/>
      <c r="R71" s="418"/>
      <c r="S71" s="418"/>
      <c r="T71" s="418"/>
      <c r="U71" s="418"/>
      <c r="V71" s="418"/>
      <c r="W71" s="418"/>
      <c r="X71" s="418"/>
      <c r="Y71" s="418"/>
      <c r="Z71" s="418"/>
      <c r="AA71" s="418"/>
      <c r="AB71" s="442"/>
      <c r="AC71" s="442"/>
      <c r="AD71" s="445"/>
      <c r="AF71" s="50"/>
    </row>
    <row r="72" spans="1:32" ht="25.5" customHeight="1">
      <c r="A72" s="437">
        <v>9</v>
      </c>
      <c r="B72" s="438"/>
      <c r="C72" s="104"/>
      <c r="D72" s="355"/>
      <c r="E72" s="352"/>
      <c r="F72" s="447"/>
      <c r="G72" s="442"/>
      <c r="H72" s="442"/>
      <c r="I72" s="442"/>
      <c r="J72" s="442"/>
      <c r="K72" s="442"/>
      <c r="L72" s="442"/>
      <c r="M72" s="51"/>
      <c r="N72" s="443"/>
      <c r="O72" s="443"/>
      <c r="P72" s="444"/>
      <c r="Q72" s="444"/>
      <c r="R72" s="418"/>
      <c r="S72" s="418"/>
      <c r="T72" s="418"/>
      <c r="U72" s="418"/>
      <c r="V72" s="418"/>
      <c r="W72" s="418"/>
      <c r="X72" s="418"/>
      <c r="Y72" s="418"/>
      <c r="Z72" s="418"/>
      <c r="AA72" s="418"/>
      <c r="AB72" s="442"/>
      <c r="AC72" s="442"/>
      <c r="AD72" s="445"/>
      <c r="AF72" s="50"/>
    </row>
    <row r="73" spans="1:32" ht="25.5" customHeight="1">
      <c r="A73" s="437">
        <v>10</v>
      </c>
      <c r="B73" s="438"/>
      <c r="C73" s="104"/>
      <c r="D73" s="355"/>
      <c r="E73" s="352"/>
      <c r="F73" s="447"/>
      <c r="G73" s="442"/>
      <c r="H73" s="442"/>
      <c r="I73" s="442"/>
      <c r="J73" s="442"/>
      <c r="K73" s="442"/>
      <c r="L73" s="442"/>
      <c r="M73" s="51"/>
      <c r="N73" s="443"/>
      <c r="O73" s="443"/>
      <c r="P73" s="444"/>
      <c r="Q73" s="444"/>
      <c r="R73" s="418"/>
      <c r="S73" s="418"/>
      <c r="T73" s="418"/>
      <c r="U73" s="418"/>
      <c r="V73" s="418"/>
      <c r="W73" s="418"/>
      <c r="X73" s="418"/>
      <c r="Y73" s="418"/>
      <c r="Z73" s="418"/>
      <c r="AA73" s="418"/>
      <c r="AB73" s="442"/>
      <c r="AC73" s="442"/>
      <c r="AD73" s="445"/>
      <c r="AF73" s="50"/>
    </row>
    <row r="74" spans="1:32" ht="26.25" customHeight="1" thickBot="1">
      <c r="A74" s="448" t="s">
        <v>570</v>
      </c>
      <c r="B74" s="448"/>
      <c r="C74" s="448"/>
      <c r="D74" s="448"/>
      <c r="E74" s="44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49" t="s">
        <v>134</v>
      </c>
      <c r="B75" s="450"/>
      <c r="C75" s="354" t="s">
        <v>2</v>
      </c>
      <c r="D75" s="354" t="s">
        <v>37</v>
      </c>
      <c r="E75" s="354" t="s">
        <v>128</v>
      </c>
      <c r="F75" s="450" t="s">
        <v>38</v>
      </c>
      <c r="G75" s="450"/>
      <c r="H75" s="450"/>
      <c r="I75" s="450"/>
      <c r="J75" s="450"/>
      <c r="K75" s="451" t="s">
        <v>58</v>
      </c>
      <c r="L75" s="452"/>
      <c r="M75" s="452"/>
      <c r="N75" s="452"/>
      <c r="O75" s="452"/>
      <c r="P75" s="452"/>
      <c r="Q75" s="452"/>
      <c r="R75" s="452"/>
      <c r="S75" s="453"/>
      <c r="T75" s="450" t="s">
        <v>49</v>
      </c>
      <c r="U75" s="450"/>
      <c r="V75" s="451" t="s">
        <v>50</v>
      </c>
      <c r="W75" s="453"/>
      <c r="X75" s="452" t="s">
        <v>51</v>
      </c>
      <c r="Y75" s="452"/>
      <c r="Z75" s="452"/>
      <c r="AA75" s="452"/>
      <c r="AB75" s="452"/>
      <c r="AC75" s="452"/>
      <c r="AD75" s="454"/>
      <c r="AF75" s="50"/>
    </row>
    <row r="76" spans="1:32" ht="33.75" customHeight="1">
      <c r="A76" s="463">
        <v>1</v>
      </c>
      <c r="B76" s="464"/>
      <c r="C76" s="356" t="s">
        <v>112</v>
      </c>
      <c r="D76" s="356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44118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55">
        <f>A76+1</f>
        <v>2</v>
      </c>
      <c r="B77" s="456"/>
      <c r="C77" s="355"/>
      <c r="D77" s="355"/>
      <c r="E77" s="32"/>
      <c r="F77" s="456"/>
      <c r="G77" s="456"/>
      <c r="H77" s="456"/>
      <c r="I77" s="456"/>
      <c r="J77" s="456"/>
      <c r="K77" s="457"/>
      <c r="L77" s="458"/>
      <c r="M77" s="458"/>
      <c r="N77" s="458"/>
      <c r="O77" s="458"/>
      <c r="P77" s="458"/>
      <c r="Q77" s="458"/>
      <c r="R77" s="458"/>
      <c r="S77" s="459"/>
      <c r="T77" s="460"/>
      <c r="U77" s="460"/>
      <c r="V77" s="460"/>
      <c r="W77" s="460"/>
      <c r="X77" s="461"/>
      <c r="Y77" s="461"/>
      <c r="Z77" s="461"/>
      <c r="AA77" s="461"/>
      <c r="AB77" s="461"/>
      <c r="AC77" s="461"/>
      <c r="AD77" s="462"/>
      <c r="AF77" s="50"/>
    </row>
    <row r="78" spans="1:32" ht="30" customHeight="1">
      <c r="A78" s="455">
        <f t="shared" ref="A78:A82" si="11">A77+1</f>
        <v>3</v>
      </c>
      <c r="B78" s="456"/>
      <c r="C78" s="355"/>
      <c r="D78" s="355"/>
      <c r="E78" s="32"/>
      <c r="F78" s="456"/>
      <c r="G78" s="456"/>
      <c r="H78" s="456"/>
      <c r="I78" s="456"/>
      <c r="J78" s="456"/>
      <c r="K78" s="457"/>
      <c r="L78" s="458"/>
      <c r="M78" s="458"/>
      <c r="N78" s="458"/>
      <c r="O78" s="458"/>
      <c r="P78" s="458"/>
      <c r="Q78" s="458"/>
      <c r="R78" s="458"/>
      <c r="S78" s="459"/>
      <c r="T78" s="460"/>
      <c r="U78" s="460"/>
      <c r="V78" s="460"/>
      <c r="W78" s="460"/>
      <c r="X78" s="461"/>
      <c r="Y78" s="461"/>
      <c r="Z78" s="461"/>
      <c r="AA78" s="461"/>
      <c r="AB78" s="461"/>
      <c r="AC78" s="461"/>
      <c r="AD78" s="462"/>
      <c r="AF78" s="50"/>
    </row>
    <row r="79" spans="1:32" ht="30" customHeight="1">
      <c r="A79" s="455">
        <f t="shared" si="11"/>
        <v>4</v>
      </c>
      <c r="B79" s="456"/>
      <c r="C79" s="355"/>
      <c r="D79" s="355"/>
      <c r="E79" s="32"/>
      <c r="F79" s="456"/>
      <c r="G79" s="456"/>
      <c r="H79" s="456"/>
      <c r="I79" s="456"/>
      <c r="J79" s="456"/>
      <c r="K79" s="457"/>
      <c r="L79" s="458"/>
      <c r="M79" s="458"/>
      <c r="N79" s="458"/>
      <c r="O79" s="458"/>
      <c r="P79" s="458"/>
      <c r="Q79" s="458"/>
      <c r="R79" s="458"/>
      <c r="S79" s="459"/>
      <c r="T79" s="460"/>
      <c r="U79" s="460"/>
      <c r="V79" s="460"/>
      <c r="W79" s="460"/>
      <c r="X79" s="461"/>
      <c r="Y79" s="461"/>
      <c r="Z79" s="461"/>
      <c r="AA79" s="461"/>
      <c r="AB79" s="461"/>
      <c r="AC79" s="461"/>
      <c r="AD79" s="462"/>
      <c r="AF79" s="50"/>
    </row>
    <row r="80" spans="1:32" ht="30" customHeight="1">
      <c r="A80" s="455">
        <f t="shared" si="11"/>
        <v>5</v>
      </c>
      <c r="B80" s="456"/>
      <c r="C80" s="355"/>
      <c r="D80" s="355"/>
      <c r="E80" s="32"/>
      <c r="F80" s="456"/>
      <c r="G80" s="456"/>
      <c r="H80" s="456"/>
      <c r="I80" s="456"/>
      <c r="J80" s="456"/>
      <c r="K80" s="457"/>
      <c r="L80" s="458"/>
      <c r="M80" s="458"/>
      <c r="N80" s="458"/>
      <c r="O80" s="458"/>
      <c r="P80" s="458"/>
      <c r="Q80" s="458"/>
      <c r="R80" s="458"/>
      <c r="S80" s="459"/>
      <c r="T80" s="460"/>
      <c r="U80" s="460"/>
      <c r="V80" s="460"/>
      <c r="W80" s="460"/>
      <c r="X80" s="461"/>
      <c r="Y80" s="461"/>
      <c r="Z80" s="461"/>
      <c r="AA80" s="461"/>
      <c r="AB80" s="461"/>
      <c r="AC80" s="461"/>
      <c r="AD80" s="462"/>
      <c r="AF80" s="50"/>
    </row>
    <row r="81" spans="1:32" ht="30" customHeight="1">
      <c r="A81" s="455">
        <f t="shared" si="11"/>
        <v>6</v>
      </c>
      <c r="B81" s="456"/>
      <c r="C81" s="355"/>
      <c r="D81" s="355"/>
      <c r="E81" s="32"/>
      <c r="F81" s="456"/>
      <c r="G81" s="456"/>
      <c r="H81" s="456"/>
      <c r="I81" s="456"/>
      <c r="J81" s="456"/>
      <c r="K81" s="457"/>
      <c r="L81" s="458"/>
      <c r="M81" s="458"/>
      <c r="N81" s="458"/>
      <c r="O81" s="458"/>
      <c r="P81" s="458"/>
      <c r="Q81" s="458"/>
      <c r="R81" s="458"/>
      <c r="S81" s="459"/>
      <c r="T81" s="460"/>
      <c r="U81" s="460"/>
      <c r="V81" s="460"/>
      <c r="W81" s="460"/>
      <c r="X81" s="461"/>
      <c r="Y81" s="461"/>
      <c r="Z81" s="461"/>
      <c r="AA81" s="461"/>
      <c r="AB81" s="461"/>
      <c r="AC81" s="461"/>
      <c r="AD81" s="462"/>
      <c r="AF81" s="50"/>
    </row>
    <row r="82" spans="1:32" ht="30" customHeight="1">
      <c r="A82" s="455">
        <f t="shared" si="11"/>
        <v>7</v>
      </c>
      <c r="B82" s="456"/>
      <c r="C82" s="355"/>
      <c r="D82" s="355"/>
      <c r="E82" s="32"/>
      <c r="F82" s="456"/>
      <c r="G82" s="456"/>
      <c r="H82" s="456"/>
      <c r="I82" s="456"/>
      <c r="J82" s="456"/>
      <c r="K82" s="457"/>
      <c r="L82" s="458"/>
      <c r="M82" s="458"/>
      <c r="N82" s="458"/>
      <c r="O82" s="458"/>
      <c r="P82" s="458"/>
      <c r="Q82" s="458"/>
      <c r="R82" s="458"/>
      <c r="S82" s="459"/>
      <c r="T82" s="460"/>
      <c r="U82" s="460"/>
      <c r="V82" s="460"/>
      <c r="W82" s="460"/>
      <c r="X82" s="461"/>
      <c r="Y82" s="461"/>
      <c r="Z82" s="461"/>
      <c r="AA82" s="461"/>
      <c r="AB82" s="461"/>
      <c r="AC82" s="461"/>
      <c r="AD82" s="462"/>
      <c r="AF82" s="50"/>
    </row>
    <row r="83" spans="1:32" ht="36" thickBot="1">
      <c r="A83" s="448" t="s">
        <v>571</v>
      </c>
      <c r="B83" s="448"/>
      <c r="C83" s="448"/>
      <c r="D83" s="448"/>
      <c r="E83" s="44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49" t="s">
        <v>111</v>
      </c>
      <c r="B84" s="450"/>
      <c r="C84" s="476" t="s">
        <v>52</v>
      </c>
      <c r="D84" s="476"/>
      <c r="E84" s="476" t="s">
        <v>53</v>
      </c>
      <c r="F84" s="476"/>
      <c r="G84" s="476"/>
      <c r="H84" s="476"/>
      <c r="I84" s="476"/>
      <c r="J84" s="476"/>
      <c r="K84" s="476" t="s">
        <v>54</v>
      </c>
      <c r="L84" s="476"/>
      <c r="M84" s="476"/>
      <c r="N84" s="476"/>
      <c r="O84" s="476"/>
      <c r="P84" s="476"/>
      <c r="Q84" s="476"/>
      <c r="R84" s="476"/>
      <c r="S84" s="476"/>
      <c r="T84" s="476" t="s">
        <v>55</v>
      </c>
      <c r="U84" s="476"/>
      <c r="V84" s="476" t="s">
        <v>56</v>
      </c>
      <c r="W84" s="476"/>
      <c r="X84" s="476"/>
      <c r="Y84" s="476" t="s">
        <v>51</v>
      </c>
      <c r="Z84" s="476"/>
      <c r="AA84" s="476"/>
      <c r="AB84" s="476"/>
      <c r="AC84" s="476"/>
      <c r="AD84" s="477"/>
      <c r="AF84" s="50"/>
    </row>
    <row r="85" spans="1:32" ht="30.75" customHeight="1">
      <c r="A85" s="463">
        <v>1</v>
      </c>
      <c r="B85" s="464"/>
      <c r="C85" s="478"/>
      <c r="D85" s="478"/>
      <c r="E85" s="478"/>
      <c r="F85" s="478"/>
      <c r="G85" s="478"/>
      <c r="H85" s="478"/>
      <c r="I85" s="478"/>
      <c r="J85" s="478"/>
      <c r="K85" s="478"/>
      <c r="L85" s="478"/>
      <c r="M85" s="478"/>
      <c r="N85" s="478"/>
      <c r="O85" s="478"/>
      <c r="P85" s="478"/>
      <c r="Q85" s="478"/>
      <c r="R85" s="478"/>
      <c r="S85" s="478"/>
      <c r="T85" s="478"/>
      <c r="U85" s="478"/>
      <c r="V85" s="479"/>
      <c r="W85" s="479"/>
      <c r="X85" s="479"/>
      <c r="Y85" s="480"/>
      <c r="Z85" s="480"/>
      <c r="AA85" s="480"/>
      <c r="AB85" s="480"/>
      <c r="AC85" s="480"/>
      <c r="AD85" s="481"/>
      <c r="AF85" s="50"/>
    </row>
    <row r="86" spans="1:32" ht="30.75" customHeight="1">
      <c r="A86" s="455">
        <v>2</v>
      </c>
      <c r="B86" s="456"/>
      <c r="C86" s="489"/>
      <c r="D86" s="489"/>
      <c r="E86" s="489"/>
      <c r="F86" s="489"/>
      <c r="G86" s="489"/>
      <c r="H86" s="489"/>
      <c r="I86" s="489"/>
      <c r="J86" s="489"/>
      <c r="K86" s="489"/>
      <c r="L86" s="489"/>
      <c r="M86" s="489"/>
      <c r="N86" s="489"/>
      <c r="O86" s="489"/>
      <c r="P86" s="489"/>
      <c r="Q86" s="489"/>
      <c r="R86" s="489"/>
      <c r="S86" s="489"/>
      <c r="T86" s="490"/>
      <c r="U86" s="490"/>
      <c r="V86" s="491"/>
      <c r="W86" s="491"/>
      <c r="X86" s="491"/>
      <c r="Y86" s="482"/>
      <c r="Z86" s="482"/>
      <c r="AA86" s="482"/>
      <c r="AB86" s="482"/>
      <c r="AC86" s="482"/>
      <c r="AD86" s="483"/>
      <c r="AF86" s="50"/>
    </row>
    <row r="87" spans="1:32" ht="30.75" customHeight="1" thickBot="1">
      <c r="A87" s="484">
        <v>3</v>
      </c>
      <c r="B87" s="485"/>
      <c r="C87" s="486"/>
      <c r="D87" s="486"/>
      <c r="E87" s="486"/>
      <c r="F87" s="486"/>
      <c r="G87" s="486"/>
      <c r="H87" s="486"/>
      <c r="I87" s="486"/>
      <c r="J87" s="486"/>
      <c r="K87" s="486"/>
      <c r="L87" s="486"/>
      <c r="M87" s="486"/>
      <c r="N87" s="486"/>
      <c r="O87" s="486"/>
      <c r="P87" s="486"/>
      <c r="Q87" s="486"/>
      <c r="R87" s="486"/>
      <c r="S87" s="486"/>
      <c r="T87" s="486"/>
      <c r="U87" s="486"/>
      <c r="V87" s="486"/>
      <c r="W87" s="486"/>
      <c r="X87" s="486"/>
      <c r="Y87" s="487"/>
      <c r="Z87" s="487"/>
      <c r="AA87" s="487"/>
      <c r="AB87" s="487"/>
      <c r="AC87" s="487"/>
      <c r="AD87" s="488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66AE-4068-4F08-921E-B18C11824F88}">
  <dimension ref="A1:AF87"/>
  <sheetViews>
    <sheetView tabSelected="1" view="pageBreakPreview" zoomScale="70" zoomScaleNormal="72" zoomScaleSheetLayoutView="70" workbookViewId="0">
      <selection activeCell="K80" sqref="K80:S8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370" t="s">
        <v>572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371"/>
      <c r="B3" s="371"/>
      <c r="C3" s="371"/>
      <c r="D3" s="371"/>
      <c r="E3" s="371"/>
      <c r="F3" s="371"/>
      <c r="G3" s="37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372" t="s">
        <v>0</v>
      </c>
      <c r="B4" s="374" t="s">
        <v>1</v>
      </c>
      <c r="C4" s="374" t="s">
        <v>2</v>
      </c>
      <c r="D4" s="377" t="s">
        <v>3</v>
      </c>
      <c r="E4" s="379" t="s">
        <v>4</v>
      </c>
      <c r="F4" s="377" t="s">
        <v>5</v>
      </c>
      <c r="G4" s="374" t="s">
        <v>6</v>
      </c>
      <c r="H4" s="380" t="s">
        <v>7</v>
      </c>
      <c r="I4" s="400" t="s">
        <v>8</v>
      </c>
      <c r="J4" s="401"/>
      <c r="K4" s="401"/>
      <c r="L4" s="401"/>
      <c r="M4" s="401"/>
      <c r="N4" s="401"/>
      <c r="O4" s="402"/>
      <c r="P4" s="403" t="s">
        <v>9</v>
      </c>
      <c r="Q4" s="404"/>
      <c r="R4" s="405" t="s">
        <v>10</v>
      </c>
      <c r="S4" s="405"/>
      <c r="T4" s="405"/>
      <c r="U4" s="405"/>
      <c r="V4" s="405"/>
      <c r="W4" s="406" t="s">
        <v>11</v>
      </c>
      <c r="X4" s="405"/>
      <c r="Y4" s="405"/>
      <c r="Z4" s="405"/>
      <c r="AA4" s="407"/>
      <c r="AB4" s="408" t="s">
        <v>12</v>
      </c>
      <c r="AC4" s="382" t="s">
        <v>13</v>
      </c>
      <c r="AD4" s="382" t="s">
        <v>14</v>
      </c>
      <c r="AE4" s="54"/>
    </row>
    <row r="5" spans="1:32" ht="51" customHeight="1" thickBot="1">
      <c r="A5" s="373"/>
      <c r="B5" s="375"/>
      <c r="C5" s="376"/>
      <c r="D5" s="378"/>
      <c r="E5" s="378"/>
      <c r="F5" s="378"/>
      <c r="G5" s="375"/>
      <c r="H5" s="381"/>
      <c r="I5" s="55" t="s">
        <v>15</v>
      </c>
      <c r="J5" s="56" t="s">
        <v>16</v>
      </c>
      <c r="K5" s="369" t="s">
        <v>17</v>
      </c>
      <c r="L5" s="369" t="s">
        <v>18</v>
      </c>
      <c r="M5" s="369" t="s">
        <v>19</v>
      </c>
      <c r="N5" s="36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09"/>
      <c r="AC5" s="383"/>
      <c r="AD5" s="383"/>
      <c r="AE5" s="54"/>
    </row>
    <row r="6" spans="1:32" ht="30" customHeight="1">
      <c r="A6" s="96">
        <v>1</v>
      </c>
      <c r="B6" s="11" t="s">
        <v>57</v>
      </c>
      <c r="C6" s="34" t="s">
        <v>118</v>
      </c>
      <c r="D6" s="52" t="s">
        <v>131</v>
      </c>
      <c r="E6" s="53" t="s">
        <v>406</v>
      </c>
      <c r="F6" s="30" t="s">
        <v>403</v>
      </c>
      <c r="G6" s="12">
        <v>1</v>
      </c>
      <c r="H6" s="13">
        <v>24</v>
      </c>
      <c r="I6" s="7">
        <v>8000</v>
      </c>
      <c r="J6" s="14">
        <v>14448</v>
      </c>
      <c r="K6" s="15">
        <f>L6</f>
        <v>14448</v>
      </c>
      <c r="L6" s="15">
        <f>1353*4+2259*4</f>
        <v>14448</v>
      </c>
      <c r="M6" s="15">
        <f t="shared" ref="M6:M21" si="0">L6-N6</f>
        <v>14448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18</v>
      </c>
      <c r="Q6" s="40">
        <f t="shared" ref="Q6:Q21" si="3">SUM(R6:AA6)</f>
        <v>6</v>
      </c>
      <c r="R6" s="7"/>
      <c r="S6" s="6">
        <v>4</v>
      </c>
      <c r="T6" s="16"/>
      <c r="U6" s="16"/>
      <c r="V6" s="17"/>
      <c r="W6" s="5">
        <v>2</v>
      </c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0.75</v>
      </c>
      <c r="AD6" s="10">
        <f t="shared" ref="AD6:AD21" si="6">AC6*AB6*(1-O6)</f>
        <v>0.75</v>
      </c>
      <c r="AE6" s="36">
        <f t="shared" ref="AE6:AE21" si="7">$AD$22</f>
        <v>0.546875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121</v>
      </c>
      <c r="D7" s="52" t="s">
        <v>125</v>
      </c>
      <c r="E7" s="53" t="s">
        <v>471</v>
      </c>
      <c r="F7" s="12" t="s">
        <v>138</v>
      </c>
      <c r="G7" s="12">
        <v>2</v>
      </c>
      <c r="H7" s="13">
        <v>24</v>
      </c>
      <c r="I7" s="31">
        <v>18000</v>
      </c>
      <c r="J7" s="14">
        <v>5180</v>
      </c>
      <c r="K7" s="15">
        <f>L7+7736+12588+5180</f>
        <v>25504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0.546875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121</v>
      </c>
      <c r="D8" s="52"/>
      <c r="E8" s="53" t="s">
        <v>321</v>
      </c>
      <c r="F8" s="30" t="s">
        <v>340</v>
      </c>
      <c r="G8" s="33">
        <v>1</v>
      </c>
      <c r="H8" s="35">
        <v>24</v>
      </c>
      <c r="I8" s="7">
        <v>50500</v>
      </c>
      <c r="J8" s="5">
        <v>5266</v>
      </c>
      <c r="K8" s="15">
        <f>L8+4349+2445+5035+5245+5660+1855+3016+5569+5311+5560+5494+2802+2448</f>
        <v>60055</v>
      </c>
      <c r="L8" s="15">
        <f>2826+2440</f>
        <v>5266</v>
      </c>
      <c r="M8" s="15">
        <f t="shared" si="0"/>
        <v>5266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0.546875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559</v>
      </c>
      <c r="E9" s="53" t="s">
        <v>238</v>
      </c>
      <c r="F9" s="30" t="s">
        <v>213</v>
      </c>
      <c r="G9" s="12">
        <v>1</v>
      </c>
      <c r="H9" s="13">
        <v>24</v>
      </c>
      <c r="I9" s="7">
        <v>50000</v>
      </c>
      <c r="J9" s="14">
        <v>4980</v>
      </c>
      <c r="K9" s="15">
        <f>L9+1962</f>
        <v>6942</v>
      </c>
      <c r="L9" s="15">
        <f>2701+2279</f>
        <v>4980</v>
      </c>
      <c r="M9" s="15">
        <f t="shared" si="0"/>
        <v>4980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0.546875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112</v>
      </c>
      <c r="D10" s="52" t="s">
        <v>147</v>
      </c>
      <c r="E10" s="53" t="s">
        <v>388</v>
      </c>
      <c r="F10" s="30" t="s">
        <v>127</v>
      </c>
      <c r="G10" s="33">
        <v>1</v>
      </c>
      <c r="H10" s="35">
        <v>24</v>
      </c>
      <c r="I10" s="7">
        <v>36000</v>
      </c>
      <c r="J10" s="14">
        <v>4876</v>
      </c>
      <c r="K10" s="15">
        <f>L10+3274+4039+5240+6353+6363+6007+6248+4876</f>
        <v>42400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0.546875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263</v>
      </c>
      <c r="E11" s="53" t="s">
        <v>264</v>
      </c>
      <c r="F11" s="30" t="s">
        <v>206</v>
      </c>
      <c r="G11" s="33">
        <v>16</v>
      </c>
      <c r="H11" s="35">
        <v>24</v>
      </c>
      <c r="I11" s="7">
        <v>100000</v>
      </c>
      <c r="J11" s="14">
        <v>67990</v>
      </c>
      <c r="K11" s="15">
        <f>L11+49500+67990</f>
        <v>117490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0.546875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220</v>
      </c>
      <c r="F12" s="30" t="s">
        <v>142</v>
      </c>
      <c r="G12" s="12">
        <v>1</v>
      </c>
      <c r="H12" s="13">
        <v>22</v>
      </c>
      <c r="I12" s="31">
        <v>23000</v>
      </c>
      <c r="J12" s="5">
        <v>5102</v>
      </c>
      <c r="K12" s="15">
        <f>L12+3727+2350</f>
        <v>11179</v>
      </c>
      <c r="L12" s="15">
        <f>2687+2415</f>
        <v>5102</v>
      </c>
      <c r="M12" s="15">
        <f t="shared" si="0"/>
        <v>5102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0.546875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121</v>
      </c>
      <c r="D13" s="52" t="s">
        <v>224</v>
      </c>
      <c r="E13" s="53" t="s">
        <v>503</v>
      </c>
      <c r="F13" s="30" t="s">
        <v>236</v>
      </c>
      <c r="G13" s="33">
        <v>1</v>
      </c>
      <c r="H13" s="35">
        <v>24</v>
      </c>
      <c r="I13" s="7">
        <v>18000</v>
      </c>
      <c r="J13" s="14">
        <v>1088</v>
      </c>
      <c r="K13" s="15">
        <f>L13+3678+1851+3101+1908</f>
        <v>11626</v>
      </c>
      <c r="L13" s="15">
        <v>1088</v>
      </c>
      <c r="M13" s="15">
        <f t="shared" si="0"/>
        <v>1088</v>
      </c>
      <c r="N13" s="15">
        <v>0</v>
      </c>
      <c r="O13" s="58">
        <f t="shared" si="1"/>
        <v>0</v>
      </c>
      <c r="P13" s="39">
        <f t="shared" si="2"/>
        <v>6</v>
      </c>
      <c r="Q13" s="40">
        <f t="shared" si="3"/>
        <v>18</v>
      </c>
      <c r="R13" s="7"/>
      <c r="S13" s="6">
        <v>18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0.25</v>
      </c>
      <c r="AD13" s="10">
        <f t="shared" si="6"/>
        <v>0.25</v>
      </c>
      <c r="AE13" s="36">
        <f t="shared" si="7"/>
        <v>0.546875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153</v>
      </c>
      <c r="F14" s="30" t="s">
        <v>144</v>
      </c>
      <c r="G14" s="33">
        <v>1</v>
      </c>
      <c r="H14" s="35">
        <v>50</v>
      </c>
      <c r="I14" s="7">
        <v>200</v>
      </c>
      <c r="J14" s="5">
        <v>392</v>
      </c>
      <c r="K14" s="15">
        <f>L14+392</f>
        <v>392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0.546875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119</v>
      </c>
      <c r="D15" s="52" t="s">
        <v>545</v>
      </c>
      <c r="E15" s="53" t="s">
        <v>546</v>
      </c>
      <c r="F15" s="12">
        <v>8301</v>
      </c>
      <c r="G15" s="12">
        <v>1</v>
      </c>
      <c r="H15" s="13">
        <v>24</v>
      </c>
      <c r="I15" s="31">
        <v>6000</v>
      </c>
      <c r="J15" s="14">
        <v>5219</v>
      </c>
      <c r="K15" s="15">
        <f>L15+2269</f>
        <v>7488</v>
      </c>
      <c r="L15" s="15">
        <f>2931+2288</f>
        <v>5219</v>
      </c>
      <c r="M15" s="15">
        <f t="shared" si="0"/>
        <v>5219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6"/>
        <v>1</v>
      </c>
      <c r="AE15" s="36">
        <f t="shared" si="7"/>
        <v>0.546875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112</v>
      </c>
      <c r="D16" s="52" t="s">
        <v>564</v>
      </c>
      <c r="E16" s="53" t="s">
        <v>563</v>
      </c>
      <c r="F16" s="30" t="s">
        <v>573</v>
      </c>
      <c r="G16" s="12">
        <v>1</v>
      </c>
      <c r="H16" s="13">
        <v>24</v>
      </c>
      <c r="I16" s="7">
        <v>4500</v>
      </c>
      <c r="J16" s="14">
        <v>5493</v>
      </c>
      <c r="K16" s="15">
        <f>L16</f>
        <v>5493</v>
      </c>
      <c r="L16" s="15">
        <f>2489+3004</f>
        <v>5493</v>
      </c>
      <c r="M16" s="15">
        <f t="shared" si="0"/>
        <v>5493</v>
      </c>
      <c r="N16" s="15">
        <v>0</v>
      </c>
      <c r="O16" s="58">
        <f t="shared" si="1"/>
        <v>0</v>
      </c>
      <c r="P16" s="39">
        <f t="shared" si="2"/>
        <v>23</v>
      </c>
      <c r="Q16" s="40">
        <f t="shared" si="3"/>
        <v>1</v>
      </c>
      <c r="R16" s="7"/>
      <c r="S16" s="6"/>
      <c r="T16" s="16">
        <v>1</v>
      </c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0.95833333333333337</v>
      </c>
      <c r="AD16" s="10">
        <f t="shared" si="6"/>
        <v>0.95833333333333337</v>
      </c>
      <c r="AE16" s="36">
        <f t="shared" si="7"/>
        <v>0.546875</v>
      </c>
      <c r="AF16" s="84">
        <f t="shared" si="8"/>
        <v>11</v>
      </c>
    </row>
    <row r="17" spans="1:32" ht="30" customHeight="1">
      <c r="A17" s="95">
        <v>12</v>
      </c>
      <c r="B17" s="11" t="s">
        <v>502</v>
      </c>
      <c r="C17" s="34" t="s">
        <v>121</v>
      </c>
      <c r="D17" s="52" t="s">
        <v>125</v>
      </c>
      <c r="E17" s="53" t="s">
        <v>355</v>
      </c>
      <c r="F17" s="30" t="s">
        <v>138</v>
      </c>
      <c r="G17" s="12">
        <v>1</v>
      </c>
      <c r="H17" s="13">
        <v>24</v>
      </c>
      <c r="I17" s="7">
        <v>500</v>
      </c>
      <c r="J17" s="14">
        <v>600</v>
      </c>
      <c r="K17" s="15">
        <f>L17+600</f>
        <v>600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0.546875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481</v>
      </c>
      <c r="E18" s="53" t="s">
        <v>566</v>
      </c>
      <c r="F18" s="30" t="s">
        <v>169</v>
      </c>
      <c r="G18" s="33">
        <v>1</v>
      </c>
      <c r="H18" s="35">
        <v>24</v>
      </c>
      <c r="I18" s="7">
        <v>1000</v>
      </c>
      <c r="J18" s="14">
        <v>4438</v>
      </c>
      <c r="K18" s="15">
        <f>L18</f>
        <v>4438</v>
      </c>
      <c r="L18" s="15">
        <f>2108+2330</f>
        <v>4438</v>
      </c>
      <c r="M18" s="15">
        <f t="shared" si="0"/>
        <v>4438</v>
      </c>
      <c r="N18" s="15">
        <v>0</v>
      </c>
      <c r="O18" s="58">
        <f t="shared" si="1"/>
        <v>0</v>
      </c>
      <c r="P18" s="39">
        <f t="shared" si="2"/>
        <v>22</v>
      </c>
      <c r="Q18" s="40">
        <f t="shared" si="3"/>
        <v>2</v>
      </c>
      <c r="R18" s="7"/>
      <c r="S18" s="6"/>
      <c r="T18" s="16">
        <v>2</v>
      </c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0.91666666666666663</v>
      </c>
      <c r="AD18" s="10">
        <f t="shared" si="6"/>
        <v>0.91666666666666663</v>
      </c>
      <c r="AE18" s="36">
        <f t="shared" si="7"/>
        <v>0.546875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224</v>
      </c>
      <c r="E19" s="53" t="s">
        <v>539</v>
      </c>
      <c r="F19" s="30" t="s">
        <v>127</v>
      </c>
      <c r="G19" s="33">
        <v>1</v>
      </c>
      <c r="H19" s="35">
        <v>24</v>
      </c>
      <c r="I19" s="7">
        <v>3500</v>
      </c>
      <c r="J19" s="14">
        <v>4835</v>
      </c>
      <c r="K19" s="15">
        <f>L19+1260</f>
        <v>6095</v>
      </c>
      <c r="L19" s="15">
        <f>2455+2380</f>
        <v>4835</v>
      </c>
      <c r="M19" s="15">
        <f t="shared" si="0"/>
        <v>4835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0.546875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560</v>
      </c>
      <c r="F20" s="30" t="s">
        <v>171</v>
      </c>
      <c r="G20" s="12">
        <v>1</v>
      </c>
      <c r="H20" s="13">
        <v>24</v>
      </c>
      <c r="I20" s="7">
        <v>3500</v>
      </c>
      <c r="J20" s="14">
        <v>3170</v>
      </c>
      <c r="K20" s="15">
        <f>L20+1901</f>
        <v>5071</v>
      </c>
      <c r="L20" s="15">
        <f>988+2182</f>
        <v>3170</v>
      </c>
      <c r="M20" s="15">
        <f t="shared" si="0"/>
        <v>3170</v>
      </c>
      <c r="N20" s="15">
        <v>0</v>
      </c>
      <c r="O20" s="58">
        <f t="shared" si="1"/>
        <v>0</v>
      </c>
      <c r="P20" s="39">
        <f t="shared" si="2"/>
        <v>15</v>
      </c>
      <c r="Q20" s="40">
        <f t="shared" si="3"/>
        <v>9</v>
      </c>
      <c r="R20" s="7"/>
      <c r="S20" s="6">
        <v>9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0.625</v>
      </c>
      <c r="AD20" s="10">
        <f t="shared" si="6"/>
        <v>0.625</v>
      </c>
      <c r="AE20" s="36">
        <f t="shared" si="7"/>
        <v>0.546875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540</v>
      </c>
      <c r="F21" s="12" t="s">
        <v>114</v>
      </c>
      <c r="G21" s="12">
        <v>3</v>
      </c>
      <c r="H21" s="35">
        <v>20</v>
      </c>
      <c r="I21" s="7">
        <v>100000</v>
      </c>
      <c r="J21" s="14">
        <v>14664</v>
      </c>
      <c r="K21" s="15">
        <f>L21+30675+23163</f>
        <v>68502</v>
      </c>
      <c r="L21" s="15">
        <f>4888*3</f>
        <v>14664</v>
      </c>
      <c r="M21" s="15">
        <f t="shared" si="0"/>
        <v>14664</v>
      </c>
      <c r="N21" s="15">
        <v>0</v>
      </c>
      <c r="O21" s="58">
        <f t="shared" si="1"/>
        <v>0</v>
      </c>
      <c r="P21" s="39">
        <f t="shared" si="2"/>
        <v>6</v>
      </c>
      <c r="Q21" s="40">
        <f t="shared" si="3"/>
        <v>18</v>
      </c>
      <c r="R21" s="7"/>
      <c r="S21" s="6"/>
      <c r="T21" s="16"/>
      <c r="U21" s="16"/>
      <c r="V21" s="17">
        <v>18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0.25</v>
      </c>
      <c r="AD21" s="10">
        <f t="shared" si="6"/>
        <v>0.25</v>
      </c>
      <c r="AE21" s="36">
        <f t="shared" si="7"/>
        <v>0.546875</v>
      </c>
      <c r="AF21" s="84">
        <f t="shared" si="8"/>
        <v>16</v>
      </c>
    </row>
    <row r="22" spans="1:32" ht="31.5" customHeight="1" thickBot="1">
      <c r="A22" s="384" t="s">
        <v>34</v>
      </c>
      <c r="B22" s="385"/>
      <c r="C22" s="385"/>
      <c r="D22" s="385"/>
      <c r="E22" s="385"/>
      <c r="F22" s="385"/>
      <c r="G22" s="385"/>
      <c r="H22" s="386"/>
      <c r="I22" s="22">
        <f t="shared" ref="I22:N22" si="9">SUM(I6:I21)</f>
        <v>422700</v>
      </c>
      <c r="J22" s="19">
        <f t="shared" si="9"/>
        <v>147741</v>
      </c>
      <c r="K22" s="20">
        <f t="shared" si="9"/>
        <v>387723</v>
      </c>
      <c r="L22" s="21">
        <f t="shared" si="9"/>
        <v>68703</v>
      </c>
      <c r="M22" s="20">
        <f t="shared" si="9"/>
        <v>68703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210</v>
      </c>
      <c r="Q22" s="43">
        <f t="shared" si="10"/>
        <v>174</v>
      </c>
      <c r="R22" s="23">
        <f t="shared" si="10"/>
        <v>24</v>
      </c>
      <c r="S22" s="24">
        <f t="shared" si="10"/>
        <v>31</v>
      </c>
      <c r="T22" s="24">
        <f t="shared" si="10"/>
        <v>3</v>
      </c>
      <c r="U22" s="24">
        <f t="shared" si="10"/>
        <v>0</v>
      </c>
      <c r="V22" s="25">
        <f t="shared" si="10"/>
        <v>18</v>
      </c>
      <c r="W22" s="26">
        <f t="shared" si="10"/>
        <v>50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48</v>
      </c>
      <c r="AB22" s="28">
        <f>AVERAGE(AB6:AB21)</f>
        <v>0.6875</v>
      </c>
      <c r="AC22" s="4">
        <f>AVERAGE(AC6:AC21)</f>
        <v>0.546875</v>
      </c>
      <c r="AD22" s="4">
        <f>AVERAGE(AD6:AD21)</f>
        <v>0.546875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387" t="s">
        <v>45</v>
      </c>
      <c r="B49" s="387"/>
      <c r="C49" s="387"/>
      <c r="D49" s="387"/>
      <c r="E49" s="38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388" t="s">
        <v>574</v>
      </c>
      <c r="B50" s="389"/>
      <c r="C50" s="389"/>
      <c r="D50" s="389"/>
      <c r="E50" s="389"/>
      <c r="F50" s="389"/>
      <c r="G50" s="389"/>
      <c r="H50" s="389"/>
      <c r="I50" s="389"/>
      <c r="J50" s="389"/>
      <c r="K50" s="389"/>
      <c r="L50" s="389"/>
      <c r="M50" s="390"/>
      <c r="N50" s="391" t="s">
        <v>575</v>
      </c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  <c r="AA50" s="392"/>
      <c r="AB50" s="392"/>
      <c r="AC50" s="392"/>
      <c r="AD50" s="393"/>
    </row>
    <row r="51" spans="1:32" ht="27" customHeight="1">
      <c r="A51" s="394" t="s">
        <v>2</v>
      </c>
      <c r="B51" s="395"/>
      <c r="C51" s="368" t="s">
        <v>46</v>
      </c>
      <c r="D51" s="368" t="s">
        <v>47</v>
      </c>
      <c r="E51" s="368" t="s">
        <v>107</v>
      </c>
      <c r="F51" s="396" t="s">
        <v>106</v>
      </c>
      <c r="G51" s="397"/>
      <c r="H51" s="397"/>
      <c r="I51" s="397"/>
      <c r="J51" s="397"/>
      <c r="K51" s="397"/>
      <c r="L51" s="397"/>
      <c r="M51" s="398"/>
      <c r="N51" s="67" t="s">
        <v>110</v>
      </c>
      <c r="O51" s="368" t="s">
        <v>46</v>
      </c>
      <c r="P51" s="396" t="s">
        <v>47</v>
      </c>
      <c r="Q51" s="399"/>
      <c r="R51" s="396" t="s">
        <v>38</v>
      </c>
      <c r="S51" s="397"/>
      <c r="T51" s="397"/>
      <c r="U51" s="399"/>
      <c r="V51" s="396" t="s">
        <v>48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420" t="s">
        <v>118</v>
      </c>
      <c r="B52" s="421"/>
      <c r="C52" s="364" t="s">
        <v>255</v>
      </c>
      <c r="D52" s="364" t="s">
        <v>131</v>
      </c>
      <c r="E52" s="364" t="s">
        <v>406</v>
      </c>
      <c r="F52" s="412" t="s">
        <v>284</v>
      </c>
      <c r="G52" s="413"/>
      <c r="H52" s="413"/>
      <c r="I52" s="413"/>
      <c r="J52" s="413"/>
      <c r="K52" s="413"/>
      <c r="L52" s="413"/>
      <c r="M52" s="414"/>
      <c r="N52" s="363" t="s">
        <v>118</v>
      </c>
      <c r="O52" s="361" t="s">
        <v>145</v>
      </c>
      <c r="P52" s="415" t="s">
        <v>228</v>
      </c>
      <c r="Q52" s="416"/>
      <c r="R52" s="415" t="s">
        <v>576</v>
      </c>
      <c r="S52" s="417"/>
      <c r="T52" s="417"/>
      <c r="U52" s="416"/>
      <c r="V52" s="418" t="s">
        <v>130</v>
      </c>
      <c r="W52" s="418"/>
      <c r="X52" s="418"/>
      <c r="Y52" s="418"/>
      <c r="Z52" s="418"/>
      <c r="AA52" s="418"/>
      <c r="AB52" s="418"/>
      <c r="AC52" s="418"/>
      <c r="AD52" s="419"/>
    </row>
    <row r="53" spans="1:32" ht="27" customHeight="1">
      <c r="A53" s="410" t="s">
        <v>121</v>
      </c>
      <c r="B53" s="411"/>
      <c r="C53" s="367" t="s">
        <v>136</v>
      </c>
      <c r="D53" s="367"/>
      <c r="E53" s="364" t="s">
        <v>503</v>
      </c>
      <c r="F53" s="412" t="s">
        <v>365</v>
      </c>
      <c r="G53" s="413"/>
      <c r="H53" s="413"/>
      <c r="I53" s="413"/>
      <c r="J53" s="413"/>
      <c r="K53" s="413"/>
      <c r="L53" s="413"/>
      <c r="M53" s="414"/>
      <c r="N53" s="363" t="s">
        <v>118</v>
      </c>
      <c r="O53" s="361" t="s">
        <v>184</v>
      </c>
      <c r="P53" s="415" t="s">
        <v>131</v>
      </c>
      <c r="Q53" s="416"/>
      <c r="R53" s="415" t="s">
        <v>577</v>
      </c>
      <c r="S53" s="417"/>
      <c r="T53" s="417"/>
      <c r="U53" s="416"/>
      <c r="V53" s="418" t="s">
        <v>130</v>
      </c>
      <c r="W53" s="418"/>
      <c r="X53" s="418"/>
      <c r="Y53" s="418"/>
      <c r="Z53" s="418"/>
      <c r="AA53" s="418"/>
      <c r="AB53" s="418"/>
      <c r="AC53" s="418"/>
      <c r="AD53" s="419"/>
    </row>
    <row r="54" spans="1:32" ht="27" customHeight="1">
      <c r="A54" s="420" t="s">
        <v>112</v>
      </c>
      <c r="B54" s="421"/>
      <c r="C54" s="364" t="s">
        <v>145</v>
      </c>
      <c r="D54" s="364" t="s">
        <v>564</v>
      </c>
      <c r="E54" s="364" t="s">
        <v>563</v>
      </c>
      <c r="F54" s="412" t="s">
        <v>130</v>
      </c>
      <c r="G54" s="413"/>
      <c r="H54" s="413"/>
      <c r="I54" s="413"/>
      <c r="J54" s="413"/>
      <c r="K54" s="413"/>
      <c r="L54" s="413"/>
      <c r="M54" s="414"/>
      <c r="N54" s="363" t="s">
        <v>112</v>
      </c>
      <c r="O54" s="361" t="s">
        <v>135</v>
      </c>
      <c r="P54" s="415" t="s">
        <v>147</v>
      </c>
      <c r="Q54" s="416"/>
      <c r="R54" s="415" t="s">
        <v>388</v>
      </c>
      <c r="S54" s="417"/>
      <c r="T54" s="417"/>
      <c r="U54" s="416"/>
      <c r="V54" s="418" t="s">
        <v>130</v>
      </c>
      <c r="W54" s="418"/>
      <c r="X54" s="418"/>
      <c r="Y54" s="418"/>
      <c r="Z54" s="418"/>
      <c r="AA54" s="418"/>
      <c r="AB54" s="418"/>
      <c r="AC54" s="418"/>
      <c r="AD54" s="419"/>
    </row>
    <row r="55" spans="1:32" ht="27" customHeight="1">
      <c r="A55" s="410" t="s">
        <v>112</v>
      </c>
      <c r="B55" s="411"/>
      <c r="C55" s="367" t="s">
        <v>199</v>
      </c>
      <c r="D55" s="367" t="s">
        <v>115</v>
      </c>
      <c r="E55" s="364" t="s">
        <v>544</v>
      </c>
      <c r="F55" s="412" t="s">
        <v>215</v>
      </c>
      <c r="G55" s="413"/>
      <c r="H55" s="413"/>
      <c r="I55" s="413"/>
      <c r="J55" s="413"/>
      <c r="K55" s="413"/>
      <c r="L55" s="413"/>
      <c r="M55" s="414"/>
      <c r="N55" s="363" t="s">
        <v>119</v>
      </c>
      <c r="O55" s="361" t="s">
        <v>199</v>
      </c>
      <c r="P55" s="415" t="s">
        <v>115</v>
      </c>
      <c r="Q55" s="416"/>
      <c r="R55" s="415" t="s">
        <v>578</v>
      </c>
      <c r="S55" s="417"/>
      <c r="T55" s="417"/>
      <c r="U55" s="416"/>
      <c r="V55" s="418" t="s">
        <v>130</v>
      </c>
      <c r="W55" s="418"/>
      <c r="X55" s="418"/>
      <c r="Y55" s="418"/>
      <c r="Z55" s="418"/>
      <c r="AA55" s="418"/>
      <c r="AB55" s="418"/>
      <c r="AC55" s="418"/>
      <c r="AD55" s="419"/>
    </row>
    <row r="56" spans="1:32" ht="27" customHeight="1">
      <c r="A56" s="410" t="s">
        <v>118</v>
      </c>
      <c r="B56" s="411"/>
      <c r="C56" s="367" t="s">
        <v>184</v>
      </c>
      <c r="D56" s="367" t="s">
        <v>481</v>
      </c>
      <c r="E56" s="364" t="s">
        <v>566</v>
      </c>
      <c r="F56" s="412" t="s">
        <v>130</v>
      </c>
      <c r="G56" s="413"/>
      <c r="H56" s="413"/>
      <c r="I56" s="413"/>
      <c r="J56" s="413"/>
      <c r="K56" s="413"/>
      <c r="L56" s="413"/>
      <c r="M56" s="414"/>
      <c r="N56" s="363" t="s">
        <v>112</v>
      </c>
      <c r="O56" s="361" t="s">
        <v>432</v>
      </c>
      <c r="P56" s="415" t="s">
        <v>115</v>
      </c>
      <c r="Q56" s="416"/>
      <c r="R56" s="415" t="s">
        <v>579</v>
      </c>
      <c r="S56" s="417"/>
      <c r="T56" s="417"/>
      <c r="U56" s="416"/>
      <c r="V56" s="418" t="s">
        <v>130</v>
      </c>
      <c r="W56" s="418"/>
      <c r="X56" s="418"/>
      <c r="Y56" s="418"/>
      <c r="Z56" s="418"/>
      <c r="AA56" s="418"/>
      <c r="AB56" s="418"/>
      <c r="AC56" s="418"/>
      <c r="AD56" s="419"/>
    </row>
    <row r="57" spans="1:32" ht="27" customHeight="1">
      <c r="A57" s="410"/>
      <c r="B57" s="411"/>
      <c r="C57" s="367"/>
      <c r="D57" s="367"/>
      <c r="E57" s="364"/>
      <c r="F57" s="412"/>
      <c r="G57" s="413"/>
      <c r="H57" s="413"/>
      <c r="I57" s="413"/>
      <c r="J57" s="413"/>
      <c r="K57" s="413"/>
      <c r="L57" s="413"/>
      <c r="M57" s="414"/>
      <c r="N57" s="363" t="s">
        <v>121</v>
      </c>
      <c r="O57" s="361" t="s">
        <v>136</v>
      </c>
      <c r="P57" s="415"/>
      <c r="Q57" s="416"/>
      <c r="R57" s="415" t="s">
        <v>503</v>
      </c>
      <c r="S57" s="417"/>
      <c r="T57" s="417"/>
      <c r="U57" s="416"/>
      <c r="V57" s="418" t="s">
        <v>126</v>
      </c>
      <c r="W57" s="418"/>
      <c r="X57" s="418"/>
      <c r="Y57" s="418"/>
      <c r="Z57" s="418"/>
      <c r="AA57" s="418"/>
      <c r="AB57" s="418"/>
      <c r="AC57" s="418"/>
      <c r="AD57" s="419"/>
    </row>
    <row r="58" spans="1:32" ht="27" customHeight="1">
      <c r="A58" s="410"/>
      <c r="B58" s="411"/>
      <c r="C58" s="367"/>
      <c r="D58" s="367"/>
      <c r="E58" s="364"/>
      <c r="F58" s="412"/>
      <c r="G58" s="413"/>
      <c r="H58" s="413"/>
      <c r="I58" s="413"/>
      <c r="J58" s="413"/>
      <c r="K58" s="413"/>
      <c r="L58" s="413"/>
      <c r="M58" s="414"/>
      <c r="N58" s="363" t="s">
        <v>119</v>
      </c>
      <c r="O58" s="361" t="s">
        <v>129</v>
      </c>
      <c r="P58" s="415" t="s">
        <v>131</v>
      </c>
      <c r="Q58" s="416"/>
      <c r="R58" s="415" t="s">
        <v>580</v>
      </c>
      <c r="S58" s="417"/>
      <c r="T58" s="417"/>
      <c r="U58" s="416"/>
      <c r="V58" s="418" t="s">
        <v>469</v>
      </c>
      <c r="W58" s="418"/>
      <c r="X58" s="418"/>
      <c r="Y58" s="418"/>
      <c r="Z58" s="418"/>
      <c r="AA58" s="418"/>
      <c r="AB58" s="418"/>
      <c r="AC58" s="418"/>
      <c r="AD58" s="419"/>
    </row>
    <row r="59" spans="1:32" ht="27" customHeight="1">
      <c r="A59" s="420"/>
      <c r="B59" s="421"/>
      <c r="C59" s="364"/>
      <c r="D59" s="364"/>
      <c r="E59" s="364"/>
      <c r="F59" s="412"/>
      <c r="G59" s="413"/>
      <c r="H59" s="413"/>
      <c r="I59" s="413"/>
      <c r="J59" s="413"/>
      <c r="K59" s="413"/>
      <c r="L59" s="413"/>
      <c r="M59" s="414"/>
      <c r="N59" s="363"/>
      <c r="O59" s="361"/>
      <c r="P59" s="415"/>
      <c r="Q59" s="416"/>
      <c r="R59" s="421"/>
      <c r="S59" s="421"/>
      <c r="T59" s="421"/>
      <c r="U59" s="421"/>
      <c r="V59" s="418"/>
      <c r="W59" s="418"/>
      <c r="X59" s="418"/>
      <c r="Y59" s="418"/>
      <c r="Z59" s="418"/>
      <c r="AA59" s="418"/>
      <c r="AB59" s="418"/>
      <c r="AC59" s="418"/>
      <c r="AD59" s="419"/>
    </row>
    <row r="60" spans="1:32" ht="27" customHeight="1">
      <c r="A60" s="410"/>
      <c r="B60" s="411"/>
      <c r="C60" s="367"/>
      <c r="D60" s="367"/>
      <c r="E60" s="364"/>
      <c r="F60" s="412"/>
      <c r="G60" s="413"/>
      <c r="H60" s="413"/>
      <c r="I60" s="413"/>
      <c r="J60" s="413"/>
      <c r="K60" s="413"/>
      <c r="L60" s="413"/>
      <c r="M60" s="414"/>
      <c r="N60" s="363"/>
      <c r="O60" s="361"/>
      <c r="P60" s="421"/>
      <c r="Q60" s="421"/>
      <c r="R60" s="421"/>
      <c r="S60" s="421"/>
      <c r="T60" s="421"/>
      <c r="U60" s="421"/>
      <c r="V60" s="418"/>
      <c r="W60" s="418"/>
      <c r="X60" s="418"/>
      <c r="Y60" s="418"/>
      <c r="Z60" s="418"/>
      <c r="AA60" s="418"/>
      <c r="AB60" s="418"/>
      <c r="AC60" s="418"/>
      <c r="AD60" s="419"/>
      <c r="AF60" s="84">
        <f>8*3000</f>
        <v>24000</v>
      </c>
    </row>
    <row r="61" spans="1:32" ht="27" customHeight="1" thickBot="1">
      <c r="A61" s="422"/>
      <c r="B61" s="423"/>
      <c r="C61" s="365"/>
      <c r="D61" s="366"/>
      <c r="E61" s="366"/>
      <c r="F61" s="424"/>
      <c r="G61" s="425"/>
      <c r="H61" s="425"/>
      <c r="I61" s="425"/>
      <c r="J61" s="425"/>
      <c r="K61" s="425"/>
      <c r="L61" s="425"/>
      <c r="M61" s="426"/>
      <c r="N61" s="111"/>
      <c r="O61" s="103"/>
      <c r="P61" s="427"/>
      <c r="Q61" s="427"/>
      <c r="R61" s="427"/>
      <c r="S61" s="427"/>
      <c r="T61" s="427"/>
      <c r="U61" s="427"/>
      <c r="V61" s="428"/>
      <c r="W61" s="428"/>
      <c r="X61" s="428"/>
      <c r="Y61" s="428"/>
      <c r="Z61" s="428"/>
      <c r="AA61" s="428"/>
      <c r="AB61" s="428"/>
      <c r="AC61" s="428"/>
      <c r="AD61" s="429"/>
      <c r="AF61" s="84">
        <f>16*3000</f>
        <v>48000</v>
      </c>
    </row>
    <row r="62" spans="1:32" ht="27.75" thickBot="1">
      <c r="A62" s="430" t="s">
        <v>581</v>
      </c>
      <c r="B62" s="430"/>
      <c r="C62" s="430"/>
      <c r="D62" s="430"/>
      <c r="E62" s="43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31" t="s">
        <v>111</v>
      </c>
      <c r="B63" s="432"/>
      <c r="C63" s="362" t="s">
        <v>2</v>
      </c>
      <c r="D63" s="362" t="s">
        <v>37</v>
      </c>
      <c r="E63" s="362" t="s">
        <v>3</v>
      </c>
      <c r="F63" s="432" t="s">
        <v>109</v>
      </c>
      <c r="G63" s="432"/>
      <c r="H63" s="432"/>
      <c r="I63" s="432"/>
      <c r="J63" s="432"/>
      <c r="K63" s="432" t="s">
        <v>39</v>
      </c>
      <c r="L63" s="432"/>
      <c r="M63" s="362" t="s">
        <v>40</v>
      </c>
      <c r="N63" s="432" t="s">
        <v>41</v>
      </c>
      <c r="O63" s="432"/>
      <c r="P63" s="433" t="s">
        <v>42</v>
      </c>
      <c r="Q63" s="434"/>
      <c r="R63" s="433" t="s">
        <v>43</v>
      </c>
      <c r="S63" s="435"/>
      <c r="T63" s="435"/>
      <c r="U63" s="435"/>
      <c r="V63" s="435"/>
      <c r="W63" s="435"/>
      <c r="X63" s="435"/>
      <c r="Y63" s="435"/>
      <c r="Z63" s="435"/>
      <c r="AA63" s="434"/>
      <c r="AB63" s="432" t="s">
        <v>44</v>
      </c>
      <c r="AC63" s="432"/>
      <c r="AD63" s="436"/>
      <c r="AF63" s="84">
        <f>SUM(AF60:AF62)</f>
        <v>96000</v>
      </c>
    </row>
    <row r="64" spans="1:32" ht="25.5" customHeight="1">
      <c r="A64" s="437">
        <v>1</v>
      </c>
      <c r="B64" s="438"/>
      <c r="C64" s="104" t="s">
        <v>112</v>
      </c>
      <c r="D64" s="357"/>
      <c r="E64" s="360" t="s">
        <v>115</v>
      </c>
      <c r="F64" s="439" t="s">
        <v>476</v>
      </c>
      <c r="G64" s="440"/>
      <c r="H64" s="440"/>
      <c r="I64" s="440"/>
      <c r="J64" s="441"/>
      <c r="K64" s="442" t="s">
        <v>477</v>
      </c>
      <c r="L64" s="442"/>
      <c r="M64" s="51" t="s">
        <v>141</v>
      </c>
      <c r="N64" s="443" t="s">
        <v>432</v>
      </c>
      <c r="O64" s="443"/>
      <c r="P64" s="444">
        <v>30</v>
      </c>
      <c r="Q64" s="444"/>
      <c r="R64" s="418"/>
      <c r="S64" s="418"/>
      <c r="T64" s="418"/>
      <c r="U64" s="418"/>
      <c r="V64" s="418"/>
      <c r="W64" s="418"/>
      <c r="X64" s="418"/>
      <c r="Y64" s="418"/>
      <c r="Z64" s="418"/>
      <c r="AA64" s="418"/>
      <c r="AB64" s="442"/>
      <c r="AC64" s="442"/>
      <c r="AD64" s="445"/>
      <c r="AF64" s="50"/>
    </row>
    <row r="65" spans="1:32" ht="25.5" customHeight="1">
      <c r="A65" s="437">
        <v>2</v>
      </c>
      <c r="B65" s="438"/>
      <c r="C65" s="104" t="s">
        <v>119</v>
      </c>
      <c r="D65" s="357"/>
      <c r="E65" s="360" t="s">
        <v>131</v>
      </c>
      <c r="F65" s="439" t="s">
        <v>290</v>
      </c>
      <c r="G65" s="440"/>
      <c r="H65" s="440"/>
      <c r="I65" s="440"/>
      <c r="J65" s="441"/>
      <c r="K65" s="442" t="s">
        <v>132</v>
      </c>
      <c r="L65" s="442"/>
      <c r="M65" s="51" t="s">
        <v>141</v>
      </c>
      <c r="N65" s="443" t="s">
        <v>230</v>
      </c>
      <c r="O65" s="443"/>
      <c r="P65" s="444">
        <v>200</v>
      </c>
      <c r="Q65" s="444"/>
      <c r="R65" s="418"/>
      <c r="S65" s="418"/>
      <c r="T65" s="418"/>
      <c r="U65" s="418"/>
      <c r="V65" s="418"/>
      <c r="W65" s="418"/>
      <c r="X65" s="418"/>
      <c r="Y65" s="418"/>
      <c r="Z65" s="418"/>
      <c r="AA65" s="418"/>
      <c r="AB65" s="442"/>
      <c r="AC65" s="442"/>
      <c r="AD65" s="445"/>
      <c r="AF65" s="50"/>
    </row>
    <row r="66" spans="1:32" ht="25.5" customHeight="1">
      <c r="A66" s="437">
        <v>3</v>
      </c>
      <c r="B66" s="438"/>
      <c r="C66" s="104"/>
      <c r="D66" s="357"/>
      <c r="E66" s="360"/>
      <c r="F66" s="439"/>
      <c r="G66" s="440"/>
      <c r="H66" s="440"/>
      <c r="I66" s="440"/>
      <c r="J66" s="441"/>
      <c r="K66" s="442"/>
      <c r="L66" s="442"/>
      <c r="M66" s="51"/>
      <c r="N66" s="443"/>
      <c r="O66" s="443"/>
      <c r="P66" s="444"/>
      <c r="Q66" s="444"/>
      <c r="R66" s="418"/>
      <c r="S66" s="418"/>
      <c r="T66" s="418"/>
      <c r="U66" s="418"/>
      <c r="V66" s="418"/>
      <c r="W66" s="418"/>
      <c r="X66" s="418"/>
      <c r="Y66" s="418"/>
      <c r="Z66" s="418"/>
      <c r="AA66" s="418"/>
      <c r="AB66" s="442"/>
      <c r="AC66" s="442"/>
      <c r="AD66" s="445"/>
      <c r="AF66" s="50"/>
    </row>
    <row r="67" spans="1:32" ht="25.5" customHeight="1">
      <c r="A67" s="437">
        <v>4</v>
      </c>
      <c r="B67" s="438"/>
      <c r="C67" s="104"/>
      <c r="D67" s="357"/>
      <c r="E67" s="360"/>
      <c r="F67" s="439"/>
      <c r="G67" s="440"/>
      <c r="H67" s="440"/>
      <c r="I67" s="440"/>
      <c r="J67" s="441"/>
      <c r="K67" s="442"/>
      <c r="L67" s="442"/>
      <c r="M67" s="51"/>
      <c r="N67" s="443"/>
      <c r="O67" s="443"/>
      <c r="P67" s="444"/>
      <c r="Q67" s="444"/>
      <c r="R67" s="418"/>
      <c r="S67" s="418"/>
      <c r="T67" s="418"/>
      <c r="U67" s="418"/>
      <c r="V67" s="418"/>
      <c r="W67" s="418"/>
      <c r="X67" s="418"/>
      <c r="Y67" s="418"/>
      <c r="Z67" s="418"/>
      <c r="AA67" s="418"/>
      <c r="AB67" s="442"/>
      <c r="AC67" s="442"/>
      <c r="AD67" s="445"/>
      <c r="AF67" s="50"/>
    </row>
    <row r="68" spans="1:32" ht="25.5" customHeight="1">
      <c r="A68" s="437">
        <v>5</v>
      </c>
      <c r="B68" s="438"/>
      <c r="C68" s="104"/>
      <c r="D68" s="357"/>
      <c r="E68" s="360"/>
      <c r="F68" s="439"/>
      <c r="G68" s="440"/>
      <c r="H68" s="440"/>
      <c r="I68" s="440"/>
      <c r="J68" s="441"/>
      <c r="K68" s="442"/>
      <c r="L68" s="442"/>
      <c r="M68" s="51"/>
      <c r="N68" s="443"/>
      <c r="O68" s="443"/>
      <c r="P68" s="444"/>
      <c r="Q68" s="444"/>
      <c r="R68" s="418"/>
      <c r="S68" s="418"/>
      <c r="T68" s="418"/>
      <c r="U68" s="418"/>
      <c r="V68" s="418"/>
      <c r="W68" s="418"/>
      <c r="X68" s="418"/>
      <c r="Y68" s="418"/>
      <c r="Z68" s="418"/>
      <c r="AA68" s="418"/>
      <c r="AB68" s="442"/>
      <c r="AC68" s="442"/>
      <c r="AD68" s="445"/>
      <c r="AF68" s="50"/>
    </row>
    <row r="69" spans="1:32" ht="25.5" customHeight="1">
      <c r="A69" s="437">
        <v>6</v>
      </c>
      <c r="B69" s="438"/>
      <c r="C69" s="104"/>
      <c r="D69" s="357"/>
      <c r="E69" s="360"/>
      <c r="F69" s="439"/>
      <c r="G69" s="440"/>
      <c r="H69" s="440"/>
      <c r="I69" s="440"/>
      <c r="J69" s="441"/>
      <c r="K69" s="442"/>
      <c r="L69" s="442"/>
      <c r="M69" s="51"/>
      <c r="N69" s="443"/>
      <c r="O69" s="443"/>
      <c r="P69" s="444"/>
      <c r="Q69" s="444"/>
      <c r="R69" s="418"/>
      <c r="S69" s="418"/>
      <c r="T69" s="418"/>
      <c r="U69" s="418"/>
      <c r="V69" s="418"/>
      <c r="W69" s="418"/>
      <c r="X69" s="418"/>
      <c r="Y69" s="418"/>
      <c r="Z69" s="418"/>
      <c r="AA69" s="418"/>
      <c r="AB69" s="442"/>
      <c r="AC69" s="442"/>
      <c r="AD69" s="445"/>
      <c r="AF69" s="50"/>
    </row>
    <row r="70" spans="1:32" ht="25.5" customHeight="1">
      <c r="A70" s="437">
        <v>7</v>
      </c>
      <c r="B70" s="438"/>
      <c r="C70" s="104"/>
      <c r="D70" s="357"/>
      <c r="E70" s="360"/>
      <c r="F70" s="439"/>
      <c r="G70" s="440"/>
      <c r="H70" s="440"/>
      <c r="I70" s="440"/>
      <c r="J70" s="441"/>
      <c r="K70" s="442"/>
      <c r="L70" s="442"/>
      <c r="M70" s="51"/>
      <c r="N70" s="443"/>
      <c r="O70" s="443"/>
      <c r="P70" s="444"/>
      <c r="Q70" s="444"/>
      <c r="R70" s="418"/>
      <c r="S70" s="418"/>
      <c r="T70" s="418"/>
      <c r="U70" s="418"/>
      <c r="V70" s="418"/>
      <c r="W70" s="418"/>
      <c r="X70" s="418"/>
      <c r="Y70" s="418"/>
      <c r="Z70" s="418"/>
      <c r="AA70" s="418"/>
      <c r="AB70" s="442"/>
      <c r="AC70" s="442"/>
      <c r="AD70" s="445"/>
      <c r="AF70" s="50"/>
    </row>
    <row r="71" spans="1:32" ht="25.5" customHeight="1">
      <c r="A71" s="437">
        <v>8</v>
      </c>
      <c r="B71" s="438"/>
      <c r="C71" s="104"/>
      <c r="D71" s="357"/>
      <c r="E71" s="360"/>
      <c r="F71" s="447"/>
      <c r="G71" s="442"/>
      <c r="H71" s="442"/>
      <c r="I71" s="442"/>
      <c r="J71" s="442"/>
      <c r="K71" s="442"/>
      <c r="L71" s="442"/>
      <c r="M71" s="51"/>
      <c r="N71" s="443"/>
      <c r="O71" s="443"/>
      <c r="P71" s="444"/>
      <c r="Q71" s="444"/>
      <c r="R71" s="418"/>
      <c r="S71" s="418"/>
      <c r="T71" s="418"/>
      <c r="U71" s="418"/>
      <c r="V71" s="418"/>
      <c r="W71" s="418"/>
      <c r="X71" s="418"/>
      <c r="Y71" s="418"/>
      <c r="Z71" s="418"/>
      <c r="AA71" s="418"/>
      <c r="AB71" s="442"/>
      <c r="AC71" s="442"/>
      <c r="AD71" s="445"/>
      <c r="AF71" s="50"/>
    </row>
    <row r="72" spans="1:32" ht="25.5" customHeight="1">
      <c r="A72" s="437">
        <v>9</v>
      </c>
      <c r="B72" s="438"/>
      <c r="C72" s="104"/>
      <c r="D72" s="357"/>
      <c r="E72" s="360"/>
      <c r="F72" s="447"/>
      <c r="G72" s="442"/>
      <c r="H72" s="442"/>
      <c r="I72" s="442"/>
      <c r="J72" s="442"/>
      <c r="K72" s="442"/>
      <c r="L72" s="442"/>
      <c r="M72" s="51"/>
      <c r="N72" s="443"/>
      <c r="O72" s="443"/>
      <c r="P72" s="444"/>
      <c r="Q72" s="444"/>
      <c r="R72" s="418"/>
      <c r="S72" s="418"/>
      <c r="T72" s="418"/>
      <c r="U72" s="418"/>
      <c r="V72" s="418"/>
      <c r="W72" s="418"/>
      <c r="X72" s="418"/>
      <c r="Y72" s="418"/>
      <c r="Z72" s="418"/>
      <c r="AA72" s="418"/>
      <c r="AB72" s="442"/>
      <c r="AC72" s="442"/>
      <c r="AD72" s="445"/>
      <c r="AF72" s="50"/>
    </row>
    <row r="73" spans="1:32" ht="25.5" customHeight="1">
      <c r="A73" s="437">
        <v>10</v>
      </c>
      <c r="B73" s="438"/>
      <c r="C73" s="104"/>
      <c r="D73" s="357"/>
      <c r="E73" s="360"/>
      <c r="F73" s="447"/>
      <c r="G73" s="442"/>
      <c r="H73" s="442"/>
      <c r="I73" s="442"/>
      <c r="J73" s="442"/>
      <c r="K73" s="442"/>
      <c r="L73" s="442"/>
      <c r="M73" s="51"/>
      <c r="N73" s="443"/>
      <c r="O73" s="443"/>
      <c r="P73" s="444"/>
      <c r="Q73" s="444"/>
      <c r="R73" s="418"/>
      <c r="S73" s="418"/>
      <c r="T73" s="418"/>
      <c r="U73" s="418"/>
      <c r="V73" s="418"/>
      <c r="W73" s="418"/>
      <c r="X73" s="418"/>
      <c r="Y73" s="418"/>
      <c r="Z73" s="418"/>
      <c r="AA73" s="418"/>
      <c r="AB73" s="442"/>
      <c r="AC73" s="442"/>
      <c r="AD73" s="445"/>
      <c r="AF73" s="50"/>
    </row>
    <row r="74" spans="1:32" ht="26.25" customHeight="1" thickBot="1">
      <c r="A74" s="448" t="s">
        <v>582</v>
      </c>
      <c r="B74" s="448"/>
      <c r="C74" s="448"/>
      <c r="D74" s="448"/>
      <c r="E74" s="448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49" t="s">
        <v>134</v>
      </c>
      <c r="B75" s="450"/>
      <c r="C75" s="359" t="s">
        <v>2</v>
      </c>
      <c r="D75" s="359" t="s">
        <v>37</v>
      </c>
      <c r="E75" s="359" t="s">
        <v>128</v>
      </c>
      <c r="F75" s="450" t="s">
        <v>38</v>
      </c>
      <c r="G75" s="450"/>
      <c r="H75" s="450"/>
      <c r="I75" s="450"/>
      <c r="J75" s="450"/>
      <c r="K75" s="451" t="s">
        <v>58</v>
      </c>
      <c r="L75" s="452"/>
      <c r="M75" s="452"/>
      <c r="N75" s="452"/>
      <c r="O75" s="452"/>
      <c r="P75" s="452"/>
      <c r="Q75" s="452"/>
      <c r="R75" s="452"/>
      <c r="S75" s="453"/>
      <c r="T75" s="450" t="s">
        <v>49</v>
      </c>
      <c r="U75" s="450"/>
      <c r="V75" s="451" t="s">
        <v>50</v>
      </c>
      <c r="W75" s="453"/>
      <c r="X75" s="452" t="s">
        <v>51</v>
      </c>
      <c r="Y75" s="452"/>
      <c r="Z75" s="452"/>
      <c r="AA75" s="452"/>
      <c r="AB75" s="452"/>
      <c r="AC75" s="452"/>
      <c r="AD75" s="454"/>
      <c r="AF75" s="50"/>
    </row>
    <row r="76" spans="1:32" ht="33.75" customHeight="1">
      <c r="A76" s="463">
        <v>1</v>
      </c>
      <c r="B76" s="464"/>
      <c r="C76" s="358" t="s">
        <v>112</v>
      </c>
      <c r="D76" s="358"/>
      <c r="E76" s="65" t="s">
        <v>117</v>
      </c>
      <c r="F76" s="465" t="s">
        <v>116</v>
      </c>
      <c r="G76" s="466"/>
      <c r="H76" s="466"/>
      <c r="I76" s="466"/>
      <c r="J76" s="467"/>
      <c r="K76" s="468" t="s">
        <v>120</v>
      </c>
      <c r="L76" s="469"/>
      <c r="M76" s="469"/>
      <c r="N76" s="469"/>
      <c r="O76" s="469"/>
      <c r="P76" s="469"/>
      <c r="Q76" s="469"/>
      <c r="R76" s="469"/>
      <c r="S76" s="470"/>
      <c r="T76" s="471">
        <v>44118</v>
      </c>
      <c r="U76" s="472"/>
      <c r="V76" s="473"/>
      <c r="W76" s="473"/>
      <c r="X76" s="474"/>
      <c r="Y76" s="474"/>
      <c r="Z76" s="474"/>
      <c r="AA76" s="474"/>
      <c r="AB76" s="474"/>
      <c r="AC76" s="474"/>
      <c r="AD76" s="475"/>
      <c r="AF76" s="50"/>
    </row>
    <row r="77" spans="1:32" ht="30" customHeight="1">
      <c r="A77" s="455">
        <f>A76+1</f>
        <v>2</v>
      </c>
      <c r="B77" s="456"/>
      <c r="C77" s="357"/>
      <c r="D77" s="357"/>
      <c r="E77" s="32"/>
      <c r="F77" s="456"/>
      <c r="G77" s="456"/>
      <c r="H77" s="456"/>
      <c r="I77" s="456"/>
      <c r="J77" s="456"/>
      <c r="K77" s="457"/>
      <c r="L77" s="458"/>
      <c r="M77" s="458"/>
      <c r="N77" s="458"/>
      <c r="O77" s="458"/>
      <c r="P77" s="458"/>
      <c r="Q77" s="458"/>
      <c r="R77" s="458"/>
      <c r="S77" s="459"/>
      <c r="T77" s="460"/>
      <c r="U77" s="460"/>
      <c r="V77" s="460"/>
      <c r="W77" s="460"/>
      <c r="X77" s="461"/>
      <c r="Y77" s="461"/>
      <c r="Z77" s="461"/>
      <c r="AA77" s="461"/>
      <c r="AB77" s="461"/>
      <c r="AC77" s="461"/>
      <c r="AD77" s="462"/>
      <c r="AF77" s="50"/>
    </row>
    <row r="78" spans="1:32" ht="30" customHeight="1">
      <c r="A78" s="455">
        <f t="shared" ref="A78:A82" si="11">A77+1</f>
        <v>3</v>
      </c>
      <c r="B78" s="456"/>
      <c r="C78" s="357"/>
      <c r="D78" s="357"/>
      <c r="E78" s="32"/>
      <c r="F78" s="456"/>
      <c r="G78" s="456"/>
      <c r="H78" s="456"/>
      <c r="I78" s="456"/>
      <c r="J78" s="456"/>
      <c r="K78" s="457"/>
      <c r="L78" s="458"/>
      <c r="M78" s="458"/>
      <c r="N78" s="458"/>
      <c r="O78" s="458"/>
      <c r="P78" s="458"/>
      <c r="Q78" s="458"/>
      <c r="R78" s="458"/>
      <c r="S78" s="459"/>
      <c r="T78" s="460"/>
      <c r="U78" s="460"/>
      <c r="V78" s="460"/>
      <c r="W78" s="460"/>
      <c r="X78" s="461"/>
      <c r="Y78" s="461"/>
      <c r="Z78" s="461"/>
      <c r="AA78" s="461"/>
      <c r="AB78" s="461"/>
      <c r="AC78" s="461"/>
      <c r="AD78" s="462"/>
      <c r="AF78" s="50"/>
    </row>
    <row r="79" spans="1:32" ht="30" customHeight="1">
      <c r="A79" s="455">
        <f t="shared" si="11"/>
        <v>4</v>
      </c>
      <c r="B79" s="456"/>
      <c r="C79" s="357"/>
      <c r="D79" s="357"/>
      <c r="E79" s="32"/>
      <c r="F79" s="456"/>
      <c r="G79" s="456"/>
      <c r="H79" s="456"/>
      <c r="I79" s="456"/>
      <c r="J79" s="456"/>
      <c r="K79" s="457"/>
      <c r="L79" s="458"/>
      <c r="M79" s="458"/>
      <c r="N79" s="458"/>
      <c r="O79" s="458"/>
      <c r="P79" s="458"/>
      <c r="Q79" s="458"/>
      <c r="R79" s="458"/>
      <c r="S79" s="459"/>
      <c r="T79" s="460"/>
      <c r="U79" s="460"/>
      <c r="V79" s="460"/>
      <c r="W79" s="460"/>
      <c r="X79" s="461"/>
      <c r="Y79" s="461"/>
      <c r="Z79" s="461"/>
      <c r="AA79" s="461"/>
      <c r="AB79" s="461"/>
      <c r="AC79" s="461"/>
      <c r="AD79" s="462"/>
      <c r="AF79" s="50"/>
    </row>
    <row r="80" spans="1:32" ht="30" customHeight="1">
      <c r="A80" s="455">
        <f t="shared" si="11"/>
        <v>5</v>
      </c>
      <c r="B80" s="456"/>
      <c r="C80" s="357"/>
      <c r="D80" s="357"/>
      <c r="E80" s="32"/>
      <c r="F80" s="456"/>
      <c r="G80" s="456"/>
      <c r="H80" s="456"/>
      <c r="I80" s="456"/>
      <c r="J80" s="456"/>
      <c r="K80" s="457"/>
      <c r="L80" s="458"/>
      <c r="M80" s="458"/>
      <c r="N80" s="458"/>
      <c r="O80" s="458"/>
      <c r="P80" s="458"/>
      <c r="Q80" s="458"/>
      <c r="R80" s="458"/>
      <c r="S80" s="459"/>
      <c r="T80" s="460"/>
      <c r="U80" s="460"/>
      <c r="V80" s="460"/>
      <c r="W80" s="460"/>
      <c r="X80" s="461"/>
      <c r="Y80" s="461"/>
      <c r="Z80" s="461"/>
      <c r="AA80" s="461"/>
      <c r="AB80" s="461"/>
      <c r="AC80" s="461"/>
      <c r="AD80" s="462"/>
      <c r="AF80" s="50"/>
    </row>
    <row r="81" spans="1:32" ht="30" customHeight="1">
      <c r="A81" s="455">
        <f t="shared" si="11"/>
        <v>6</v>
      </c>
      <c r="B81" s="456"/>
      <c r="C81" s="357"/>
      <c r="D81" s="357"/>
      <c r="E81" s="32"/>
      <c r="F81" s="456"/>
      <c r="G81" s="456"/>
      <c r="H81" s="456"/>
      <c r="I81" s="456"/>
      <c r="J81" s="456"/>
      <c r="K81" s="457"/>
      <c r="L81" s="458"/>
      <c r="M81" s="458"/>
      <c r="N81" s="458"/>
      <c r="O81" s="458"/>
      <c r="P81" s="458"/>
      <c r="Q81" s="458"/>
      <c r="R81" s="458"/>
      <c r="S81" s="459"/>
      <c r="T81" s="460"/>
      <c r="U81" s="460"/>
      <c r="V81" s="460"/>
      <c r="W81" s="460"/>
      <c r="X81" s="461"/>
      <c r="Y81" s="461"/>
      <c r="Z81" s="461"/>
      <c r="AA81" s="461"/>
      <c r="AB81" s="461"/>
      <c r="AC81" s="461"/>
      <c r="AD81" s="462"/>
      <c r="AF81" s="50"/>
    </row>
    <row r="82" spans="1:32" ht="30" customHeight="1">
      <c r="A82" s="455">
        <f t="shared" si="11"/>
        <v>7</v>
      </c>
      <c r="B82" s="456"/>
      <c r="C82" s="357"/>
      <c r="D82" s="357"/>
      <c r="E82" s="32"/>
      <c r="F82" s="456"/>
      <c r="G82" s="456"/>
      <c r="H82" s="456"/>
      <c r="I82" s="456"/>
      <c r="J82" s="456"/>
      <c r="K82" s="457"/>
      <c r="L82" s="458"/>
      <c r="M82" s="458"/>
      <c r="N82" s="458"/>
      <c r="O82" s="458"/>
      <c r="P82" s="458"/>
      <c r="Q82" s="458"/>
      <c r="R82" s="458"/>
      <c r="S82" s="459"/>
      <c r="T82" s="460"/>
      <c r="U82" s="460"/>
      <c r="V82" s="460"/>
      <c r="W82" s="460"/>
      <c r="X82" s="461"/>
      <c r="Y82" s="461"/>
      <c r="Z82" s="461"/>
      <c r="AA82" s="461"/>
      <c r="AB82" s="461"/>
      <c r="AC82" s="461"/>
      <c r="AD82" s="462"/>
      <c r="AF82" s="50"/>
    </row>
    <row r="83" spans="1:32" ht="36" thickBot="1">
      <c r="A83" s="448" t="s">
        <v>583</v>
      </c>
      <c r="B83" s="448"/>
      <c r="C83" s="448"/>
      <c r="D83" s="448"/>
      <c r="E83" s="448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49" t="s">
        <v>111</v>
      </c>
      <c r="B84" s="450"/>
      <c r="C84" s="476" t="s">
        <v>52</v>
      </c>
      <c r="D84" s="476"/>
      <c r="E84" s="476" t="s">
        <v>53</v>
      </c>
      <c r="F84" s="476"/>
      <c r="G84" s="476"/>
      <c r="H84" s="476"/>
      <c r="I84" s="476"/>
      <c r="J84" s="476"/>
      <c r="K84" s="476" t="s">
        <v>54</v>
      </c>
      <c r="L84" s="476"/>
      <c r="M84" s="476"/>
      <c r="N84" s="476"/>
      <c r="O84" s="476"/>
      <c r="P84" s="476"/>
      <c r="Q84" s="476"/>
      <c r="R84" s="476"/>
      <c r="S84" s="476"/>
      <c r="T84" s="476" t="s">
        <v>55</v>
      </c>
      <c r="U84" s="476"/>
      <c r="V84" s="476" t="s">
        <v>56</v>
      </c>
      <c r="W84" s="476"/>
      <c r="X84" s="476"/>
      <c r="Y84" s="476" t="s">
        <v>51</v>
      </c>
      <c r="Z84" s="476"/>
      <c r="AA84" s="476"/>
      <c r="AB84" s="476"/>
      <c r="AC84" s="476"/>
      <c r="AD84" s="477"/>
      <c r="AF84" s="50"/>
    </row>
    <row r="85" spans="1:32" ht="30.75" customHeight="1">
      <c r="A85" s="463">
        <v>1</v>
      </c>
      <c r="B85" s="464"/>
      <c r="C85" s="478"/>
      <c r="D85" s="478"/>
      <c r="E85" s="478"/>
      <c r="F85" s="478"/>
      <c r="G85" s="478"/>
      <c r="H85" s="478"/>
      <c r="I85" s="478"/>
      <c r="J85" s="478"/>
      <c r="K85" s="478"/>
      <c r="L85" s="478"/>
      <c r="M85" s="478"/>
      <c r="N85" s="478"/>
      <c r="O85" s="478"/>
      <c r="P85" s="478"/>
      <c r="Q85" s="478"/>
      <c r="R85" s="478"/>
      <c r="S85" s="478"/>
      <c r="T85" s="478"/>
      <c r="U85" s="478"/>
      <c r="V85" s="479"/>
      <c r="W85" s="479"/>
      <c r="X85" s="479"/>
      <c r="Y85" s="480"/>
      <c r="Z85" s="480"/>
      <c r="AA85" s="480"/>
      <c r="AB85" s="480"/>
      <c r="AC85" s="480"/>
      <c r="AD85" s="481"/>
      <c r="AF85" s="50"/>
    </row>
    <row r="86" spans="1:32" ht="30.75" customHeight="1">
      <c r="A86" s="455">
        <v>2</v>
      </c>
      <c r="B86" s="456"/>
      <c r="C86" s="489"/>
      <c r="D86" s="489"/>
      <c r="E86" s="489"/>
      <c r="F86" s="489"/>
      <c r="G86" s="489"/>
      <c r="H86" s="489"/>
      <c r="I86" s="489"/>
      <c r="J86" s="489"/>
      <c r="K86" s="489"/>
      <c r="L86" s="489"/>
      <c r="M86" s="489"/>
      <c r="N86" s="489"/>
      <c r="O86" s="489"/>
      <c r="P86" s="489"/>
      <c r="Q86" s="489"/>
      <c r="R86" s="489"/>
      <c r="S86" s="489"/>
      <c r="T86" s="490"/>
      <c r="U86" s="490"/>
      <c r="V86" s="491"/>
      <c r="W86" s="491"/>
      <c r="X86" s="491"/>
      <c r="Y86" s="482"/>
      <c r="Z86" s="482"/>
      <c r="AA86" s="482"/>
      <c r="AB86" s="482"/>
      <c r="AC86" s="482"/>
      <c r="AD86" s="483"/>
      <c r="AF86" s="50"/>
    </row>
    <row r="87" spans="1:32" ht="30.75" customHeight="1" thickBot="1">
      <c r="A87" s="484">
        <v>3</v>
      </c>
      <c r="B87" s="485"/>
      <c r="C87" s="486"/>
      <c r="D87" s="486"/>
      <c r="E87" s="486"/>
      <c r="F87" s="486"/>
      <c r="G87" s="486"/>
      <c r="H87" s="486"/>
      <c r="I87" s="486"/>
      <c r="J87" s="486"/>
      <c r="K87" s="486"/>
      <c r="L87" s="486"/>
      <c r="M87" s="486"/>
      <c r="N87" s="486"/>
      <c r="O87" s="486"/>
      <c r="P87" s="486"/>
      <c r="Q87" s="486"/>
      <c r="R87" s="486"/>
      <c r="S87" s="486"/>
      <c r="T87" s="486"/>
      <c r="U87" s="486"/>
      <c r="V87" s="486"/>
      <c r="W87" s="486"/>
      <c r="X87" s="486"/>
      <c r="Y87" s="487"/>
      <c r="Z87" s="487"/>
      <c r="AA87" s="487"/>
      <c r="AB87" s="487"/>
      <c r="AC87" s="487"/>
      <c r="AD87" s="488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20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I9" sqref="AI9"/>
    </sheetView>
  </sheetViews>
  <sheetFormatPr defaultRowHeight="13.5"/>
  <cols>
    <col min="1" max="1" width="7.5" style="68" bestFit="1" customWidth="1"/>
    <col min="2" max="17" width="5.5" style="68" bestFit="1" customWidth="1"/>
    <col min="18" max="18" width="6" style="68" customWidth="1"/>
    <col min="19" max="32" width="5.5" style="68" bestFit="1" customWidth="1"/>
    <col min="33" max="33" width="6.5" style="68" bestFit="1" customWidth="1"/>
    <col min="34" max="16384" width="9" style="68"/>
  </cols>
  <sheetData>
    <row r="1" spans="1:33" ht="33.75" customHeight="1" thickBot="1">
      <c r="A1" s="495" t="s">
        <v>164</v>
      </c>
      <c r="B1" s="495"/>
      <c r="C1" s="495"/>
      <c r="D1" s="495"/>
      <c r="E1" s="495"/>
      <c r="F1" s="495"/>
      <c r="G1" s="495"/>
      <c r="H1" s="495"/>
    </row>
    <row r="2" spans="1:33" ht="21.75" customHeight="1" thickBot="1">
      <c r="A2" s="86" t="s">
        <v>59</v>
      </c>
      <c r="B2" s="88" t="s">
        <v>73</v>
      </c>
      <c r="C2" s="89" t="s">
        <v>74</v>
      </c>
      <c r="D2" s="89" t="s">
        <v>75</v>
      </c>
      <c r="E2" s="89" t="s">
        <v>76</v>
      </c>
      <c r="F2" s="89" t="s">
        <v>77</v>
      </c>
      <c r="G2" s="89" t="s">
        <v>78</v>
      </c>
      <c r="H2" s="89" t="s">
        <v>79</v>
      </c>
      <c r="I2" s="89" t="s">
        <v>80</v>
      </c>
      <c r="J2" s="89" t="s">
        <v>81</v>
      </c>
      <c r="K2" s="89" t="s">
        <v>82</v>
      </c>
      <c r="L2" s="89" t="s">
        <v>83</v>
      </c>
      <c r="M2" s="89" t="s">
        <v>84</v>
      </c>
      <c r="N2" s="89" t="s">
        <v>85</v>
      </c>
      <c r="O2" s="89" t="s">
        <v>86</v>
      </c>
      <c r="P2" s="89" t="s">
        <v>87</v>
      </c>
      <c r="Q2" s="89" t="s">
        <v>88</v>
      </c>
      <c r="R2" s="89" t="s">
        <v>89</v>
      </c>
      <c r="S2" s="89" t="s">
        <v>90</v>
      </c>
      <c r="T2" s="89" t="s">
        <v>91</v>
      </c>
      <c r="U2" s="89" t="s">
        <v>92</v>
      </c>
      <c r="V2" s="89" t="s">
        <v>93</v>
      </c>
      <c r="W2" s="89" t="s">
        <v>94</v>
      </c>
      <c r="X2" s="89" t="s">
        <v>95</v>
      </c>
      <c r="Y2" s="89" t="s">
        <v>96</v>
      </c>
      <c r="Z2" s="89" t="s">
        <v>97</v>
      </c>
      <c r="AA2" s="89" t="s">
        <v>98</v>
      </c>
      <c r="AB2" s="89" t="s">
        <v>99</v>
      </c>
      <c r="AC2" s="89" t="s">
        <v>100</v>
      </c>
      <c r="AD2" s="89" t="s">
        <v>101</v>
      </c>
      <c r="AE2" s="89" t="s">
        <v>102</v>
      </c>
      <c r="AF2" s="90" t="s">
        <v>103</v>
      </c>
      <c r="AG2" s="86" t="s">
        <v>105</v>
      </c>
    </row>
    <row r="3" spans="1:33" ht="21.75" customHeight="1">
      <c r="A3" s="113" t="s">
        <v>60</v>
      </c>
      <c r="B3" s="114"/>
      <c r="C3" s="114">
        <f>'02'!AD6</f>
        <v>0</v>
      </c>
      <c r="D3" s="115">
        <f>'03'!AD6</f>
        <v>0</v>
      </c>
      <c r="E3" s="115">
        <f>'04'!AD6</f>
        <v>0</v>
      </c>
      <c r="F3" s="115">
        <f>'05'!AD6</f>
        <v>0.16666666666666666</v>
      </c>
      <c r="G3" s="115">
        <f>'06'!AD6</f>
        <v>0</v>
      </c>
      <c r="H3" s="115"/>
      <c r="I3" s="115">
        <f>'08'!AD6</f>
        <v>0.375</v>
      </c>
      <c r="J3" s="115">
        <f>'09'!AD6</f>
        <v>0.75</v>
      </c>
      <c r="K3" s="115">
        <f>'10'!AD6</f>
        <v>0.625</v>
      </c>
      <c r="L3" s="115">
        <f>'11'!AD6</f>
        <v>1</v>
      </c>
      <c r="M3" s="115">
        <f>'12'!AD6</f>
        <v>1</v>
      </c>
      <c r="N3" s="116"/>
      <c r="O3" s="115"/>
      <c r="P3" s="115"/>
      <c r="Q3" s="115">
        <f>'16'!AD6</f>
        <v>0.54166666666666663</v>
      </c>
      <c r="R3" s="115">
        <f>'17'!AD6</f>
        <v>1</v>
      </c>
      <c r="S3" s="115">
        <f>'18'!AD6</f>
        <v>0</v>
      </c>
      <c r="T3" s="115">
        <f>'19'!AD6</f>
        <v>0.625</v>
      </c>
      <c r="U3" s="115">
        <f>'20'!AD6</f>
        <v>0.41666666666666669</v>
      </c>
      <c r="V3" s="115"/>
      <c r="W3" s="116"/>
      <c r="X3" s="115">
        <f>'23'!AD6</f>
        <v>0</v>
      </c>
      <c r="Y3" s="115">
        <f>'24'!AD6</f>
        <v>0</v>
      </c>
      <c r="Z3" s="115">
        <f>'25'!AD6</f>
        <v>0</v>
      </c>
      <c r="AA3" s="115">
        <f>'26'!AD6</f>
        <v>0</v>
      </c>
      <c r="AB3" s="115">
        <f>'27'!AD6</f>
        <v>0</v>
      </c>
      <c r="AC3" s="115"/>
      <c r="AD3" s="115"/>
      <c r="AE3" s="115">
        <f>'30'!AD6</f>
        <v>0.75</v>
      </c>
      <c r="AF3" s="117"/>
      <c r="AG3" s="118">
        <f>SUM(B3:AF3)/30</f>
        <v>0.24166666666666667</v>
      </c>
    </row>
    <row r="4" spans="1:33" ht="21.75" customHeight="1">
      <c r="A4" s="101" t="s">
        <v>61</v>
      </c>
      <c r="B4" s="98"/>
      <c r="C4" s="98">
        <f>'02'!AD7</f>
        <v>1</v>
      </c>
      <c r="D4" s="77">
        <f>'03'!AD7</f>
        <v>0</v>
      </c>
      <c r="E4" s="77">
        <f>'04'!AD7</f>
        <v>0</v>
      </c>
      <c r="F4" s="77">
        <f>'05'!AD7</f>
        <v>0.95833333333333337</v>
      </c>
      <c r="G4" s="77">
        <f>'06'!AD7</f>
        <v>1</v>
      </c>
      <c r="H4" s="77"/>
      <c r="I4" s="77">
        <f>'08'!AD7</f>
        <v>0</v>
      </c>
      <c r="J4" s="77">
        <f>'09'!AD7</f>
        <v>1</v>
      </c>
      <c r="K4" s="77">
        <f>'10'!AD7</f>
        <v>1</v>
      </c>
      <c r="L4" s="77">
        <f>'11'!AD7</f>
        <v>0.875</v>
      </c>
      <c r="M4" s="77">
        <f>'12'!AD7</f>
        <v>0.70833333333333337</v>
      </c>
      <c r="N4" s="77"/>
      <c r="O4" s="77"/>
      <c r="P4" s="77"/>
      <c r="Q4" s="77">
        <f>'16'!AD7</f>
        <v>0.875</v>
      </c>
      <c r="R4" s="77">
        <f>'17'!AD7</f>
        <v>0.79166666666666663</v>
      </c>
      <c r="S4" s="77">
        <f>'18'!AD7</f>
        <v>0.95833333333333337</v>
      </c>
      <c r="T4" s="77">
        <f>'19'!AD7</f>
        <v>1</v>
      </c>
      <c r="U4" s="77">
        <f>'20'!AD7</f>
        <v>1</v>
      </c>
      <c r="V4" s="77"/>
      <c r="W4" s="77"/>
      <c r="X4" s="77">
        <f>'23'!AD7</f>
        <v>0.75</v>
      </c>
      <c r="Y4" s="77">
        <f>'24'!AD7</f>
        <v>1</v>
      </c>
      <c r="Z4" s="77">
        <f>'25'!AD7</f>
        <v>0.41666666666666669</v>
      </c>
      <c r="AA4" s="77">
        <f>'26'!AD7</f>
        <v>0</v>
      </c>
      <c r="AB4" s="77">
        <f>'27'!AD7</f>
        <v>0</v>
      </c>
      <c r="AC4" s="77"/>
      <c r="AD4" s="77"/>
      <c r="AE4" s="77">
        <f>'30'!AD7</f>
        <v>0</v>
      </c>
      <c r="AF4" s="78"/>
      <c r="AG4" s="79">
        <f t="shared" ref="AG4:AG19" si="0">SUM(B4:AF4)/30</f>
        <v>0.44444444444444448</v>
      </c>
    </row>
    <row r="5" spans="1:33" ht="21.75" customHeight="1">
      <c r="A5" s="101" t="s">
        <v>62</v>
      </c>
      <c r="B5" s="98"/>
      <c r="C5" s="98">
        <f>'02'!AD8</f>
        <v>1</v>
      </c>
      <c r="D5" s="77">
        <f>'03'!AD8</f>
        <v>1</v>
      </c>
      <c r="E5" s="77">
        <f>'04'!AD8</f>
        <v>1</v>
      </c>
      <c r="F5" s="77">
        <f>'05'!AD8</f>
        <v>1</v>
      </c>
      <c r="G5" s="77">
        <f>'06'!AD8</f>
        <v>0.33333333333333331</v>
      </c>
      <c r="H5" s="77"/>
      <c r="I5" s="77">
        <f>'08'!AD8</f>
        <v>0</v>
      </c>
      <c r="J5" s="77">
        <f>'09'!AD8</f>
        <v>0.58333333333333337</v>
      </c>
      <c r="K5" s="77">
        <f>'10'!AD8</f>
        <v>0.83333333333333337</v>
      </c>
      <c r="L5" s="77">
        <f>'11'!AD8</f>
        <v>0.41666666666666669</v>
      </c>
      <c r="M5" s="77">
        <f>'12'!AD8</f>
        <v>0.91666666666666663</v>
      </c>
      <c r="N5" s="77"/>
      <c r="O5" s="77"/>
      <c r="P5" s="77"/>
      <c r="Q5" s="77">
        <f>'16'!AD8</f>
        <v>1</v>
      </c>
      <c r="R5" s="77">
        <f>'17'!AD8</f>
        <v>1</v>
      </c>
      <c r="S5" s="77">
        <f>'18'!AD8</f>
        <v>0.33333333333333331</v>
      </c>
      <c r="T5" s="77">
        <f>'19'!AD8</f>
        <v>0.58333333333333337</v>
      </c>
      <c r="U5" s="77">
        <f>'20'!AD8</f>
        <v>1</v>
      </c>
      <c r="V5" s="77"/>
      <c r="W5" s="119"/>
      <c r="X5" s="77">
        <f>'23'!AD8</f>
        <v>1</v>
      </c>
      <c r="Y5" s="77">
        <f>'24'!AD8</f>
        <v>1</v>
      </c>
      <c r="Z5" s="77">
        <f>'25'!AD8</f>
        <v>1</v>
      </c>
      <c r="AA5" s="77">
        <f>'26'!AD8</f>
        <v>0.58333333333333337</v>
      </c>
      <c r="AB5" s="77">
        <f>'27'!AD8</f>
        <v>0.41666666666666669</v>
      </c>
      <c r="AC5" s="77"/>
      <c r="AD5" s="77"/>
      <c r="AE5" s="77">
        <f>'30'!AD8</f>
        <v>1</v>
      </c>
      <c r="AF5" s="78"/>
      <c r="AG5" s="79">
        <f t="shared" si="0"/>
        <v>0.53333333333333333</v>
      </c>
    </row>
    <row r="6" spans="1:33" ht="21.75" customHeight="1">
      <c r="A6" s="101" t="s">
        <v>63</v>
      </c>
      <c r="B6" s="98"/>
      <c r="C6" s="98">
        <f>'02'!AD9</f>
        <v>0</v>
      </c>
      <c r="D6" s="77">
        <f>'03'!AD9</f>
        <v>0</v>
      </c>
      <c r="E6" s="77">
        <f>'04'!AD9</f>
        <v>0.79166666666666663</v>
      </c>
      <c r="F6" s="77">
        <f>'05'!AD9</f>
        <v>0.91666666666666663</v>
      </c>
      <c r="G6" s="77">
        <f>'06'!AD9</f>
        <v>1</v>
      </c>
      <c r="H6" s="77"/>
      <c r="I6" s="77">
        <f>'08'!AD9</f>
        <v>0</v>
      </c>
      <c r="J6" s="77">
        <f>'09'!AD9</f>
        <v>1</v>
      </c>
      <c r="K6" s="77">
        <f>'10'!AD9</f>
        <v>1</v>
      </c>
      <c r="L6" s="77">
        <f>'11'!AD9</f>
        <v>1</v>
      </c>
      <c r="M6" s="77">
        <f>'12'!AD9</f>
        <v>0.95833333333333337</v>
      </c>
      <c r="N6" s="77"/>
      <c r="O6" s="77"/>
      <c r="P6" s="77"/>
      <c r="Q6" s="77">
        <f>'16'!AD9</f>
        <v>1</v>
      </c>
      <c r="R6" s="77">
        <f>'17'!AD9</f>
        <v>0.70833333333333337</v>
      </c>
      <c r="S6" s="77">
        <f>'18'!AD9</f>
        <v>0.95833333333333337</v>
      </c>
      <c r="T6" s="77">
        <f>'19'!AD9</f>
        <v>1</v>
      </c>
      <c r="U6" s="77">
        <f>'20'!AD9</f>
        <v>1</v>
      </c>
      <c r="V6" s="77"/>
      <c r="W6" s="77"/>
      <c r="X6" s="77">
        <f>'23'!AD9</f>
        <v>0.25</v>
      </c>
      <c r="Y6" s="77">
        <f>'24'!AD9</f>
        <v>0.5</v>
      </c>
      <c r="Z6" s="77">
        <f>'25'!AD9</f>
        <v>0</v>
      </c>
      <c r="AA6" s="77">
        <f>'26'!AD9</f>
        <v>0</v>
      </c>
      <c r="AB6" s="77">
        <f>'27'!AD9</f>
        <v>0.375</v>
      </c>
      <c r="AC6" s="77"/>
      <c r="AD6" s="77"/>
      <c r="AE6" s="77">
        <f>'30'!AD9</f>
        <v>1</v>
      </c>
      <c r="AF6" s="78"/>
      <c r="AG6" s="79">
        <f t="shared" si="0"/>
        <v>0.44861111111111113</v>
      </c>
    </row>
    <row r="7" spans="1:33" ht="21.75" customHeight="1">
      <c r="A7" s="101" t="s">
        <v>64</v>
      </c>
      <c r="B7" s="98"/>
      <c r="C7" s="98">
        <f>'02'!AD10</f>
        <v>0.58333333333333337</v>
      </c>
      <c r="D7" s="77">
        <f>'03'!AD10</f>
        <v>0.875</v>
      </c>
      <c r="E7" s="77">
        <f>'04'!AD10</f>
        <v>0.91666666666666663</v>
      </c>
      <c r="F7" s="77">
        <f>'05'!AD10</f>
        <v>0.91666666666666663</v>
      </c>
      <c r="G7" s="77">
        <f>'06'!AD10</f>
        <v>0.33333333333333331</v>
      </c>
      <c r="H7" s="77"/>
      <c r="I7" s="77">
        <f>'08'!AD10</f>
        <v>0</v>
      </c>
      <c r="J7" s="77">
        <f>'09'!AD10</f>
        <v>0</v>
      </c>
      <c r="K7" s="77">
        <f>'10'!AD10</f>
        <v>0</v>
      </c>
      <c r="L7" s="77">
        <f>'11'!AD10</f>
        <v>1</v>
      </c>
      <c r="M7" s="77">
        <f>'12'!AD10</f>
        <v>0.16666666666666666</v>
      </c>
      <c r="N7" s="77"/>
      <c r="O7" s="77"/>
      <c r="P7" s="77"/>
      <c r="Q7" s="77">
        <f>'16'!AD10</f>
        <v>0.54166666666666663</v>
      </c>
      <c r="R7" s="77">
        <f>'17'!AD10</f>
        <v>0.70833333333333337</v>
      </c>
      <c r="S7" s="77">
        <f>'18'!AD10</f>
        <v>0.91666666666666663</v>
      </c>
      <c r="T7" s="77">
        <f>'19'!AD10</f>
        <v>1</v>
      </c>
      <c r="U7" s="77">
        <f>'20'!AD10</f>
        <v>1</v>
      </c>
      <c r="V7" s="77"/>
      <c r="W7" s="77"/>
      <c r="X7" s="77">
        <f>'23'!AD10</f>
        <v>1</v>
      </c>
      <c r="Y7" s="77">
        <f>'24'!AD10</f>
        <v>1</v>
      </c>
      <c r="Z7" s="77">
        <f>'25'!AD10</f>
        <v>0.875</v>
      </c>
      <c r="AA7" s="77">
        <f>'26'!AD10</f>
        <v>0</v>
      </c>
      <c r="AB7" s="77">
        <f>'27'!AD10</f>
        <v>0</v>
      </c>
      <c r="AC7" s="77"/>
      <c r="AD7" s="77"/>
      <c r="AE7" s="77">
        <f>'30'!AD10</f>
        <v>0</v>
      </c>
      <c r="AF7" s="78"/>
      <c r="AG7" s="79">
        <f t="shared" si="0"/>
        <v>0.39444444444444449</v>
      </c>
    </row>
    <row r="8" spans="1:33" ht="21.75" customHeight="1">
      <c r="A8" s="101" t="s">
        <v>65</v>
      </c>
      <c r="B8" s="98"/>
      <c r="C8" s="98">
        <f>'02'!AD11</f>
        <v>0</v>
      </c>
      <c r="D8" s="77">
        <f>'03'!AD11</f>
        <v>0.25</v>
      </c>
      <c r="E8" s="77">
        <f>'04'!AD11</f>
        <v>0</v>
      </c>
      <c r="F8" s="77">
        <f>'05'!AD11</f>
        <v>0</v>
      </c>
      <c r="G8" s="77">
        <f>'06'!AD11</f>
        <v>0.79166666666666663</v>
      </c>
      <c r="H8" s="77"/>
      <c r="I8" s="77">
        <f>'08'!AD11</f>
        <v>0</v>
      </c>
      <c r="J8" s="77">
        <f>'09'!AD11</f>
        <v>0.875</v>
      </c>
      <c r="K8" s="77">
        <f>'10'!AD11</f>
        <v>0</v>
      </c>
      <c r="L8" s="77">
        <f>'11'!AD11</f>
        <v>0</v>
      </c>
      <c r="M8" s="77">
        <f>'12'!AD11</f>
        <v>0</v>
      </c>
      <c r="N8" s="77"/>
      <c r="O8" s="77"/>
      <c r="P8" s="77"/>
      <c r="Q8" s="77">
        <f>'16'!AD11</f>
        <v>0</v>
      </c>
      <c r="R8" s="77">
        <f>'17'!AD11</f>
        <v>0</v>
      </c>
      <c r="S8" s="77">
        <f>'18'!AD11</f>
        <v>0</v>
      </c>
      <c r="T8" s="77">
        <f>'19'!AD11</f>
        <v>0</v>
      </c>
      <c r="U8" s="77">
        <f>'20'!AD11</f>
        <v>0</v>
      </c>
      <c r="V8" s="77"/>
      <c r="W8" s="77"/>
      <c r="X8" s="77">
        <f>'23'!AD11</f>
        <v>0</v>
      </c>
      <c r="Y8" s="77">
        <f>'24'!AD11</f>
        <v>0</v>
      </c>
      <c r="Z8" s="77">
        <f>'25'!AD11</f>
        <v>0</v>
      </c>
      <c r="AA8" s="77">
        <f>'26'!AD11</f>
        <v>0</v>
      </c>
      <c r="AB8" s="77">
        <f>'27'!AD11</f>
        <v>0</v>
      </c>
      <c r="AC8" s="77"/>
      <c r="AD8" s="77"/>
      <c r="AE8" s="77">
        <f>'30'!AD11</f>
        <v>0</v>
      </c>
      <c r="AF8" s="78"/>
      <c r="AG8" s="79">
        <f t="shared" si="0"/>
        <v>6.3888888888888884E-2</v>
      </c>
    </row>
    <row r="9" spans="1:33" ht="21.75" customHeight="1">
      <c r="A9" s="101" t="s">
        <v>66</v>
      </c>
      <c r="B9" s="98"/>
      <c r="C9" s="98">
        <f>'02'!AD12</f>
        <v>0.91666666666666663</v>
      </c>
      <c r="D9" s="77">
        <f>'03'!AD12</f>
        <v>0.75</v>
      </c>
      <c r="E9" s="77">
        <f>'04'!AD12</f>
        <v>0.79166666666666663</v>
      </c>
      <c r="F9" s="77">
        <f>'05'!AD12</f>
        <v>0.83333333333333337</v>
      </c>
      <c r="G9" s="77">
        <f>'06'!AD12</f>
        <v>1</v>
      </c>
      <c r="H9" s="77"/>
      <c r="I9" s="77">
        <f>'08'!AD12</f>
        <v>0</v>
      </c>
      <c r="J9" s="77">
        <f>'09'!AD12</f>
        <v>0.91666666666666663</v>
      </c>
      <c r="K9" s="77">
        <f>'10'!AD12</f>
        <v>1</v>
      </c>
      <c r="L9" s="77">
        <f>'11'!AD12</f>
        <v>0.625</v>
      </c>
      <c r="M9" s="77">
        <f>'12'!AD12</f>
        <v>0.83333333333333337</v>
      </c>
      <c r="N9" s="77"/>
      <c r="O9" s="77"/>
      <c r="P9" s="77"/>
      <c r="Q9" s="77">
        <f>'16'!AD12</f>
        <v>0.79166666666666663</v>
      </c>
      <c r="R9" s="77">
        <f>'17'!AD12</f>
        <v>0.95833333333333337</v>
      </c>
      <c r="S9" s="77">
        <f>'18'!AD12</f>
        <v>1</v>
      </c>
      <c r="T9" s="77">
        <f>'19'!AD12</f>
        <v>1</v>
      </c>
      <c r="U9" s="77">
        <f>'20'!AD12</f>
        <v>1</v>
      </c>
      <c r="V9" s="77"/>
      <c r="W9" s="77"/>
      <c r="X9" s="77">
        <f>'23'!AD12</f>
        <v>0.54166666666666663</v>
      </c>
      <c r="Y9" s="77">
        <f>'24'!AD12</f>
        <v>1</v>
      </c>
      <c r="Z9" s="77">
        <f>'25'!AD12</f>
        <v>0.70833333333333337</v>
      </c>
      <c r="AA9" s="77">
        <f>'26'!AD12+'26'!AD13</f>
        <v>0.95833333333333337</v>
      </c>
      <c r="AB9" s="77">
        <f>'27'!AD12</f>
        <v>0.41666666666666669</v>
      </c>
      <c r="AC9" s="77"/>
      <c r="AD9" s="77"/>
      <c r="AE9" s="77">
        <f>'30'!AD12</f>
        <v>1</v>
      </c>
      <c r="AF9" s="78"/>
      <c r="AG9" s="79">
        <f t="shared" si="0"/>
        <v>0.56805555555555565</v>
      </c>
    </row>
    <row r="10" spans="1:33" ht="21.75" customHeight="1">
      <c r="A10" s="101" t="s">
        <v>67</v>
      </c>
      <c r="B10" s="98"/>
      <c r="C10" s="98">
        <f>'02'!AD13</f>
        <v>0.83333333333333337</v>
      </c>
      <c r="D10" s="77">
        <f>'03'!AD13</f>
        <v>0.79166666666666663</v>
      </c>
      <c r="E10" s="77">
        <f>'04'!AD13</f>
        <v>0</v>
      </c>
      <c r="F10" s="77">
        <f>'05'!AD13</f>
        <v>0.125</v>
      </c>
      <c r="G10" s="77">
        <f>'06'!AD13</f>
        <v>0.875</v>
      </c>
      <c r="H10" s="77"/>
      <c r="I10" s="77">
        <f>'08'!AD13</f>
        <v>0</v>
      </c>
      <c r="J10" s="77">
        <f>'09'!AD13</f>
        <v>0.79166666666666663</v>
      </c>
      <c r="K10" s="77">
        <f>'10'!AD13</f>
        <v>1</v>
      </c>
      <c r="L10" s="77">
        <f>'11'!AD13</f>
        <v>1</v>
      </c>
      <c r="M10" s="77">
        <f>'12'!AD13</f>
        <v>1</v>
      </c>
      <c r="N10" s="77"/>
      <c r="O10" s="77"/>
      <c r="P10" s="77"/>
      <c r="Q10" s="77">
        <f>'16'!AD13+'16'!AD14</f>
        <v>0.91666666666666674</v>
      </c>
      <c r="R10" s="77">
        <f>'17'!AD13</f>
        <v>0.25</v>
      </c>
      <c r="S10" s="77">
        <f>'18'!AD13</f>
        <v>0.95833333333333337</v>
      </c>
      <c r="T10" s="77">
        <f>'19'!AD13</f>
        <v>0.875</v>
      </c>
      <c r="U10" s="77">
        <f>'20'!AD13</f>
        <v>0</v>
      </c>
      <c r="V10" s="77"/>
      <c r="W10" s="77"/>
      <c r="X10" s="77">
        <f>'23'!AD13</f>
        <v>0</v>
      </c>
      <c r="Y10" s="77">
        <f>'24'!AD13</f>
        <v>0.625</v>
      </c>
      <c r="Z10" s="77">
        <f>'25'!AD13</f>
        <v>0.375</v>
      </c>
      <c r="AA10" s="77">
        <f>'26'!AD14</f>
        <v>0.66666666666666663</v>
      </c>
      <c r="AB10" s="77">
        <f>'27'!AD13</f>
        <v>0.375</v>
      </c>
      <c r="AC10" s="77"/>
      <c r="AD10" s="77"/>
      <c r="AE10" s="77">
        <f>'30'!AD13</f>
        <v>0.25</v>
      </c>
      <c r="AF10" s="78"/>
      <c r="AG10" s="79">
        <f t="shared" si="0"/>
        <v>0.39027777777777772</v>
      </c>
    </row>
    <row r="11" spans="1:33" ht="21.75" customHeight="1">
      <c r="A11" s="106" t="s">
        <v>68</v>
      </c>
      <c r="B11" s="107"/>
      <c r="C11" s="107">
        <f>'02'!AD14</f>
        <v>0</v>
      </c>
      <c r="D11" s="108">
        <f>'03'!AD14</f>
        <v>0</v>
      </c>
      <c r="E11" s="108">
        <f>'04'!AD14</f>
        <v>0</v>
      </c>
      <c r="F11" s="108">
        <f>'05'!AD14</f>
        <v>0</v>
      </c>
      <c r="G11" s="108">
        <f>'06'!AD14</f>
        <v>0</v>
      </c>
      <c r="H11" s="108"/>
      <c r="I11" s="108">
        <f>'08'!AD14</f>
        <v>0</v>
      </c>
      <c r="J11" s="108">
        <f>'09'!AD14</f>
        <v>0</v>
      </c>
      <c r="K11" s="108">
        <f>'10'!AD14</f>
        <v>0</v>
      </c>
      <c r="L11" s="108">
        <f>'11'!AD14</f>
        <v>0</v>
      </c>
      <c r="M11" s="108">
        <f>'12'!AD14</f>
        <v>0</v>
      </c>
      <c r="N11" s="108"/>
      <c r="O11" s="108"/>
      <c r="P11" s="108"/>
      <c r="Q11" s="108">
        <f>'16'!AD15</f>
        <v>0</v>
      </c>
      <c r="R11" s="108">
        <f>'17'!AD14</f>
        <v>0</v>
      </c>
      <c r="S11" s="108">
        <f>'18'!AD14</f>
        <v>0</v>
      </c>
      <c r="T11" s="108">
        <f>'19'!AD14</f>
        <v>0</v>
      </c>
      <c r="U11" s="108">
        <f>'20'!AD14</f>
        <v>0.29166666666666669</v>
      </c>
      <c r="V11" s="108"/>
      <c r="W11" s="108"/>
      <c r="X11" s="108">
        <f>'23'!AD14</f>
        <v>0</v>
      </c>
      <c r="Y11" s="108">
        <f>'24'!AD14</f>
        <v>0</v>
      </c>
      <c r="Z11" s="108">
        <f>'25'!AD14</f>
        <v>0</v>
      </c>
      <c r="AA11" s="108">
        <f>'26'!AD15</f>
        <v>0</v>
      </c>
      <c r="AB11" s="108">
        <f>'27'!AD14</f>
        <v>0</v>
      </c>
      <c r="AC11" s="108"/>
      <c r="AD11" s="108"/>
      <c r="AE11" s="108">
        <f>'30'!AD14</f>
        <v>0</v>
      </c>
      <c r="AF11" s="109"/>
      <c r="AG11" s="110">
        <f t="shared" si="0"/>
        <v>9.7222222222222224E-3</v>
      </c>
    </row>
    <row r="12" spans="1:33" ht="21.75" customHeight="1">
      <c r="A12" s="100" t="s">
        <v>69</v>
      </c>
      <c r="B12" s="97"/>
      <c r="C12" s="97">
        <f>'02'!AD15</f>
        <v>0</v>
      </c>
      <c r="D12" s="74">
        <f>'03'!AD15</f>
        <v>0</v>
      </c>
      <c r="E12" s="74">
        <f>'04'!AD15</f>
        <v>0</v>
      </c>
      <c r="F12" s="74">
        <f>'05'!AD15</f>
        <v>0</v>
      </c>
      <c r="G12" s="74">
        <f>'06'!AD15</f>
        <v>0</v>
      </c>
      <c r="H12" s="74"/>
      <c r="I12" s="74">
        <f>'08'!AD15</f>
        <v>0</v>
      </c>
      <c r="J12" s="74">
        <f>'09'!AD15</f>
        <v>0</v>
      </c>
      <c r="K12" s="74">
        <f>'10'!AD15</f>
        <v>0</v>
      </c>
      <c r="L12" s="74">
        <f>'11'!AD15</f>
        <v>0</v>
      </c>
      <c r="M12" s="74">
        <f>'12'!AD15</f>
        <v>0</v>
      </c>
      <c r="N12" s="74"/>
      <c r="O12" s="74"/>
      <c r="P12" s="74"/>
      <c r="Q12" s="74">
        <f>'16'!AD16</f>
        <v>0</v>
      </c>
      <c r="R12" s="74">
        <f>'17'!AD15</f>
        <v>0</v>
      </c>
      <c r="S12" s="74">
        <f>'18'!AD15</f>
        <v>0</v>
      </c>
      <c r="T12" s="74">
        <f>'19'!AD15</f>
        <v>0</v>
      </c>
      <c r="U12" s="74">
        <f>'20'!AD15</f>
        <v>0</v>
      </c>
      <c r="V12" s="74"/>
      <c r="W12" s="74"/>
      <c r="X12" s="74">
        <f>'23'!AD15</f>
        <v>0</v>
      </c>
      <c r="Y12" s="74">
        <f>'24'!AD15</f>
        <v>0</v>
      </c>
      <c r="Z12" s="74">
        <f>'25'!AD15</f>
        <v>0.625</v>
      </c>
      <c r="AA12" s="74">
        <f>'26'!AD16</f>
        <v>0</v>
      </c>
      <c r="AB12" s="74">
        <f>'27'!AD15</f>
        <v>0.41666666666666669</v>
      </c>
      <c r="AC12" s="74"/>
      <c r="AD12" s="74"/>
      <c r="AE12" s="74">
        <f>'30'!AD15</f>
        <v>1</v>
      </c>
      <c r="AF12" s="75"/>
      <c r="AG12" s="76">
        <f t="shared" si="0"/>
        <v>6.8055555555555564E-2</v>
      </c>
    </row>
    <row r="13" spans="1:33" ht="21.75" customHeight="1">
      <c r="A13" s="101" t="s">
        <v>70</v>
      </c>
      <c r="B13" s="98"/>
      <c r="C13" s="98">
        <f>'02'!AD16</f>
        <v>0</v>
      </c>
      <c r="D13" s="77">
        <f>'03'!AD16</f>
        <v>1</v>
      </c>
      <c r="E13" s="77">
        <f>'04'!AD16+'04'!AD17</f>
        <v>0.83333333333333326</v>
      </c>
      <c r="F13" s="77">
        <f>'05'!AD16</f>
        <v>1</v>
      </c>
      <c r="G13" s="77">
        <f>'06'!AD16</f>
        <v>1</v>
      </c>
      <c r="H13" s="77"/>
      <c r="I13" s="77">
        <f>'08'!AD16</f>
        <v>0</v>
      </c>
      <c r="J13" s="77">
        <f>'09'!AD16</f>
        <v>0.58333333333333337</v>
      </c>
      <c r="K13" s="77">
        <f>'10'!AD16</f>
        <v>0</v>
      </c>
      <c r="L13" s="77">
        <f>'11'!AD16</f>
        <v>0.25</v>
      </c>
      <c r="M13" s="77">
        <f>'12'!AD16</f>
        <v>0</v>
      </c>
      <c r="N13" s="77"/>
      <c r="O13" s="77"/>
      <c r="P13" s="77"/>
      <c r="Q13" s="77">
        <f>'16'!AD17</f>
        <v>0.91666666666666663</v>
      </c>
      <c r="R13" s="77">
        <f>'17'!AD16</f>
        <v>0.66666666666666663</v>
      </c>
      <c r="S13" s="77">
        <f>'18'!AD16</f>
        <v>0</v>
      </c>
      <c r="T13" s="77">
        <f>'19'!AD16</f>
        <v>0</v>
      </c>
      <c r="U13" s="77">
        <f>'20'!AD16</f>
        <v>0</v>
      </c>
      <c r="V13" s="77"/>
      <c r="W13" s="77"/>
      <c r="X13" s="77">
        <f>'23'!AD16</f>
        <v>0</v>
      </c>
      <c r="Y13" s="77">
        <f>'24'!AD16</f>
        <v>0.5</v>
      </c>
      <c r="Z13" s="77">
        <f>'25'!AD16</f>
        <v>0</v>
      </c>
      <c r="AA13" s="77">
        <f>'26'!AD17</f>
        <v>0.41666666666666669</v>
      </c>
      <c r="AB13" s="77">
        <f>'27'!AD16</f>
        <v>0</v>
      </c>
      <c r="AC13" s="77"/>
      <c r="AD13" s="77"/>
      <c r="AE13" s="77">
        <f>'30'!AD16</f>
        <v>0.95833333333333337</v>
      </c>
      <c r="AF13" s="78"/>
      <c r="AG13" s="79">
        <f t="shared" si="0"/>
        <v>0.27083333333333331</v>
      </c>
    </row>
    <row r="14" spans="1:33" ht="21.75" customHeight="1">
      <c r="A14" s="100" t="s">
        <v>71</v>
      </c>
      <c r="B14" s="97"/>
      <c r="C14" s="97">
        <f>'02'!AD17</f>
        <v>1</v>
      </c>
      <c r="D14" s="74">
        <f>'03'!AD17</f>
        <v>0.70833333333333337</v>
      </c>
      <c r="E14" s="74">
        <f>'04'!AD18</f>
        <v>0.25</v>
      </c>
      <c r="F14" s="74">
        <f>'05'!AD17</f>
        <v>0</v>
      </c>
      <c r="G14" s="74">
        <f>'06'!AD17+'06'!AD18</f>
        <v>0.83333333333333326</v>
      </c>
      <c r="H14" s="74"/>
      <c r="I14" s="74">
        <f>'08'!AD17</f>
        <v>0</v>
      </c>
      <c r="J14" s="74">
        <f>'09'!AD17</f>
        <v>1</v>
      </c>
      <c r="K14" s="74">
        <f>'10'!AD17</f>
        <v>0.16666666666666666</v>
      </c>
      <c r="L14" s="74">
        <f>'11'!AD17</f>
        <v>0.66666666666666663</v>
      </c>
      <c r="M14" s="74">
        <f>'12'!AD17</f>
        <v>0.125</v>
      </c>
      <c r="N14" s="74"/>
      <c r="O14" s="74"/>
      <c r="P14" s="74"/>
      <c r="Q14" s="74">
        <f>'16'!AD18</f>
        <v>0</v>
      </c>
      <c r="R14" s="74">
        <f>'17'!AD17</f>
        <v>0</v>
      </c>
      <c r="S14" s="74">
        <f>'18'!AD17</f>
        <v>0</v>
      </c>
      <c r="T14" s="74">
        <f>'19'!AD17</f>
        <v>0</v>
      </c>
      <c r="U14" s="74">
        <f>'20'!AD17</f>
        <v>0.25</v>
      </c>
      <c r="V14" s="74"/>
      <c r="W14" s="74"/>
      <c r="X14" s="74">
        <f>'23'!AD17</f>
        <v>0.16666666666666666</v>
      </c>
      <c r="Y14" s="74">
        <f>'24'!AD17</f>
        <v>0</v>
      </c>
      <c r="Z14" s="74">
        <f>'25'!AD17</f>
        <v>0</v>
      </c>
      <c r="AA14" s="74">
        <f>'26'!AD18</f>
        <v>0</v>
      </c>
      <c r="AB14" s="74">
        <f>'27'!AD17</f>
        <v>0</v>
      </c>
      <c r="AC14" s="74"/>
      <c r="AD14" s="74"/>
      <c r="AE14" s="74">
        <f>'30'!AD17</f>
        <v>0</v>
      </c>
      <c r="AF14" s="75"/>
      <c r="AG14" s="76">
        <f t="shared" si="0"/>
        <v>0.17222222222222222</v>
      </c>
    </row>
    <row r="15" spans="1:33" ht="21.75" customHeight="1">
      <c r="A15" s="101" t="s">
        <v>72</v>
      </c>
      <c r="B15" s="98"/>
      <c r="C15" s="98">
        <f>'02'!AD18</f>
        <v>0</v>
      </c>
      <c r="D15" s="77">
        <f>'03'!AD18</f>
        <v>0.16666666666666666</v>
      </c>
      <c r="E15" s="77">
        <f>'04'!AD19</f>
        <v>0.91666666666666663</v>
      </c>
      <c r="F15" s="77">
        <f>'05'!AD18</f>
        <v>1</v>
      </c>
      <c r="G15" s="77">
        <f>'06'!AD19</f>
        <v>0.75</v>
      </c>
      <c r="H15" s="77"/>
      <c r="I15" s="77">
        <f>'08'!AD18</f>
        <v>0</v>
      </c>
      <c r="J15" s="77">
        <f>'09'!AD18</f>
        <v>0.45833333333333331</v>
      </c>
      <c r="K15" s="77">
        <f>'10'!AD18</f>
        <v>0.95833333333333337</v>
      </c>
      <c r="L15" s="77">
        <f>'11'!AD18</f>
        <v>1</v>
      </c>
      <c r="M15" s="77">
        <f>'12'!AD18</f>
        <v>1</v>
      </c>
      <c r="N15" s="77"/>
      <c r="O15" s="77"/>
      <c r="P15" s="77"/>
      <c r="Q15" s="77">
        <f>'16'!AD19</f>
        <v>0</v>
      </c>
      <c r="R15" s="77">
        <f>'17'!AD18</f>
        <v>0.5</v>
      </c>
      <c r="S15" s="77">
        <f>'18'!AD18</f>
        <v>1</v>
      </c>
      <c r="T15" s="77">
        <f>'19'!AD18</f>
        <v>0.58333333333333337</v>
      </c>
      <c r="U15" s="77">
        <f>'20'!AD18</f>
        <v>0</v>
      </c>
      <c r="V15" s="77"/>
      <c r="W15" s="77"/>
      <c r="X15" s="77">
        <f>'23'!AD18</f>
        <v>0.16666666666666666</v>
      </c>
      <c r="Y15" s="77">
        <f>'24'!AD18</f>
        <v>0.33333333333333331</v>
      </c>
      <c r="Z15" s="77">
        <f>'25'!AD18</f>
        <v>0.41666666666666669</v>
      </c>
      <c r="AA15" s="77">
        <f>'26'!AD19</f>
        <v>0</v>
      </c>
      <c r="AB15" s="77">
        <f>'27'!AD18</f>
        <v>0</v>
      </c>
      <c r="AC15" s="77"/>
      <c r="AD15" s="77"/>
      <c r="AE15" s="77">
        <f>'30'!AD18</f>
        <v>0.91666666666666663</v>
      </c>
      <c r="AF15" s="78"/>
      <c r="AG15" s="79">
        <f t="shared" si="0"/>
        <v>0.33888888888888885</v>
      </c>
    </row>
    <row r="16" spans="1:33" ht="21.75" customHeight="1">
      <c r="A16" s="101" t="s">
        <v>122</v>
      </c>
      <c r="B16" s="98"/>
      <c r="C16" s="98">
        <f>'02'!AD19</f>
        <v>0.5</v>
      </c>
      <c r="D16" s="77">
        <f>'03'!AD19+'03'!AD20+'03'!AD21</f>
        <v>0.66666666666666674</v>
      </c>
      <c r="E16" s="77">
        <f>'04'!AD20</f>
        <v>1</v>
      </c>
      <c r="F16" s="77">
        <f>'05'!AD19</f>
        <v>0.375</v>
      </c>
      <c r="G16" s="77">
        <f>'06'!AD20</f>
        <v>0</v>
      </c>
      <c r="H16" s="77"/>
      <c r="I16" s="77">
        <f>'08'!AD19</f>
        <v>0</v>
      </c>
      <c r="J16" s="77">
        <f>'09'!AD19</f>
        <v>0</v>
      </c>
      <c r="K16" s="77">
        <f>'10'!AD19</f>
        <v>0</v>
      </c>
      <c r="L16" s="77">
        <f>'11'!AD19</f>
        <v>1</v>
      </c>
      <c r="M16" s="77">
        <f>'12'!AD19</f>
        <v>0.875</v>
      </c>
      <c r="N16" s="77"/>
      <c r="O16" s="77"/>
      <c r="P16" s="77"/>
      <c r="Q16" s="77">
        <f>'16'!AD20</f>
        <v>0.25</v>
      </c>
      <c r="R16" s="77">
        <f>'17'!AD19</f>
        <v>0.83333333333333337</v>
      </c>
      <c r="S16" s="77">
        <f>'18'!AD19</f>
        <v>0.95833333333333337</v>
      </c>
      <c r="T16" s="77">
        <f>'19'!AD19</f>
        <v>1</v>
      </c>
      <c r="U16" s="77">
        <f>'20'!AD19</f>
        <v>0</v>
      </c>
      <c r="V16" s="77"/>
      <c r="W16" s="77"/>
      <c r="X16" s="77">
        <f>'23'!AD19</f>
        <v>0</v>
      </c>
      <c r="Y16" s="77">
        <f>'24'!AD19</f>
        <v>0</v>
      </c>
      <c r="Z16" s="77">
        <f>'25'!AD19</f>
        <v>0</v>
      </c>
      <c r="AA16" s="77">
        <f>'26'!AD20+'26'!AD21</f>
        <v>0.79166666666666663</v>
      </c>
      <c r="AB16" s="77">
        <f>'27'!AD19</f>
        <v>0.29166666666666669</v>
      </c>
      <c r="AC16" s="77"/>
      <c r="AD16" s="77"/>
      <c r="AE16" s="77">
        <f>'30'!AD19</f>
        <v>1</v>
      </c>
      <c r="AF16" s="78"/>
      <c r="AG16" s="79">
        <f t="shared" si="0"/>
        <v>0.31805555555555554</v>
      </c>
    </row>
    <row r="17" spans="1:33" ht="21.75" customHeight="1">
      <c r="A17" s="101" t="s">
        <v>123</v>
      </c>
      <c r="B17" s="98"/>
      <c r="C17" s="98">
        <f>'02'!AD20</f>
        <v>0.79166666666666663</v>
      </c>
      <c r="D17" s="77">
        <f>'03'!AD22</f>
        <v>0.625</v>
      </c>
      <c r="E17" s="77">
        <f>'04'!AD21</f>
        <v>1</v>
      </c>
      <c r="F17" s="77">
        <f>'05'!AD20</f>
        <v>1</v>
      </c>
      <c r="G17" s="77">
        <f>'06'!AD21</f>
        <v>0.91666666666666663</v>
      </c>
      <c r="H17" s="77"/>
      <c r="I17" s="77">
        <f>'08'!AD20</f>
        <v>0</v>
      </c>
      <c r="J17" s="77">
        <f>'09'!AD20</f>
        <v>0.5</v>
      </c>
      <c r="K17" s="77">
        <f>'10'!AD20</f>
        <v>0.79166666666666663</v>
      </c>
      <c r="L17" s="77">
        <f>'11'!AD20</f>
        <v>1</v>
      </c>
      <c r="M17" s="77">
        <f>'12'!AD20</f>
        <v>1</v>
      </c>
      <c r="N17" s="77"/>
      <c r="O17" s="77"/>
      <c r="P17" s="77"/>
      <c r="Q17" s="77">
        <f>'16'!AD21</f>
        <v>0.66666666666666663</v>
      </c>
      <c r="R17" s="77">
        <f>'17'!AD20</f>
        <v>0.83333333333333337</v>
      </c>
      <c r="S17" s="77">
        <f>'18'!AD20</f>
        <v>1</v>
      </c>
      <c r="T17" s="77">
        <f>'19'!AD20</f>
        <v>1</v>
      </c>
      <c r="U17" s="77">
        <f>'20'!AD20</f>
        <v>1</v>
      </c>
      <c r="V17" s="77"/>
      <c r="W17" s="77"/>
      <c r="X17" s="77">
        <f>'23'!AD20</f>
        <v>0.66666666666666663</v>
      </c>
      <c r="Y17" s="77">
        <f>'24'!AD20</f>
        <v>1</v>
      </c>
      <c r="Z17" s="77">
        <f>'25'!AD20</f>
        <v>1</v>
      </c>
      <c r="AA17" s="77">
        <f>'26'!AD22</f>
        <v>1</v>
      </c>
      <c r="AB17" s="77">
        <f>'27'!AD20</f>
        <v>0.41666666666666669</v>
      </c>
      <c r="AC17" s="77"/>
      <c r="AD17" s="77"/>
      <c r="AE17" s="77">
        <f>'30'!AD20</f>
        <v>0.625</v>
      </c>
      <c r="AF17" s="78"/>
      <c r="AG17" s="79">
        <f t="shared" si="0"/>
        <v>0.56111111111111112</v>
      </c>
    </row>
    <row r="18" spans="1:33" ht="21.75" customHeight="1" thickBot="1">
      <c r="A18" s="102" t="s">
        <v>124</v>
      </c>
      <c r="B18" s="99"/>
      <c r="C18" s="99">
        <f>'02'!AD21</f>
        <v>0</v>
      </c>
      <c r="D18" s="80">
        <f>'03'!AD23</f>
        <v>0.41666666666666669</v>
      </c>
      <c r="E18" s="80">
        <f>'04'!AD22</f>
        <v>0.45833333333333331</v>
      </c>
      <c r="F18" s="80">
        <f>'05'!AD21</f>
        <v>0.45833333333333331</v>
      </c>
      <c r="G18" s="80">
        <f>'06'!AD22</f>
        <v>0.45833333333333331</v>
      </c>
      <c r="H18" s="80"/>
      <c r="I18" s="80">
        <f>'08'!AD21</f>
        <v>0</v>
      </c>
      <c r="J18" s="80">
        <f>'09'!AD21</f>
        <v>0.41666666666666669</v>
      </c>
      <c r="K18" s="80">
        <f>'10'!AD21</f>
        <v>0.5</v>
      </c>
      <c r="L18" s="80">
        <f>'11'!AD21</f>
        <v>0.5</v>
      </c>
      <c r="M18" s="80">
        <f>'12'!AD21</f>
        <v>0.5</v>
      </c>
      <c r="N18" s="80"/>
      <c r="O18" s="80"/>
      <c r="P18" s="80"/>
      <c r="Q18" s="80">
        <f>'16'!AD22</f>
        <v>0.45833333333333331</v>
      </c>
      <c r="R18" s="80">
        <f>'17'!AD21</f>
        <v>0.58333333333333337</v>
      </c>
      <c r="S18" s="80">
        <f>'18'!AD21</f>
        <v>0.58333333333333337</v>
      </c>
      <c r="T18" s="80">
        <f>'19'!AD21</f>
        <v>0.58333333333333337</v>
      </c>
      <c r="U18" s="80">
        <f>'20'!AD21</f>
        <v>0.58333333333333337</v>
      </c>
      <c r="V18" s="80"/>
      <c r="W18" s="80"/>
      <c r="X18" s="80">
        <f>'23'!AD21</f>
        <v>0.5</v>
      </c>
      <c r="Y18" s="80">
        <f>'24'!AD21</f>
        <v>0.5</v>
      </c>
      <c r="Z18" s="80">
        <f>'25'!AD21</f>
        <v>0</v>
      </c>
      <c r="AA18" s="80">
        <f>'26'!AD23</f>
        <v>0.83333333333333337</v>
      </c>
      <c r="AB18" s="80">
        <f>'27'!AD21</f>
        <v>0.41666666666666669</v>
      </c>
      <c r="AC18" s="80"/>
      <c r="AD18" s="80"/>
      <c r="AE18" s="80">
        <f>'30'!AD21</f>
        <v>0.25</v>
      </c>
      <c r="AF18" s="81"/>
      <c r="AG18" s="82">
        <f t="shared" si="0"/>
        <v>0.29999999999999993</v>
      </c>
    </row>
    <row r="19" spans="1:33" s="83" customFormat="1" ht="21.75" customHeight="1">
      <c r="A19" s="87" t="s">
        <v>104</v>
      </c>
      <c r="B19" s="91"/>
      <c r="C19" s="91">
        <f>'02'!AD22</f>
        <v>0.4140625</v>
      </c>
      <c r="D19" s="92">
        <f>'03'!AD24</f>
        <v>0.40277777777777779</v>
      </c>
      <c r="E19" s="92">
        <f>'04'!AD23</f>
        <v>0.46813725490196079</v>
      </c>
      <c r="F19" s="92">
        <f>'05'!AD22</f>
        <v>0.546875</v>
      </c>
      <c r="G19" s="92">
        <f>'06'!AD23</f>
        <v>0.54656862745098045</v>
      </c>
      <c r="H19" s="92"/>
      <c r="I19" s="92">
        <f>'08'!AD22</f>
        <v>2.34375E-2</v>
      </c>
      <c r="J19" s="92">
        <f>'09'!AD22</f>
        <v>0.5546875</v>
      </c>
      <c r="K19" s="92">
        <f>'10'!AD22</f>
        <v>0.49218750000000006</v>
      </c>
      <c r="L19" s="92">
        <f>'11'!AD22</f>
        <v>0.64583333333333326</v>
      </c>
      <c r="M19" s="92">
        <f>'12'!AD22</f>
        <v>0.56770833333333326</v>
      </c>
      <c r="N19" s="92"/>
      <c r="O19" s="92"/>
      <c r="P19" s="92"/>
      <c r="Q19" s="92">
        <f>'16'!AD23</f>
        <v>0.46813725490196079</v>
      </c>
      <c r="R19" s="92">
        <f>'17'!AD22</f>
        <v>0.55208333333333337</v>
      </c>
      <c r="S19" s="92">
        <f>'18'!AD22</f>
        <v>0.54166666666666663</v>
      </c>
      <c r="T19" s="92">
        <f>'19'!AD22</f>
        <v>0.57812500000000011</v>
      </c>
      <c r="U19" s="92">
        <f>'20'!AD22</f>
        <v>0.47135416666666669</v>
      </c>
      <c r="V19" s="92"/>
      <c r="W19" s="92"/>
      <c r="X19" s="92">
        <f>'23'!AD22</f>
        <v>0.31510416666666663</v>
      </c>
      <c r="Y19" s="92">
        <f>'24'!AD22</f>
        <v>0.46614583333333331</v>
      </c>
      <c r="Z19" s="92">
        <f>'25'!AD22</f>
        <v>0.33854166666666669</v>
      </c>
      <c r="AA19" s="92">
        <f>'26'!AD24</f>
        <v>0.29166666666666663</v>
      </c>
      <c r="AB19" s="92">
        <f>'27'!AD22</f>
        <v>0.19531249999999997</v>
      </c>
      <c r="AC19" s="92"/>
      <c r="AD19" s="92"/>
      <c r="AE19" s="92">
        <f>'30'!AD22</f>
        <v>0.546875</v>
      </c>
      <c r="AF19" s="93"/>
      <c r="AG19" s="94">
        <f t="shared" si="0"/>
        <v>0.31424291938997817</v>
      </c>
    </row>
    <row r="20" spans="1:33" ht="21.75" customHeight="1" thickBot="1">
      <c r="A20" s="69" t="s">
        <v>108</v>
      </c>
      <c r="B20" s="70">
        <v>0.62</v>
      </c>
      <c r="C20" s="71">
        <v>0.62</v>
      </c>
      <c r="D20" s="71">
        <v>0.62</v>
      </c>
      <c r="E20" s="71">
        <v>0.62</v>
      </c>
      <c r="F20" s="71">
        <v>0.62</v>
      </c>
      <c r="G20" s="71">
        <v>0.62</v>
      </c>
      <c r="H20" s="71">
        <v>0.62</v>
      </c>
      <c r="I20" s="71">
        <v>0.62</v>
      </c>
      <c r="J20" s="71">
        <v>0.62</v>
      </c>
      <c r="K20" s="71">
        <v>0.62</v>
      </c>
      <c r="L20" s="71">
        <v>0.62</v>
      </c>
      <c r="M20" s="71">
        <v>0.62</v>
      </c>
      <c r="N20" s="71">
        <v>0.62</v>
      </c>
      <c r="O20" s="71">
        <v>0.62</v>
      </c>
      <c r="P20" s="71">
        <v>0.62</v>
      </c>
      <c r="Q20" s="71">
        <v>0.62</v>
      </c>
      <c r="R20" s="71">
        <v>0.62</v>
      </c>
      <c r="S20" s="71">
        <v>0.62</v>
      </c>
      <c r="T20" s="71">
        <v>0.62</v>
      </c>
      <c r="U20" s="71">
        <v>0.62</v>
      </c>
      <c r="V20" s="71">
        <v>0.62</v>
      </c>
      <c r="W20" s="71">
        <v>0.62</v>
      </c>
      <c r="X20" s="71">
        <v>0.62</v>
      </c>
      <c r="Y20" s="71">
        <v>0.62</v>
      </c>
      <c r="Z20" s="71">
        <v>0.62</v>
      </c>
      <c r="AA20" s="71">
        <v>0.62</v>
      </c>
      <c r="AB20" s="71">
        <v>0.62</v>
      </c>
      <c r="AC20" s="71">
        <v>0.62</v>
      </c>
      <c r="AD20" s="71">
        <v>0.62</v>
      </c>
      <c r="AE20" s="71">
        <v>0.62</v>
      </c>
      <c r="AF20" s="72">
        <v>0.62</v>
      </c>
      <c r="AG20" s="73">
        <v>0.62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22</vt:i4>
      </vt:variant>
      <vt:variant>
        <vt:lpstr>이름 지정된 범위</vt:lpstr>
      </vt:variant>
      <vt:variant>
        <vt:i4>42</vt:i4>
      </vt:variant>
    </vt:vector>
  </HeadingPairs>
  <TitlesOfParts>
    <vt:vector size="64" baseType="lpstr">
      <vt:lpstr>02</vt:lpstr>
      <vt:lpstr>03</vt:lpstr>
      <vt:lpstr>04</vt:lpstr>
      <vt:lpstr>05</vt:lpstr>
      <vt:lpstr>06</vt:lpstr>
      <vt:lpstr>08</vt:lpstr>
      <vt:lpstr>09</vt:lpstr>
      <vt:lpstr>10</vt:lpstr>
      <vt:lpstr>11</vt:lpstr>
      <vt:lpstr>12</vt:lpstr>
      <vt:lpstr>16</vt:lpstr>
      <vt:lpstr>17</vt:lpstr>
      <vt:lpstr>18</vt:lpstr>
      <vt:lpstr>19</vt:lpstr>
      <vt:lpstr>20</vt:lpstr>
      <vt:lpstr>23</vt:lpstr>
      <vt:lpstr>24</vt:lpstr>
      <vt:lpstr>25</vt:lpstr>
      <vt:lpstr>26</vt:lpstr>
      <vt:lpstr>27</vt:lpstr>
      <vt:lpstr>30</vt:lpstr>
      <vt:lpstr>총괄</vt:lpstr>
      <vt:lpstr>'02'!Print_Area</vt:lpstr>
      <vt:lpstr>'03'!Print_Area</vt:lpstr>
      <vt:lpstr>'04'!Print_Area</vt:lpstr>
      <vt:lpstr>'05'!Print_Area</vt:lpstr>
      <vt:lpstr>'06'!Print_Area</vt:lpstr>
      <vt:lpstr>'08'!Print_Area</vt:lpstr>
      <vt:lpstr>'09'!Print_Area</vt:lpstr>
      <vt:lpstr>'10'!Print_Area</vt:lpstr>
      <vt:lpstr>'11'!Print_Area</vt:lpstr>
      <vt:lpstr>'12'!Print_Area</vt:lpstr>
      <vt:lpstr>'16'!Print_Area</vt:lpstr>
      <vt:lpstr>'17'!Print_Area</vt:lpstr>
      <vt:lpstr>'18'!Print_Area</vt:lpstr>
      <vt:lpstr>'19'!Print_Area</vt:lpstr>
      <vt:lpstr>'20'!Print_Area</vt:lpstr>
      <vt:lpstr>'23'!Print_Area</vt:lpstr>
      <vt:lpstr>'24'!Print_Area</vt:lpstr>
      <vt:lpstr>'25'!Print_Area</vt:lpstr>
      <vt:lpstr>'26'!Print_Area</vt:lpstr>
      <vt:lpstr>'27'!Print_Area</vt:lpstr>
      <vt:lpstr>'30'!Print_Area</vt:lpstr>
      <vt:lpstr>'02'!ㅁ1</vt:lpstr>
      <vt:lpstr>'03'!ㅁ1</vt:lpstr>
      <vt:lpstr>'04'!ㅁ1</vt:lpstr>
      <vt:lpstr>'05'!ㅁ1</vt:lpstr>
      <vt:lpstr>'06'!ㅁ1</vt:lpstr>
      <vt:lpstr>'08'!ㅁ1</vt:lpstr>
      <vt:lpstr>'09'!ㅁ1</vt:lpstr>
      <vt:lpstr>'10'!ㅁ1</vt:lpstr>
      <vt:lpstr>'11'!ㅁ1</vt:lpstr>
      <vt:lpstr>'12'!ㅁ1</vt:lpstr>
      <vt:lpstr>'16'!ㅁ1</vt:lpstr>
      <vt:lpstr>'17'!ㅁ1</vt:lpstr>
      <vt:lpstr>'18'!ㅁ1</vt:lpstr>
      <vt:lpstr>'19'!ㅁ1</vt:lpstr>
      <vt:lpstr>'20'!ㅁ1</vt:lpstr>
      <vt:lpstr>'23'!ㅁ1</vt:lpstr>
      <vt:lpstr>'24'!ㅁ1</vt:lpstr>
      <vt:lpstr>'25'!ㅁ1</vt:lpstr>
      <vt:lpstr>'26'!ㅁ1</vt:lpstr>
      <vt:lpstr>'27'!ㅁ1</vt:lpstr>
      <vt:lpstr>'30'!ㅁ1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2020-03-30T05:00:42Z</cp:lastPrinted>
  <dcterms:created xsi:type="dcterms:W3CDTF">2014-05-16T00:06:55Z</dcterms:created>
  <dcterms:modified xsi:type="dcterms:W3CDTF">2020-12-01T00:16:16Z</dcterms:modified>
</cp:coreProperties>
</file>