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2A5121F6-0875-4FFA-930A-00CC489251E7}" xr6:coauthVersionLast="45" xr6:coauthVersionMax="45" xr10:uidLastSave="{00000000-0000-0000-0000-000000000000}"/>
  <bookViews>
    <workbookView xWindow="-120" yWindow="-120" windowWidth="29040" windowHeight="15840" activeTab="21" xr2:uid="{00000000-000D-0000-FFFF-FFFF00000000}"/>
  </bookViews>
  <sheets>
    <sheet name="01" sheetId="1887" r:id="rId1"/>
    <sheet name="02" sheetId="1888" r:id="rId2"/>
    <sheet name="03" sheetId="1889" r:id="rId3"/>
    <sheet name="04" sheetId="1890" r:id="rId4"/>
    <sheet name="07" sheetId="1891" r:id="rId5"/>
    <sheet name="08" sheetId="1892" r:id="rId6"/>
    <sheet name="09" sheetId="1893" r:id="rId7"/>
    <sheet name="10" sheetId="1894" r:id="rId8"/>
    <sheet name="11" sheetId="1895" r:id="rId9"/>
    <sheet name="14" sheetId="1896" r:id="rId10"/>
    <sheet name="15" sheetId="1897" r:id="rId11"/>
    <sheet name="16" sheetId="1898" r:id="rId12"/>
    <sheet name="17" sheetId="1899" r:id="rId13"/>
    <sheet name="21" sheetId="1900" r:id="rId14"/>
    <sheet name="22" sheetId="1901" r:id="rId15"/>
    <sheet name="23" sheetId="1902" r:id="rId16"/>
    <sheet name="24" sheetId="1903" r:id="rId17"/>
    <sheet name="25" sheetId="1904" r:id="rId18"/>
    <sheet name="28" sheetId="1905" r:id="rId19"/>
    <sheet name="29" sheetId="1906" r:id="rId20"/>
    <sheet name="30" sheetId="1907" r:id="rId21"/>
    <sheet name="31" sheetId="1908" r:id="rId22"/>
    <sheet name="총괄" sheetId="16" r:id="rId23"/>
  </sheets>
  <definedNames>
    <definedName name="_xlnm.Print_Area" localSheetId="0">'01'!$A$1:$AD$88</definedName>
    <definedName name="_xlnm.Print_Area" localSheetId="1">'02'!$A$1:$AD$87</definedName>
    <definedName name="_xlnm.Print_Area" localSheetId="2">'03'!$A$1:$AD$87</definedName>
    <definedName name="_xlnm.Print_Area" localSheetId="3">'04'!$A$1:$AD$87</definedName>
    <definedName name="_xlnm.Print_Area" localSheetId="4">'07'!$A$1:$AD$87</definedName>
    <definedName name="_xlnm.Print_Area" localSheetId="5">'08'!$A$1:$AD$88</definedName>
    <definedName name="_xlnm.Print_Area" localSheetId="6">'09'!$A$1:$AD$87</definedName>
    <definedName name="_xlnm.Print_Area" localSheetId="7">'10'!$A$1:$AD$87</definedName>
    <definedName name="_xlnm.Print_Area" localSheetId="8">'11'!$A$1:$AD$87</definedName>
    <definedName name="_xlnm.Print_Area" localSheetId="9">'14'!$A$1:$AD$88</definedName>
    <definedName name="_xlnm.Print_Area" localSheetId="10">'15'!$A$1:$AD$87</definedName>
    <definedName name="_xlnm.Print_Area" localSheetId="11">'16'!$A$1:$AD$88</definedName>
    <definedName name="_xlnm.Print_Area" localSheetId="12">'17'!$A$1:$AD$87</definedName>
    <definedName name="_xlnm.Print_Area" localSheetId="13">'21'!$A$1:$AD$87</definedName>
    <definedName name="_xlnm.Print_Area" localSheetId="14">'22'!$A$1:$AD$87</definedName>
    <definedName name="_xlnm.Print_Area" localSheetId="15">'23'!$A$1:$AD$87</definedName>
    <definedName name="_xlnm.Print_Area" localSheetId="16">'24'!$A$1:$AD$87</definedName>
    <definedName name="_xlnm.Print_Area" localSheetId="17">'25'!$A$1:$AD$87</definedName>
    <definedName name="_xlnm.Print_Area" localSheetId="18">'28'!$A$1:$AD$87</definedName>
    <definedName name="_xlnm.Print_Area" localSheetId="19">'29'!$A$1:$AD$87</definedName>
    <definedName name="_xlnm.Print_Area" localSheetId="20">'30'!$A$1:$AD$88</definedName>
    <definedName name="_xlnm.Print_Area" localSheetId="21">'31'!$A$1:$AD$87</definedName>
    <definedName name="ㅁ1" localSheetId="0">'01'!$M$1048523:$M$1048576</definedName>
    <definedName name="ㅁ1" localSheetId="1">'02'!$M$1048522:$M$1048576</definedName>
    <definedName name="ㅁ1" localSheetId="2">'03'!$M$1048522:$M$1048576</definedName>
    <definedName name="ㅁ1" localSheetId="3">'04'!$M$1048522:$M$1048576</definedName>
    <definedName name="ㅁ1" localSheetId="4">'07'!$M$1048522:$M$1048576</definedName>
    <definedName name="ㅁ1" localSheetId="5">'08'!$M$1048523:$M$1048576</definedName>
    <definedName name="ㅁ1" localSheetId="6">'09'!$M$1048522:$M$1048576</definedName>
    <definedName name="ㅁ1" localSheetId="7">'10'!$M$1048522:$M$1048576</definedName>
    <definedName name="ㅁ1" localSheetId="8">'11'!$M$1048522:$M$1048576</definedName>
    <definedName name="ㅁ1" localSheetId="9">'14'!$M$1048523:$M$1048576</definedName>
    <definedName name="ㅁ1" localSheetId="10">'15'!$M$1048522:$M$1048576</definedName>
    <definedName name="ㅁ1" localSheetId="11">'16'!$M$1048523:$M$1048576</definedName>
    <definedName name="ㅁ1" localSheetId="12">'17'!$M$1048522:$M$1048576</definedName>
    <definedName name="ㅁ1" localSheetId="13">'21'!$M$1048522:$M$1048576</definedName>
    <definedName name="ㅁ1" localSheetId="14">'22'!$M$1048522:$M$1048576</definedName>
    <definedName name="ㅁ1" localSheetId="15">'23'!$M$1048522:$M$1048576</definedName>
    <definedName name="ㅁ1" localSheetId="16">'24'!$M$1048522:$M$1048576</definedName>
    <definedName name="ㅁ1" localSheetId="17">'25'!$M$1048522:$M$1048576</definedName>
    <definedName name="ㅁ1" localSheetId="18">'28'!$M$1048522:$M$1048576</definedName>
    <definedName name="ㅁ1" localSheetId="19">'29'!$M$1048522:$M$1048576</definedName>
    <definedName name="ㅁ1" localSheetId="20">'30'!$M$1048523:$M$1048576</definedName>
    <definedName name="ㅁ1" localSheetId="21">'31'!$M$1048522:$M$1048576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F19" i="16" l="1"/>
  <c r="AF18" i="16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1" i="1908"/>
  <c r="K21" i="1908" s="1"/>
  <c r="L20" i="1908"/>
  <c r="K20" i="1908" s="1"/>
  <c r="L19" i="1908"/>
  <c r="O19" i="1908" s="1"/>
  <c r="L18" i="1908"/>
  <c r="L17" i="1908"/>
  <c r="L16" i="1908"/>
  <c r="K14" i="1908"/>
  <c r="L13" i="1908"/>
  <c r="K13" i="1908" s="1"/>
  <c r="L12" i="1908"/>
  <c r="O12" i="1908" s="1"/>
  <c r="L11" i="1908"/>
  <c r="L10" i="1908"/>
  <c r="K10" i="1908" s="1"/>
  <c r="L9" i="1908"/>
  <c r="L7" i="1908"/>
  <c r="K18" i="1908"/>
  <c r="K17" i="1908"/>
  <c r="K16" i="1908"/>
  <c r="K11" i="1908"/>
  <c r="K9" i="1908"/>
  <c r="K8" i="1908"/>
  <c r="K7" i="1908"/>
  <c r="A77" i="1908"/>
  <c r="A78" i="1908" s="1"/>
  <c r="A79" i="1908" s="1"/>
  <c r="A80" i="1908" s="1"/>
  <c r="A81" i="1908" s="1"/>
  <c r="A82" i="1908" s="1"/>
  <c r="AF61" i="1908"/>
  <c r="AF60" i="1908"/>
  <c r="AF63" i="1908" s="1"/>
  <c r="AA22" i="1908"/>
  <c r="Z22" i="1908"/>
  <c r="Y22" i="1908"/>
  <c r="X22" i="1908"/>
  <c r="W22" i="1908"/>
  <c r="V22" i="1908"/>
  <c r="U22" i="1908"/>
  <c r="T22" i="1908"/>
  <c r="S22" i="1908"/>
  <c r="R22" i="1908"/>
  <c r="N22" i="1908"/>
  <c r="J22" i="1908"/>
  <c r="I22" i="1908"/>
  <c r="AF21" i="1908"/>
  <c r="AB21" i="1908"/>
  <c r="Q21" i="1908"/>
  <c r="P21" i="1908"/>
  <c r="AC21" i="1908" s="1"/>
  <c r="O21" i="1908"/>
  <c r="M21" i="1908"/>
  <c r="AF20" i="1908"/>
  <c r="Q20" i="1908"/>
  <c r="P20" i="1908" s="1"/>
  <c r="AC20" i="1908" s="1"/>
  <c r="O20" i="1908"/>
  <c r="AF19" i="1908"/>
  <c r="Q19" i="1908"/>
  <c r="P19" i="1908" s="1"/>
  <c r="AC19" i="1908" s="1"/>
  <c r="M19" i="1908"/>
  <c r="K19" i="1908"/>
  <c r="AF18" i="1908"/>
  <c r="Q18" i="1908"/>
  <c r="P18" i="1908" s="1"/>
  <c r="AC18" i="1908" s="1"/>
  <c r="M18" i="1908"/>
  <c r="O18" i="1908"/>
  <c r="AF17" i="1908"/>
  <c r="Q17" i="1908"/>
  <c r="O17" i="1908"/>
  <c r="P17" i="1908"/>
  <c r="AC17" i="1908" s="1"/>
  <c r="AF16" i="1908"/>
  <c r="AB16" i="1908"/>
  <c r="Q16" i="1908"/>
  <c r="P16" i="1908"/>
  <c r="AC16" i="1908" s="1"/>
  <c r="O16" i="1908"/>
  <c r="M16" i="1908"/>
  <c r="AF15" i="1908"/>
  <c r="AC15" i="1908"/>
  <c r="AB15" i="1908"/>
  <c r="Q15" i="1908"/>
  <c r="P15" i="1908"/>
  <c r="O15" i="1908"/>
  <c r="M15" i="1908"/>
  <c r="K15" i="1908"/>
  <c r="AF14" i="1908"/>
  <c r="AB14" i="1908"/>
  <c r="Q14" i="1908"/>
  <c r="P14" i="1908"/>
  <c r="AC14" i="1908" s="1"/>
  <c r="O14" i="1908"/>
  <c r="M14" i="1908"/>
  <c r="AF13" i="1908"/>
  <c r="Q13" i="1908"/>
  <c r="AB13" i="1908"/>
  <c r="AF12" i="1908"/>
  <c r="AB12" i="1908"/>
  <c r="Q12" i="1908"/>
  <c r="M12" i="1908"/>
  <c r="AF11" i="1908"/>
  <c r="AB11" i="1908"/>
  <c r="Q11" i="1908"/>
  <c r="P11" i="1908" s="1"/>
  <c r="AC11" i="1908" s="1"/>
  <c r="O11" i="1908"/>
  <c r="M11" i="1908"/>
  <c r="AF10" i="1908"/>
  <c r="Q10" i="1908"/>
  <c r="AB10" i="1908"/>
  <c r="AF9" i="1908"/>
  <c r="AB9" i="1908"/>
  <c r="Q9" i="1908"/>
  <c r="P9" i="1908" s="1"/>
  <c r="AC9" i="1908" s="1"/>
  <c r="M9" i="1908"/>
  <c r="O9" i="1908"/>
  <c r="AF8" i="1908"/>
  <c r="AB8" i="1908"/>
  <c r="Q8" i="1908"/>
  <c r="P8" i="1908" s="1"/>
  <c r="AC8" i="1908" s="1"/>
  <c r="AD8" i="1908" s="1"/>
  <c r="O8" i="1908"/>
  <c r="M8" i="1908"/>
  <c r="AF7" i="1908"/>
  <c r="Q7" i="1908"/>
  <c r="P7" i="1908" s="1"/>
  <c r="AC7" i="1908" s="1"/>
  <c r="O7" i="1908"/>
  <c r="AF6" i="1908"/>
  <c r="AB6" i="1908"/>
  <c r="Q6" i="1908"/>
  <c r="P6" i="1908"/>
  <c r="AC6" i="1908" s="1"/>
  <c r="O6" i="1908"/>
  <c r="M6" i="1908"/>
  <c r="K6" i="1908"/>
  <c r="AB19" i="1908" l="1"/>
  <c r="AD19" i="1908" s="1"/>
  <c r="K12" i="1908"/>
  <c r="P12" i="1908"/>
  <c r="AC12" i="1908" s="1"/>
  <c r="AD12" i="1908" s="1"/>
  <c r="Q22" i="1908"/>
  <c r="AD14" i="1908"/>
  <c r="AD15" i="1908"/>
  <c r="AD16" i="1908"/>
  <c r="AD11" i="1908"/>
  <c r="AD21" i="1908"/>
  <c r="AD6" i="1908"/>
  <c r="AD9" i="1908"/>
  <c r="O10" i="1908"/>
  <c r="AB18" i="1908"/>
  <c r="AD18" i="1908" s="1"/>
  <c r="L22" i="1908"/>
  <c r="O22" i="1908" s="1"/>
  <c r="O13" i="1908"/>
  <c r="M7" i="1908"/>
  <c r="AB7" i="1908"/>
  <c r="AD7" i="1908" s="1"/>
  <c r="P10" i="1908"/>
  <c r="AC10" i="1908" s="1"/>
  <c r="P13" i="1908"/>
  <c r="AC13" i="1908" s="1"/>
  <c r="M17" i="1908"/>
  <c r="AB17" i="1908"/>
  <c r="AD17" i="1908" s="1"/>
  <c r="M20" i="1908"/>
  <c r="AB20" i="1908"/>
  <c r="AD20" i="1908" s="1"/>
  <c r="K22" i="1908"/>
  <c r="M10" i="1908"/>
  <c r="M13" i="1908"/>
  <c r="AG19" i="16"/>
  <c r="AE19" i="16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2" i="1907"/>
  <c r="M22" i="1907" s="1"/>
  <c r="L21" i="1907"/>
  <c r="L19" i="1907"/>
  <c r="AF19" i="1907"/>
  <c r="Q19" i="1907"/>
  <c r="O19" i="1907"/>
  <c r="M19" i="1907"/>
  <c r="K19" i="1907"/>
  <c r="L18" i="1907"/>
  <c r="K18" i="1907" s="1"/>
  <c r="L17" i="1907"/>
  <c r="K17" i="1907" s="1"/>
  <c r="L14" i="1907"/>
  <c r="L12" i="1907"/>
  <c r="O12" i="1907" s="1"/>
  <c r="L11" i="1907"/>
  <c r="L10" i="1907"/>
  <c r="K10" i="1907" s="1"/>
  <c r="AF9" i="1907"/>
  <c r="AB9" i="1907"/>
  <c r="Q9" i="1907"/>
  <c r="P9" i="1907" s="1"/>
  <c r="AC9" i="1907" s="1"/>
  <c r="O9" i="1907"/>
  <c r="M9" i="1907"/>
  <c r="K9" i="1907"/>
  <c r="K8" i="1907"/>
  <c r="L7" i="1907"/>
  <c r="K7" i="1907" s="1"/>
  <c r="K21" i="1907"/>
  <c r="K16" i="1907"/>
  <c r="K14" i="1907"/>
  <c r="K13" i="1907"/>
  <c r="K11" i="1907"/>
  <c r="A79" i="1907"/>
  <c r="A80" i="1907" s="1"/>
  <c r="A81" i="1907" s="1"/>
  <c r="A82" i="1907" s="1"/>
  <c r="A83" i="1907" s="1"/>
  <c r="A78" i="1907"/>
  <c r="AF62" i="1907"/>
  <c r="AF61" i="1907"/>
  <c r="AF64" i="1907" s="1"/>
  <c r="AA23" i="1907"/>
  <c r="Z23" i="1907"/>
  <c r="Y23" i="1907"/>
  <c r="X23" i="1907"/>
  <c r="W23" i="1907"/>
  <c r="V23" i="1907"/>
  <c r="U23" i="1907"/>
  <c r="T23" i="1907"/>
  <c r="S23" i="1907"/>
  <c r="R23" i="1907"/>
  <c r="N23" i="1907"/>
  <c r="J23" i="1907"/>
  <c r="I23" i="1907"/>
  <c r="AF22" i="1907"/>
  <c r="AB22" i="1907"/>
  <c r="Q22" i="1907"/>
  <c r="O22" i="1907"/>
  <c r="P22" i="1907"/>
  <c r="AC22" i="1907" s="1"/>
  <c r="AF21" i="1907"/>
  <c r="AB21" i="1907"/>
  <c r="Q21" i="1907"/>
  <c r="P21" i="1907" s="1"/>
  <c r="AC21" i="1907" s="1"/>
  <c r="M21" i="1907"/>
  <c r="AF20" i="1907"/>
  <c r="AB20" i="1907"/>
  <c r="Q20" i="1907"/>
  <c r="P20" i="1907"/>
  <c r="AC20" i="1907" s="1"/>
  <c r="O20" i="1907"/>
  <c r="M20" i="1907"/>
  <c r="K20" i="1907"/>
  <c r="AF18" i="1907"/>
  <c r="Q18" i="1907"/>
  <c r="O18" i="1907"/>
  <c r="AF17" i="1907"/>
  <c r="AB17" i="1907"/>
  <c r="Q17" i="1907"/>
  <c r="O17" i="1907"/>
  <c r="AF16" i="1907"/>
  <c r="AB16" i="1907"/>
  <c r="Q16" i="1907"/>
  <c r="P16" i="1907" s="1"/>
  <c r="AC16" i="1907" s="1"/>
  <c r="O16" i="1907"/>
  <c r="M16" i="1907"/>
  <c r="AF15" i="1907"/>
  <c r="AB15" i="1907"/>
  <c r="Q15" i="1907"/>
  <c r="P15" i="1907"/>
  <c r="AC15" i="1907" s="1"/>
  <c r="O15" i="1907"/>
  <c r="M15" i="1907"/>
  <c r="K15" i="1907"/>
  <c r="AF14" i="1907"/>
  <c r="AB14" i="1907"/>
  <c r="Q14" i="1907"/>
  <c r="P14" i="1907" s="1"/>
  <c r="AC14" i="1907" s="1"/>
  <c r="O14" i="1907"/>
  <c r="M14" i="1907"/>
  <c r="AF13" i="1907"/>
  <c r="Q13" i="1907"/>
  <c r="P13" i="1907" s="1"/>
  <c r="AC13" i="1907" s="1"/>
  <c r="AF12" i="1907"/>
  <c r="Q12" i="1907"/>
  <c r="P12" i="1907" s="1"/>
  <c r="AC12" i="1907" s="1"/>
  <c r="AF11" i="1907"/>
  <c r="AB11" i="1907"/>
  <c r="Q11" i="1907"/>
  <c r="P11" i="1907" s="1"/>
  <c r="AC11" i="1907" s="1"/>
  <c r="O11" i="1907"/>
  <c r="M11" i="1907"/>
  <c r="AF10" i="1907"/>
  <c r="AB10" i="1907"/>
  <c r="Q10" i="1907"/>
  <c r="O10" i="1907"/>
  <c r="AF8" i="1907"/>
  <c r="AB8" i="1907"/>
  <c r="Q8" i="1907"/>
  <c r="P8" i="1907" s="1"/>
  <c r="AC8" i="1907" s="1"/>
  <c r="O8" i="1907"/>
  <c r="M8" i="1907"/>
  <c r="AF7" i="1907"/>
  <c r="AB7" i="1907"/>
  <c r="Q7" i="1907"/>
  <c r="O7" i="1907"/>
  <c r="L23" i="1907"/>
  <c r="O23" i="1907" s="1"/>
  <c r="AF6" i="1907"/>
  <c r="AB6" i="1907"/>
  <c r="Q6" i="1907"/>
  <c r="P6" i="1907"/>
  <c r="AC6" i="1907" s="1"/>
  <c r="AD6" i="1907" s="1"/>
  <c r="O6" i="1907"/>
  <c r="M6" i="1907"/>
  <c r="K6" i="1907"/>
  <c r="AD10" i="1908" l="1"/>
  <c r="P22" i="1908"/>
  <c r="M22" i="1908"/>
  <c r="AB22" i="1908"/>
  <c r="AC22" i="1908"/>
  <c r="AD13" i="1908"/>
  <c r="AD22" i="1908" s="1"/>
  <c r="AD22" i="1907"/>
  <c r="K22" i="1907"/>
  <c r="P7" i="1907"/>
  <c r="AC7" i="1907" s="1"/>
  <c r="M10" i="1907"/>
  <c r="M17" i="1907"/>
  <c r="K12" i="1907"/>
  <c r="M7" i="1907"/>
  <c r="P10" i="1907"/>
  <c r="AC10" i="1907" s="1"/>
  <c r="P17" i="1907"/>
  <c r="AC17" i="1907" s="1"/>
  <c r="P19" i="1907"/>
  <c r="AC19" i="1907" s="1"/>
  <c r="AB19" i="1907"/>
  <c r="AD20" i="1907"/>
  <c r="AD11" i="1907"/>
  <c r="AD9" i="1907"/>
  <c r="AD16" i="1907"/>
  <c r="AD10" i="1907"/>
  <c r="AD14" i="1907"/>
  <c r="Q23" i="1907"/>
  <c r="AD7" i="1907"/>
  <c r="AD15" i="1907"/>
  <c r="AD8" i="1907"/>
  <c r="AD17" i="1907"/>
  <c r="P18" i="1907"/>
  <c r="AC18" i="1907" s="1"/>
  <c r="AB13" i="1907"/>
  <c r="M13" i="1907"/>
  <c r="K23" i="1907"/>
  <c r="M12" i="1907"/>
  <c r="AB12" i="1907"/>
  <c r="O13" i="1907"/>
  <c r="M18" i="1907"/>
  <c r="AB18" i="1907"/>
  <c r="O21" i="1907"/>
  <c r="AD21" i="1907" s="1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1906"/>
  <c r="L20" i="1906"/>
  <c r="K18" i="1906"/>
  <c r="L17" i="1906"/>
  <c r="L16" i="1906"/>
  <c r="K15" i="1906"/>
  <c r="AE21" i="1908" l="1"/>
  <c r="AE18" i="1908"/>
  <c r="AE12" i="1908"/>
  <c r="AE9" i="1908"/>
  <c r="AE13" i="1908"/>
  <c r="AE15" i="1908"/>
  <c r="AE10" i="1908"/>
  <c r="AE19" i="1908"/>
  <c r="AE16" i="1908"/>
  <c r="AE11" i="1908"/>
  <c r="AE6" i="1908"/>
  <c r="AE14" i="1908"/>
  <c r="AE7" i="1908"/>
  <c r="AE20" i="1908"/>
  <c r="AE17" i="1908"/>
  <c r="AE8" i="1908"/>
  <c r="AD19" i="1907"/>
  <c r="AB23" i="1907"/>
  <c r="P23" i="1907"/>
  <c r="AD13" i="1907"/>
  <c r="M23" i="1907"/>
  <c r="AD18" i="1907"/>
  <c r="AC23" i="1907"/>
  <c r="AD12" i="1907"/>
  <c r="L13" i="1906"/>
  <c r="L12" i="1906"/>
  <c r="P12" i="1906" s="1"/>
  <c r="AC12" i="1906" s="1"/>
  <c r="L11" i="1906"/>
  <c r="K11" i="1906" s="1"/>
  <c r="L10" i="1906"/>
  <c r="O10" i="1906" s="1"/>
  <c r="K10" i="1906"/>
  <c r="L9" i="1906"/>
  <c r="K9" i="1906" s="1"/>
  <c r="L7" i="1906"/>
  <c r="K7" i="1906" s="1"/>
  <c r="K21" i="1906"/>
  <c r="K20" i="1906"/>
  <c r="K17" i="1906"/>
  <c r="K16" i="1906"/>
  <c r="K14" i="1906"/>
  <c r="K13" i="1906"/>
  <c r="A77" i="1906"/>
  <c r="A78" i="1906" s="1"/>
  <c r="A79" i="1906" s="1"/>
  <c r="A80" i="1906" s="1"/>
  <c r="A81" i="1906" s="1"/>
  <c r="A82" i="1906" s="1"/>
  <c r="AF61" i="1906"/>
  <c r="AF60" i="1906"/>
  <c r="AF63" i="1906" s="1"/>
  <c r="AA22" i="1906"/>
  <c r="Z22" i="1906"/>
  <c r="Y22" i="1906"/>
  <c r="X22" i="1906"/>
  <c r="W22" i="1906"/>
  <c r="V22" i="1906"/>
  <c r="U22" i="1906"/>
  <c r="T22" i="1906"/>
  <c r="S22" i="1906"/>
  <c r="R22" i="1906"/>
  <c r="N22" i="1906"/>
  <c r="J22" i="1906"/>
  <c r="I22" i="1906"/>
  <c r="AF21" i="1906"/>
  <c r="Q21" i="1906"/>
  <c r="P21" i="1906"/>
  <c r="AC21" i="1906" s="1"/>
  <c r="O21" i="1906"/>
  <c r="AF20" i="1906"/>
  <c r="Q20" i="1906"/>
  <c r="P20" i="1906" s="1"/>
  <c r="AC20" i="1906" s="1"/>
  <c r="O20" i="1906"/>
  <c r="AB20" i="1906"/>
  <c r="AF19" i="1906"/>
  <c r="AB19" i="1906"/>
  <c r="Q19" i="1906"/>
  <c r="P19" i="1906"/>
  <c r="AC19" i="1906" s="1"/>
  <c r="O19" i="1906"/>
  <c r="M19" i="1906"/>
  <c r="K19" i="1906"/>
  <c r="AF18" i="1906"/>
  <c r="AB18" i="1906"/>
  <c r="Q18" i="1906"/>
  <c r="P18" i="1906"/>
  <c r="AC18" i="1906" s="1"/>
  <c r="O18" i="1906"/>
  <c r="M18" i="1906"/>
  <c r="AF17" i="1906"/>
  <c r="AB17" i="1906"/>
  <c r="Q17" i="1906"/>
  <c r="P17" i="1906"/>
  <c r="AC17" i="1906" s="1"/>
  <c r="O17" i="1906"/>
  <c r="M17" i="1906"/>
  <c r="AF16" i="1906"/>
  <c r="Q16" i="1906"/>
  <c r="AB16" i="1906"/>
  <c r="AF15" i="1906"/>
  <c r="AB15" i="1906"/>
  <c r="Q15" i="1906"/>
  <c r="P15" i="1906" s="1"/>
  <c r="AC15" i="1906" s="1"/>
  <c r="O15" i="1906"/>
  <c r="M15" i="1906"/>
  <c r="AF14" i="1906"/>
  <c r="AB14" i="1906"/>
  <c r="Q14" i="1906"/>
  <c r="P14" i="1906"/>
  <c r="AC14" i="1906" s="1"/>
  <c r="AD14" i="1906" s="1"/>
  <c r="O14" i="1906"/>
  <c r="M14" i="1906"/>
  <c r="AF13" i="1906"/>
  <c r="Q13" i="1906"/>
  <c r="AF12" i="1906"/>
  <c r="Q12" i="1906"/>
  <c r="AB12" i="1906"/>
  <c r="AF11" i="1906"/>
  <c r="AB11" i="1906"/>
  <c r="Q11" i="1906"/>
  <c r="P11" i="1906"/>
  <c r="AC11" i="1906" s="1"/>
  <c r="O11" i="1906"/>
  <c r="M11" i="1906"/>
  <c r="AF10" i="1906"/>
  <c r="AB10" i="1906"/>
  <c r="Q10" i="1906"/>
  <c r="P10" i="1906" s="1"/>
  <c r="AC10" i="1906" s="1"/>
  <c r="M10" i="1906"/>
  <c r="AF9" i="1906"/>
  <c r="Q9" i="1906"/>
  <c r="O9" i="1906"/>
  <c r="P9" i="1906"/>
  <c r="AC9" i="1906" s="1"/>
  <c r="AF8" i="1906"/>
  <c r="AB8" i="1906"/>
  <c r="Q8" i="1906"/>
  <c r="P8" i="1906"/>
  <c r="AC8" i="1906" s="1"/>
  <c r="AD8" i="1906" s="1"/>
  <c r="O8" i="1906"/>
  <c r="M8" i="1906"/>
  <c r="K8" i="1906"/>
  <c r="AF7" i="1906"/>
  <c r="Q7" i="1906"/>
  <c r="O7" i="1906"/>
  <c r="M7" i="1906"/>
  <c r="AF6" i="1906"/>
  <c r="AB6" i="1906"/>
  <c r="Q6" i="1906"/>
  <c r="P6" i="1906"/>
  <c r="AC6" i="1906" s="1"/>
  <c r="O6" i="1906"/>
  <c r="M6" i="1906"/>
  <c r="K6" i="1906"/>
  <c r="AD23" i="1907" l="1"/>
  <c r="AD17" i="1906"/>
  <c r="P13" i="1906"/>
  <c r="AC13" i="1906" s="1"/>
  <c r="O13" i="1906"/>
  <c r="O12" i="1906"/>
  <c r="AD12" i="1906" s="1"/>
  <c r="K12" i="1906"/>
  <c r="K22" i="1906" s="1"/>
  <c r="AD11" i="1906"/>
  <c r="Q22" i="1906"/>
  <c r="P7" i="1906"/>
  <c r="AC7" i="1906" s="1"/>
  <c r="AB7" i="1906"/>
  <c r="AD10" i="1906"/>
  <c r="AD15" i="1906"/>
  <c r="AD19" i="1906"/>
  <c r="AD18" i="1906"/>
  <c r="AD6" i="1906"/>
  <c r="AD20" i="1906"/>
  <c r="M13" i="1906"/>
  <c r="AB13" i="1906"/>
  <c r="AD13" i="1906" s="1"/>
  <c r="O16" i="1906"/>
  <c r="M21" i="1906"/>
  <c r="AB21" i="1906"/>
  <c r="AD21" i="1906" s="1"/>
  <c r="L22" i="1906"/>
  <c r="O22" i="1906" s="1"/>
  <c r="M9" i="1906"/>
  <c r="AB9" i="1906"/>
  <c r="AD9" i="1906" s="1"/>
  <c r="M12" i="1906"/>
  <c r="P16" i="1906"/>
  <c r="AC16" i="1906" s="1"/>
  <c r="M20" i="1906"/>
  <c r="M16" i="1906"/>
  <c r="L21" i="1905"/>
  <c r="L20" i="1905"/>
  <c r="L17" i="1905"/>
  <c r="L16" i="1905"/>
  <c r="K14" i="1905"/>
  <c r="L13" i="1905"/>
  <c r="K13" i="1905" s="1"/>
  <c r="AE9" i="1907" l="1"/>
  <c r="AE19" i="1907"/>
  <c r="AE8" i="1907"/>
  <c r="AE15" i="1907"/>
  <c r="AE12" i="1907"/>
  <c r="AE14" i="1907"/>
  <c r="AE13" i="1907"/>
  <c r="AE7" i="1907"/>
  <c r="AE18" i="1907"/>
  <c r="AE16" i="1907"/>
  <c r="AE21" i="1907"/>
  <c r="AE11" i="1907"/>
  <c r="AE6" i="1907"/>
  <c r="AE20" i="1907"/>
  <c r="AE17" i="1907"/>
  <c r="AE10" i="1907"/>
  <c r="AE22" i="1907"/>
  <c r="M22" i="1906"/>
  <c r="AD7" i="1906"/>
  <c r="AD16" i="1906"/>
  <c r="AB22" i="1906"/>
  <c r="P22" i="1906"/>
  <c r="AD22" i="1906"/>
  <c r="AC22" i="1906"/>
  <c r="L12" i="1905"/>
  <c r="L11" i="1905"/>
  <c r="L9" i="1905"/>
  <c r="AE21" i="1906" l="1"/>
  <c r="AE18" i="1906"/>
  <c r="AE15" i="1906"/>
  <c r="AE13" i="1906"/>
  <c r="AE7" i="1906"/>
  <c r="AE16" i="1906"/>
  <c r="AE10" i="1906"/>
  <c r="AE19" i="1906"/>
  <c r="AE17" i="1906"/>
  <c r="AE14" i="1906"/>
  <c r="AE11" i="1906"/>
  <c r="AE8" i="1906"/>
  <c r="AE6" i="1906"/>
  <c r="AE9" i="1906"/>
  <c r="AE20" i="1906"/>
  <c r="AE12" i="1906"/>
  <c r="K21" i="1905"/>
  <c r="K20" i="1905"/>
  <c r="K19" i="1905"/>
  <c r="K17" i="1905"/>
  <c r="K16" i="1905"/>
  <c r="K12" i="1905"/>
  <c r="K11" i="1905"/>
  <c r="K9" i="1905"/>
  <c r="K8" i="1905"/>
  <c r="K7" i="1905"/>
  <c r="A77" i="1905"/>
  <c r="A78" i="1905" s="1"/>
  <c r="A79" i="1905" s="1"/>
  <c r="A80" i="1905" s="1"/>
  <c r="A81" i="1905" s="1"/>
  <c r="A82" i="1905" s="1"/>
  <c r="AF63" i="1905"/>
  <c r="AF61" i="1905"/>
  <c r="AF60" i="1905"/>
  <c r="AA22" i="1905"/>
  <c r="Z22" i="1905"/>
  <c r="Y22" i="1905"/>
  <c r="X22" i="1905"/>
  <c r="W22" i="1905"/>
  <c r="V22" i="1905"/>
  <c r="U22" i="1905"/>
  <c r="T22" i="1905"/>
  <c r="S22" i="1905"/>
  <c r="R22" i="1905"/>
  <c r="N22" i="1905"/>
  <c r="J22" i="1905"/>
  <c r="I22" i="1905"/>
  <c r="AF21" i="1905"/>
  <c r="Q21" i="1905"/>
  <c r="P21" i="1905"/>
  <c r="AC21" i="1905" s="1"/>
  <c r="O21" i="1905"/>
  <c r="AB21" i="1905"/>
  <c r="AF20" i="1905"/>
  <c r="AB20" i="1905"/>
  <c r="Q20" i="1905"/>
  <c r="P20" i="1905" s="1"/>
  <c r="AC20" i="1905" s="1"/>
  <c r="O20" i="1905"/>
  <c r="M20" i="1905"/>
  <c r="AF19" i="1905"/>
  <c r="Q19" i="1905"/>
  <c r="AB19" i="1905"/>
  <c r="AF18" i="1905"/>
  <c r="AB18" i="1905"/>
  <c r="Q18" i="1905"/>
  <c r="P18" i="1905"/>
  <c r="AC18" i="1905" s="1"/>
  <c r="O18" i="1905"/>
  <c r="M18" i="1905"/>
  <c r="K18" i="1905"/>
  <c r="AF17" i="1905"/>
  <c r="Q17" i="1905"/>
  <c r="O17" i="1905"/>
  <c r="AF16" i="1905"/>
  <c r="Q16" i="1905"/>
  <c r="P16" i="1905"/>
  <c r="AC16" i="1905" s="1"/>
  <c r="AB16" i="1905"/>
  <c r="AF15" i="1905"/>
  <c r="AC15" i="1905"/>
  <c r="AB15" i="1905"/>
  <c r="Q15" i="1905"/>
  <c r="P15" i="1905"/>
  <c r="O15" i="1905"/>
  <c r="M15" i="1905"/>
  <c r="K15" i="1905"/>
  <c r="AF14" i="1905"/>
  <c r="AB14" i="1905"/>
  <c r="Q14" i="1905"/>
  <c r="P14" i="1905"/>
  <c r="AC14" i="1905" s="1"/>
  <c r="O14" i="1905"/>
  <c r="M14" i="1905"/>
  <c r="AF13" i="1905"/>
  <c r="AB13" i="1905"/>
  <c r="Q13" i="1905"/>
  <c r="P13" i="1905" s="1"/>
  <c r="AC13" i="1905" s="1"/>
  <c r="O13" i="1905"/>
  <c r="M13" i="1905"/>
  <c r="AF12" i="1905"/>
  <c r="Q12" i="1905"/>
  <c r="P12" i="1905"/>
  <c r="AC12" i="1905" s="1"/>
  <c r="AF11" i="1905"/>
  <c r="Q11" i="1905"/>
  <c r="P11" i="1905"/>
  <c r="AC11" i="1905" s="1"/>
  <c r="O11" i="1905"/>
  <c r="AF10" i="1905"/>
  <c r="AC10" i="1905"/>
  <c r="AB10" i="1905"/>
  <c r="Q10" i="1905"/>
  <c r="P10" i="1905"/>
  <c r="O10" i="1905"/>
  <c r="M10" i="1905"/>
  <c r="K10" i="1905"/>
  <c r="AF9" i="1905"/>
  <c r="Q9" i="1905"/>
  <c r="P9" i="1905" s="1"/>
  <c r="AC9" i="1905" s="1"/>
  <c r="AF8" i="1905"/>
  <c r="Q8" i="1905"/>
  <c r="P8" i="1905"/>
  <c r="AC8" i="1905" s="1"/>
  <c r="O8" i="1905"/>
  <c r="AF7" i="1905"/>
  <c r="Q7" i="1905"/>
  <c r="P7" i="1905"/>
  <c r="AC7" i="1905" s="1"/>
  <c r="O7" i="1905"/>
  <c r="L22" i="1905"/>
  <c r="O22" i="1905" s="1"/>
  <c r="AF6" i="1905"/>
  <c r="AC6" i="1905"/>
  <c r="AB6" i="1905"/>
  <c r="Q6" i="1905"/>
  <c r="P6" i="1905"/>
  <c r="O6" i="1905"/>
  <c r="M6" i="1905"/>
  <c r="K6" i="1905"/>
  <c r="AD14" i="1905" l="1"/>
  <c r="AD13" i="1905"/>
  <c r="Q22" i="1905"/>
  <c r="AD10" i="1905"/>
  <c r="AD15" i="1905"/>
  <c r="AD18" i="1905"/>
  <c r="AD20" i="1905"/>
  <c r="AD21" i="1905"/>
  <c r="AD7" i="1905"/>
  <c r="M9" i="1905"/>
  <c r="AB9" i="1905"/>
  <c r="M12" i="1905"/>
  <c r="AB12" i="1905"/>
  <c r="M17" i="1905"/>
  <c r="AB17" i="1905"/>
  <c r="AD6" i="1905"/>
  <c r="M8" i="1905"/>
  <c r="AB8" i="1905"/>
  <c r="AD8" i="1905" s="1"/>
  <c r="O9" i="1905"/>
  <c r="M11" i="1905"/>
  <c r="AB11" i="1905"/>
  <c r="AD11" i="1905" s="1"/>
  <c r="O12" i="1905"/>
  <c r="M7" i="1905"/>
  <c r="AB7" i="1905"/>
  <c r="K22" i="1905"/>
  <c r="O16" i="1905"/>
  <c r="AD16" i="1905" s="1"/>
  <c r="P17" i="1905"/>
  <c r="AC17" i="1905" s="1"/>
  <c r="AC22" i="1905" s="1"/>
  <c r="O19" i="1905"/>
  <c r="M21" i="1905"/>
  <c r="P19" i="1905"/>
  <c r="AC19" i="1905" s="1"/>
  <c r="M16" i="1905"/>
  <c r="M19" i="1905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904"/>
  <c r="K21" i="1904" s="1"/>
  <c r="L19" i="1904"/>
  <c r="O19" i="1904" s="1"/>
  <c r="K19" i="1904"/>
  <c r="L17" i="1904"/>
  <c r="K17" i="1904" s="1"/>
  <c r="L16" i="1904"/>
  <c r="K16" i="1904" s="1"/>
  <c r="L12" i="1904"/>
  <c r="K12" i="1904" s="1"/>
  <c r="L11" i="1904"/>
  <c r="O11" i="1904" s="1"/>
  <c r="L9" i="1904"/>
  <c r="L8" i="1904"/>
  <c r="K8" i="1904" s="1"/>
  <c r="L7" i="1904"/>
  <c r="K7" i="1904" s="1"/>
  <c r="K20" i="1904"/>
  <c r="K18" i="1904"/>
  <c r="K13" i="1904"/>
  <c r="K11" i="1904"/>
  <c r="K9" i="1904"/>
  <c r="A77" i="1904"/>
  <c r="A78" i="1904" s="1"/>
  <c r="A79" i="1904" s="1"/>
  <c r="A80" i="1904" s="1"/>
  <c r="A81" i="1904" s="1"/>
  <c r="A82" i="1904" s="1"/>
  <c r="AF61" i="1904"/>
  <c r="AF60" i="1904"/>
  <c r="AF63" i="1904" s="1"/>
  <c r="AA22" i="1904"/>
  <c r="Z22" i="1904"/>
  <c r="Y22" i="1904"/>
  <c r="X22" i="1904"/>
  <c r="W22" i="1904"/>
  <c r="V22" i="1904"/>
  <c r="U22" i="1904"/>
  <c r="T22" i="1904"/>
  <c r="S22" i="1904"/>
  <c r="R22" i="1904"/>
  <c r="N22" i="1904"/>
  <c r="J22" i="1904"/>
  <c r="I22" i="1904"/>
  <c r="AF21" i="1904"/>
  <c r="Q21" i="1904"/>
  <c r="P21" i="1904"/>
  <c r="AC21" i="1904" s="1"/>
  <c r="AF20" i="1904"/>
  <c r="Q20" i="1904"/>
  <c r="P20" i="1904"/>
  <c r="AC20" i="1904" s="1"/>
  <c r="O20" i="1904"/>
  <c r="AB20" i="1904"/>
  <c r="AF19" i="1904"/>
  <c r="AB19" i="1904"/>
  <c r="Q19" i="1904"/>
  <c r="P19" i="1904" s="1"/>
  <c r="AC19" i="1904" s="1"/>
  <c r="M19" i="1904"/>
  <c r="AF18" i="1904"/>
  <c r="Q18" i="1904"/>
  <c r="AB18" i="1904"/>
  <c r="AF17" i="1904"/>
  <c r="Q17" i="1904"/>
  <c r="O17" i="1904"/>
  <c r="AF16" i="1904"/>
  <c r="Q16" i="1904"/>
  <c r="O16" i="1904"/>
  <c r="AB16" i="1904"/>
  <c r="AF15" i="1904"/>
  <c r="AB15" i="1904"/>
  <c r="Q15" i="1904"/>
  <c r="P15" i="1904"/>
  <c r="AC15" i="1904" s="1"/>
  <c r="O15" i="1904"/>
  <c r="M15" i="1904"/>
  <c r="K15" i="1904"/>
  <c r="AF14" i="1904"/>
  <c r="AB14" i="1904"/>
  <c r="Q14" i="1904"/>
  <c r="P14" i="1904"/>
  <c r="AC14" i="1904" s="1"/>
  <c r="AD14" i="1904" s="1"/>
  <c r="O14" i="1904"/>
  <c r="M14" i="1904"/>
  <c r="K14" i="1904"/>
  <c r="AF13" i="1904"/>
  <c r="AB13" i="1904"/>
  <c r="Q13" i="1904"/>
  <c r="O13" i="1904"/>
  <c r="M13" i="1904"/>
  <c r="P13" i="1904"/>
  <c r="AC13" i="1904" s="1"/>
  <c r="AF12" i="1904"/>
  <c r="Q12" i="1904"/>
  <c r="AB12" i="1904"/>
  <c r="AF11" i="1904"/>
  <c r="Q11" i="1904"/>
  <c r="P11" i="1904"/>
  <c r="AC11" i="1904" s="1"/>
  <c r="AF10" i="1904"/>
  <c r="AB10" i="1904"/>
  <c r="Q10" i="1904"/>
  <c r="P10" i="1904"/>
  <c r="AC10" i="1904" s="1"/>
  <c r="AD10" i="1904" s="1"/>
  <c r="O10" i="1904"/>
  <c r="M10" i="1904"/>
  <c r="K10" i="1904"/>
  <c r="AF9" i="1904"/>
  <c r="Q9" i="1904"/>
  <c r="AB9" i="1904"/>
  <c r="AF8" i="1904"/>
  <c r="Q8" i="1904"/>
  <c r="AF7" i="1904"/>
  <c r="Q7" i="1904"/>
  <c r="P7" i="1904"/>
  <c r="AC7" i="1904" s="1"/>
  <c r="AF6" i="1904"/>
  <c r="AB6" i="1904"/>
  <c r="Q6" i="1904"/>
  <c r="P6" i="1904"/>
  <c r="AC6" i="1904" s="1"/>
  <c r="O6" i="1904"/>
  <c r="M6" i="1904"/>
  <c r="K6" i="1904"/>
  <c r="AD12" i="1905" l="1"/>
  <c r="M22" i="1905"/>
  <c r="AD9" i="1905"/>
  <c r="AD19" i="1905"/>
  <c r="AD17" i="1905"/>
  <c r="AB22" i="1905"/>
  <c r="P22" i="1905"/>
  <c r="O21" i="1904"/>
  <c r="AD19" i="1904"/>
  <c r="P17" i="1904"/>
  <c r="AC17" i="1904" s="1"/>
  <c r="P16" i="1904"/>
  <c r="AC16" i="1904" s="1"/>
  <c r="AD16" i="1904" s="1"/>
  <c r="Q22" i="1904"/>
  <c r="O8" i="1904"/>
  <c r="P8" i="1904"/>
  <c r="AC8" i="1904" s="1"/>
  <c r="O7" i="1904"/>
  <c r="AD13" i="1904"/>
  <c r="AD15" i="1904"/>
  <c r="AD6" i="1904"/>
  <c r="AD20" i="1904"/>
  <c r="M8" i="1904"/>
  <c r="AB8" i="1904"/>
  <c r="O9" i="1904"/>
  <c r="M11" i="1904"/>
  <c r="AB11" i="1904"/>
  <c r="AD11" i="1904" s="1"/>
  <c r="O12" i="1904"/>
  <c r="M17" i="1904"/>
  <c r="AB17" i="1904"/>
  <c r="O18" i="1904"/>
  <c r="M21" i="1904"/>
  <c r="AB21" i="1904"/>
  <c r="AD21" i="1904" s="1"/>
  <c r="L22" i="1904"/>
  <c r="O22" i="1904" s="1"/>
  <c r="M7" i="1904"/>
  <c r="AB7" i="1904"/>
  <c r="AD7" i="1904" s="1"/>
  <c r="P9" i="1904"/>
  <c r="AC9" i="1904" s="1"/>
  <c r="AD9" i="1904" s="1"/>
  <c r="K22" i="1904"/>
  <c r="P12" i="1904"/>
  <c r="AC12" i="1904" s="1"/>
  <c r="M16" i="1904"/>
  <c r="P18" i="1904"/>
  <c r="AC18" i="1904" s="1"/>
  <c r="M20" i="1904"/>
  <c r="M9" i="1904"/>
  <c r="M12" i="1904"/>
  <c r="M18" i="1904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1" i="1903"/>
  <c r="L20" i="1903"/>
  <c r="K20" i="1903" s="1"/>
  <c r="L19" i="1903"/>
  <c r="K19" i="1903"/>
  <c r="L18" i="1903"/>
  <c r="P18" i="1903" s="1"/>
  <c r="AC18" i="1903" s="1"/>
  <c r="L17" i="1903"/>
  <c r="K17" i="1903" s="1"/>
  <c r="L16" i="1903"/>
  <c r="L13" i="1903"/>
  <c r="L12" i="1903"/>
  <c r="AB12" i="1903" s="1"/>
  <c r="L11" i="1903"/>
  <c r="L9" i="1903"/>
  <c r="O9" i="1903" s="1"/>
  <c r="L8" i="1903"/>
  <c r="O8" i="1903" s="1"/>
  <c r="L7" i="1903"/>
  <c r="K21" i="1903"/>
  <c r="K16" i="1903"/>
  <c r="K13" i="1903"/>
  <c r="K12" i="1903"/>
  <c r="K11" i="1903"/>
  <c r="K9" i="1903"/>
  <c r="K8" i="1903"/>
  <c r="K7" i="1903"/>
  <c r="A77" i="1903"/>
  <c r="A78" i="1903" s="1"/>
  <c r="A79" i="1903" s="1"/>
  <c r="A80" i="1903" s="1"/>
  <c r="A81" i="1903" s="1"/>
  <c r="A82" i="1903" s="1"/>
  <c r="AF61" i="1903"/>
  <c r="AF60" i="1903"/>
  <c r="AF63" i="1903" s="1"/>
  <c r="AA22" i="1903"/>
  <c r="Z22" i="1903"/>
  <c r="Y22" i="1903"/>
  <c r="X22" i="1903"/>
  <c r="W22" i="1903"/>
  <c r="V22" i="1903"/>
  <c r="U22" i="1903"/>
  <c r="T22" i="1903"/>
  <c r="S22" i="1903"/>
  <c r="R22" i="1903"/>
  <c r="N22" i="1903"/>
  <c r="J22" i="1903"/>
  <c r="I22" i="1903"/>
  <c r="AF21" i="1903"/>
  <c r="AB21" i="1903"/>
  <c r="Q21" i="1903"/>
  <c r="P21" i="1903" s="1"/>
  <c r="AC21" i="1903" s="1"/>
  <c r="M21" i="1903"/>
  <c r="O21" i="1903"/>
  <c r="AF20" i="1903"/>
  <c r="Q20" i="1903"/>
  <c r="P20" i="1903"/>
  <c r="AC20" i="1903" s="1"/>
  <c r="AF19" i="1903"/>
  <c r="AB19" i="1903"/>
  <c r="Q19" i="1903"/>
  <c r="P19" i="1903" s="1"/>
  <c r="AC19" i="1903" s="1"/>
  <c r="O19" i="1903"/>
  <c r="M19" i="1903"/>
  <c r="AF18" i="1903"/>
  <c r="Q18" i="1903"/>
  <c r="AF17" i="1903"/>
  <c r="Q17" i="1903"/>
  <c r="AF16" i="1903"/>
  <c r="Q16" i="1903"/>
  <c r="P16" i="1903"/>
  <c r="AC16" i="1903" s="1"/>
  <c r="AB16" i="1903"/>
  <c r="AF15" i="1903"/>
  <c r="AC15" i="1903"/>
  <c r="AB15" i="1903"/>
  <c r="Q15" i="1903"/>
  <c r="P15" i="1903"/>
  <c r="O15" i="1903"/>
  <c r="M15" i="1903"/>
  <c r="K15" i="1903"/>
  <c r="AF14" i="1903"/>
  <c r="AB14" i="1903"/>
  <c r="Q14" i="1903"/>
  <c r="P14" i="1903"/>
  <c r="AC14" i="1903" s="1"/>
  <c r="AD14" i="1903" s="1"/>
  <c r="O14" i="1903"/>
  <c r="M14" i="1903"/>
  <c r="K14" i="1903"/>
  <c r="AF13" i="1903"/>
  <c r="AB13" i="1903"/>
  <c r="Q13" i="1903"/>
  <c r="P13" i="1903"/>
  <c r="AC13" i="1903" s="1"/>
  <c r="O13" i="1903"/>
  <c r="M13" i="1903"/>
  <c r="AF12" i="1903"/>
  <c r="Q12" i="1903"/>
  <c r="O12" i="1903"/>
  <c r="M12" i="1903"/>
  <c r="AF11" i="1903"/>
  <c r="Q11" i="1903"/>
  <c r="O11" i="1903"/>
  <c r="AF10" i="1903"/>
  <c r="AB10" i="1903"/>
  <c r="Q10" i="1903"/>
  <c r="P10" i="1903"/>
  <c r="AC10" i="1903" s="1"/>
  <c r="O10" i="1903"/>
  <c r="M10" i="1903"/>
  <c r="K10" i="1903"/>
  <c r="AF9" i="1903"/>
  <c r="AB9" i="1903"/>
  <c r="Q9" i="1903"/>
  <c r="M9" i="1903"/>
  <c r="P9" i="1903"/>
  <c r="AC9" i="1903" s="1"/>
  <c r="AF8" i="1903"/>
  <c r="Q8" i="1903"/>
  <c r="AF7" i="1903"/>
  <c r="Q7" i="1903"/>
  <c r="P7" i="1903"/>
  <c r="AC7" i="1903" s="1"/>
  <c r="AB7" i="1903"/>
  <c r="AF6" i="1903"/>
  <c r="AC6" i="1903"/>
  <c r="AB6" i="1903"/>
  <c r="Q6" i="1903"/>
  <c r="P6" i="1903"/>
  <c r="O6" i="1903"/>
  <c r="M6" i="1903"/>
  <c r="K6" i="1903"/>
  <c r="AD22" i="1905" l="1"/>
  <c r="AE21" i="1905" s="1"/>
  <c r="AD17" i="1904"/>
  <c r="M22" i="1904"/>
  <c r="AD18" i="1904"/>
  <c r="AB22" i="1904"/>
  <c r="P22" i="1904"/>
  <c r="AD12" i="1904"/>
  <c r="AC22" i="1904"/>
  <c r="AD8" i="1904"/>
  <c r="Q22" i="1903"/>
  <c r="K18" i="1903"/>
  <c r="K22" i="1903" s="1"/>
  <c r="M18" i="1903"/>
  <c r="O18" i="1903"/>
  <c r="AB18" i="1903"/>
  <c r="O17" i="1903"/>
  <c r="AD13" i="1903"/>
  <c r="P12" i="1903"/>
  <c r="AC12" i="1903" s="1"/>
  <c r="AD12" i="1903" s="1"/>
  <c r="AD9" i="1903"/>
  <c r="AD10" i="1903"/>
  <c r="AD19" i="1903"/>
  <c r="AD21" i="1903"/>
  <c r="AD15" i="1903"/>
  <c r="AD18" i="1903"/>
  <c r="AD6" i="1903"/>
  <c r="M8" i="1903"/>
  <c r="AB11" i="1903"/>
  <c r="O7" i="1903"/>
  <c r="AD7" i="1903" s="1"/>
  <c r="P8" i="1903"/>
  <c r="AC8" i="1903" s="1"/>
  <c r="AC22" i="1903" s="1"/>
  <c r="P11" i="1903"/>
  <c r="AC11" i="1903" s="1"/>
  <c r="AD11" i="1903" s="1"/>
  <c r="O16" i="1903"/>
  <c r="AD16" i="1903" s="1"/>
  <c r="P17" i="1903"/>
  <c r="AC17" i="1903" s="1"/>
  <c r="L22" i="1903"/>
  <c r="O22" i="1903" s="1"/>
  <c r="M20" i="1903"/>
  <c r="AB20" i="1903"/>
  <c r="O20" i="1903"/>
  <c r="AB8" i="1903"/>
  <c r="M11" i="1903"/>
  <c r="M17" i="1903"/>
  <c r="AB17" i="1903"/>
  <c r="M7" i="1903"/>
  <c r="M16" i="1903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902"/>
  <c r="L20" i="1902"/>
  <c r="O20" i="1902" s="1"/>
  <c r="L17" i="1902"/>
  <c r="K17" i="1902" s="1"/>
  <c r="L16" i="1902"/>
  <c r="L13" i="1902"/>
  <c r="L12" i="1902"/>
  <c r="K12" i="1902" s="1"/>
  <c r="L11" i="1902"/>
  <c r="L9" i="1902"/>
  <c r="K9" i="1902" s="1"/>
  <c r="L8" i="1902"/>
  <c r="K8" i="1902" s="1"/>
  <c r="L7" i="1902"/>
  <c r="K21" i="1902"/>
  <c r="K16" i="1902"/>
  <c r="K13" i="1902"/>
  <c r="K11" i="1902"/>
  <c r="K7" i="1902"/>
  <c r="A77" i="1902"/>
  <c r="A78" i="1902" s="1"/>
  <c r="A79" i="1902" s="1"/>
  <c r="A80" i="1902" s="1"/>
  <c r="A81" i="1902" s="1"/>
  <c r="A82" i="1902" s="1"/>
  <c r="AF63" i="1902"/>
  <c r="AF61" i="1902"/>
  <c r="AF60" i="1902"/>
  <c r="AA22" i="1902"/>
  <c r="Z22" i="1902"/>
  <c r="Y22" i="1902"/>
  <c r="X22" i="1902"/>
  <c r="W22" i="1902"/>
  <c r="V22" i="1902"/>
  <c r="U22" i="1902"/>
  <c r="T22" i="1902"/>
  <c r="S22" i="1902"/>
  <c r="R22" i="1902"/>
  <c r="N22" i="1902"/>
  <c r="J22" i="1902"/>
  <c r="I22" i="1902"/>
  <c r="AF21" i="1902"/>
  <c r="Q21" i="1902"/>
  <c r="P21" i="1902"/>
  <c r="AC21" i="1902" s="1"/>
  <c r="O21" i="1902"/>
  <c r="AB21" i="1902"/>
  <c r="AF20" i="1902"/>
  <c r="Q20" i="1902"/>
  <c r="AF19" i="1902"/>
  <c r="AB19" i="1902"/>
  <c r="Q19" i="1902"/>
  <c r="P19" i="1902"/>
  <c r="AC19" i="1902" s="1"/>
  <c r="O19" i="1902"/>
  <c r="M19" i="1902"/>
  <c r="K19" i="1902"/>
  <c r="AF18" i="1902"/>
  <c r="AB18" i="1902"/>
  <c r="Q18" i="1902"/>
  <c r="P18" i="1902"/>
  <c r="AC18" i="1902" s="1"/>
  <c r="O18" i="1902"/>
  <c r="M18" i="1902"/>
  <c r="K18" i="1902"/>
  <c r="AF17" i="1902"/>
  <c r="AB17" i="1902"/>
  <c r="Q17" i="1902"/>
  <c r="P17" i="1902"/>
  <c r="AC17" i="1902" s="1"/>
  <c r="M17" i="1902"/>
  <c r="O17" i="1902"/>
  <c r="AF16" i="1902"/>
  <c r="Q16" i="1902"/>
  <c r="P16" i="1902" s="1"/>
  <c r="AC16" i="1902" s="1"/>
  <c r="AF15" i="1902"/>
  <c r="AB15" i="1902"/>
  <c r="Q15" i="1902"/>
  <c r="P15" i="1902"/>
  <c r="AC15" i="1902" s="1"/>
  <c r="O15" i="1902"/>
  <c r="M15" i="1902"/>
  <c r="K15" i="1902"/>
  <c r="AF14" i="1902"/>
  <c r="AB14" i="1902"/>
  <c r="Q14" i="1902"/>
  <c r="P14" i="1902"/>
  <c r="AC14" i="1902" s="1"/>
  <c r="AD14" i="1902" s="1"/>
  <c r="O14" i="1902"/>
  <c r="M14" i="1902"/>
  <c r="K14" i="1902"/>
  <c r="AF13" i="1902"/>
  <c r="AB13" i="1902"/>
  <c r="Q13" i="1902"/>
  <c r="P13" i="1902"/>
  <c r="AC13" i="1902" s="1"/>
  <c r="M13" i="1902"/>
  <c r="O13" i="1902"/>
  <c r="AF12" i="1902"/>
  <c r="Q12" i="1902"/>
  <c r="AF11" i="1902"/>
  <c r="Q11" i="1902"/>
  <c r="P11" i="1902" s="1"/>
  <c r="AC11" i="1902" s="1"/>
  <c r="AF10" i="1902"/>
  <c r="AB10" i="1902"/>
  <c r="Q10" i="1902"/>
  <c r="P10" i="1902"/>
  <c r="AC10" i="1902" s="1"/>
  <c r="AD10" i="1902" s="1"/>
  <c r="O10" i="1902"/>
  <c r="M10" i="1902"/>
  <c r="K10" i="1902"/>
  <c r="AF9" i="1902"/>
  <c r="AB9" i="1902"/>
  <c r="Q9" i="1902"/>
  <c r="O9" i="1902"/>
  <c r="AF8" i="1902"/>
  <c r="Q8" i="1902"/>
  <c r="P8" i="1902" s="1"/>
  <c r="AC8" i="1902" s="1"/>
  <c r="AF7" i="1902"/>
  <c r="AB7" i="1902"/>
  <c r="Q7" i="1902"/>
  <c r="P7" i="1902" s="1"/>
  <c r="AC7" i="1902" s="1"/>
  <c r="M7" i="1902"/>
  <c r="O7" i="1902"/>
  <c r="AF6" i="1902"/>
  <c r="AC6" i="1902"/>
  <c r="AB6" i="1902"/>
  <c r="Q6" i="1902"/>
  <c r="P6" i="1902"/>
  <c r="O6" i="1902"/>
  <c r="M6" i="1902"/>
  <c r="K6" i="1902"/>
  <c r="AE8" i="1905" l="1"/>
  <c r="AE15" i="1905"/>
  <c r="AE11" i="1905"/>
  <c r="AE13" i="1905"/>
  <c r="AE12" i="1905"/>
  <c r="AE18" i="1905"/>
  <c r="AE9" i="1905"/>
  <c r="AE7" i="1905"/>
  <c r="AE20" i="1905"/>
  <c r="AE19" i="1905"/>
  <c r="AE10" i="1905"/>
  <c r="AE17" i="1905"/>
  <c r="AE16" i="1905"/>
  <c r="AE6" i="1905"/>
  <c r="AE14" i="1905"/>
  <c r="AD22" i="1904"/>
  <c r="AE17" i="1904" s="1"/>
  <c r="AD20" i="1903"/>
  <c r="AB22" i="1903"/>
  <c r="M22" i="1903"/>
  <c r="P22" i="1903"/>
  <c r="AD17" i="1903"/>
  <c r="AD8" i="1903"/>
  <c r="AD22" i="1903" s="1"/>
  <c r="AB20" i="1902"/>
  <c r="K20" i="1902"/>
  <c r="K22" i="1902" s="1"/>
  <c r="P20" i="1902"/>
  <c r="AC20" i="1902" s="1"/>
  <c r="M20" i="1902"/>
  <c r="AD17" i="1902"/>
  <c r="O12" i="1902"/>
  <c r="P12" i="1902"/>
  <c r="AC12" i="1902" s="1"/>
  <c r="M12" i="1902"/>
  <c r="AB12" i="1902"/>
  <c r="M9" i="1902"/>
  <c r="P9" i="1902"/>
  <c r="AC9" i="1902" s="1"/>
  <c r="AC22" i="1902" s="1"/>
  <c r="Q22" i="1902"/>
  <c r="AD13" i="1902"/>
  <c r="AD19" i="1902"/>
  <c r="AD15" i="1902"/>
  <c r="AD18" i="1902"/>
  <c r="AD7" i="1902"/>
  <c r="AD21" i="1902"/>
  <c r="AD6" i="1902"/>
  <c r="M8" i="1902"/>
  <c r="AB8" i="1902"/>
  <c r="M11" i="1902"/>
  <c r="AB11" i="1902"/>
  <c r="M16" i="1902"/>
  <c r="AB16" i="1902"/>
  <c r="AD16" i="1902" s="1"/>
  <c r="M21" i="1902"/>
  <c r="L22" i="1902"/>
  <c r="O22" i="1902" s="1"/>
  <c r="O8" i="1902"/>
  <c r="O11" i="1902"/>
  <c r="O16" i="1902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7" i="1901"/>
  <c r="K7" i="1901"/>
  <c r="L21" i="1901"/>
  <c r="AB21" i="1901" s="1"/>
  <c r="K20" i="1901"/>
  <c r="L17" i="1901"/>
  <c r="AB17" i="1901" s="1"/>
  <c r="L16" i="1901"/>
  <c r="K16" i="1901" s="1"/>
  <c r="L13" i="1901"/>
  <c r="K13" i="1901"/>
  <c r="L11" i="1901"/>
  <c r="P11" i="1901" s="1"/>
  <c r="AC11" i="1901" s="1"/>
  <c r="L9" i="1901"/>
  <c r="L8" i="1901"/>
  <c r="K8" i="1901" s="1"/>
  <c r="K17" i="1901"/>
  <c r="K14" i="1901"/>
  <c r="K9" i="1901"/>
  <c r="A77" i="1901"/>
  <c r="A78" i="1901" s="1"/>
  <c r="A79" i="1901" s="1"/>
  <c r="A80" i="1901" s="1"/>
  <c r="A81" i="1901" s="1"/>
  <c r="A82" i="1901" s="1"/>
  <c r="AF61" i="1901"/>
  <c r="AF60" i="1901"/>
  <c r="AF63" i="1901" s="1"/>
  <c r="AA22" i="1901"/>
  <c r="Z22" i="1901"/>
  <c r="Y22" i="1901"/>
  <c r="X22" i="1901"/>
  <c r="W22" i="1901"/>
  <c r="V22" i="1901"/>
  <c r="U22" i="1901"/>
  <c r="T22" i="1901"/>
  <c r="S22" i="1901"/>
  <c r="R22" i="1901"/>
  <c r="N22" i="1901"/>
  <c r="J22" i="1901"/>
  <c r="I22" i="1901"/>
  <c r="AF21" i="1901"/>
  <c r="Q21" i="1901"/>
  <c r="O21" i="1901"/>
  <c r="AF20" i="1901"/>
  <c r="AB20" i="1901"/>
  <c r="Q20" i="1901"/>
  <c r="P20" i="1901" s="1"/>
  <c r="AC20" i="1901" s="1"/>
  <c r="O20" i="1901"/>
  <c r="M20" i="1901"/>
  <c r="AF19" i="1901"/>
  <c r="AB19" i="1901"/>
  <c r="Q19" i="1901"/>
  <c r="P19" i="1901"/>
  <c r="AC19" i="1901" s="1"/>
  <c r="O19" i="1901"/>
  <c r="M19" i="1901"/>
  <c r="K19" i="1901"/>
  <c r="AF18" i="1901"/>
  <c r="AB18" i="1901"/>
  <c r="Q18" i="1901"/>
  <c r="P18" i="1901"/>
  <c r="AC18" i="1901" s="1"/>
  <c r="O18" i="1901"/>
  <c r="M18" i="1901"/>
  <c r="K18" i="1901"/>
  <c r="AF17" i="1901"/>
  <c r="Q17" i="1901"/>
  <c r="P17" i="1901" s="1"/>
  <c r="AC17" i="1901" s="1"/>
  <c r="M17" i="1901"/>
  <c r="AF16" i="1901"/>
  <c r="Q16" i="1901"/>
  <c r="P16" i="1901"/>
  <c r="AC16" i="1901" s="1"/>
  <c r="AF15" i="1901"/>
  <c r="AB15" i="1901"/>
  <c r="Q15" i="1901"/>
  <c r="P15" i="1901"/>
  <c r="AC15" i="1901" s="1"/>
  <c r="O15" i="1901"/>
  <c r="M15" i="1901"/>
  <c r="K15" i="1901"/>
  <c r="AF14" i="1901"/>
  <c r="AB14" i="1901"/>
  <c r="Q14" i="1901"/>
  <c r="P14" i="1901" s="1"/>
  <c r="AC14" i="1901" s="1"/>
  <c r="O14" i="1901"/>
  <c r="M14" i="1901"/>
  <c r="AF13" i="1901"/>
  <c r="AB13" i="1901"/>
  <c r="Q13" i="1901"/>
  <c r="P13" i="1901"/>
  <c r="AC13" i="1901" s="1"/>
  <c r="O13" i="1901"/>
  <c r="M13" i="1901"/>
  <c r="AF12" i="1901"/>
  <c r="AB12" i="1901"/>
  <c r="Q12" i="1901"/>
  <c r="P12" i="1901"/>
  <c r="AC12" i="1901" s="1"/>
  <c r="AD12" i="1901" s="1"/>
  <c r="O12" i="1901"/>
  <c r="M12" i="1901"/>
  <c r="K12" i="1901"/>
  <c r="AF11" i="1901"/>
  <c r="Q11" i="1901"/>
  <c r="AF10" i="1901"/>
  <c r="AC10" i="1901"/>
  <c r="AB10" i="1901"/>
  <c r="Q10" i="1901"/>
  <c r="P10" i="1901"/>
  <c r="O10" i="1901"/>
  <c r="M10" i="1901"/>
  <c r="K10" i="1901"/>
  <c r="AF9" i="1901"/>
  <c r="AB9" i="1901"/>
  <c r="Q9" i="1901"/>
  <c r="P9" i="1901" s="1"/>
  <c r="AC9" i="1901" s="1"/>
  <c r="O9" i="1901"/>
  <c r="M9" i="1901"/>
  <c r="AF8" i="1901"/>
  <c r="AB8" i="1901"/>
  <c r="Q8" i="1901"/>
  <c r="P8" i="1901" s="1"/>
  <c r="AC8" i="1901" s="1"/>
  <c r="O8" i="1901"/>
  <c r="M8" i="1901"/>
  <c r="AF7" i="1901"/>
  <c r="AB7" i="1901"/>
  <c r="Q7" i="1901"/>
  <c r="P7" i="1901" s="1"/>
  <c r="AC7" i="1901" s="1"/>
  <c r="AD7" i="1901" s="1"/>
  <c r="O7" i="1901"/>
  <c r="M7" i="1901"/>
  <c r="AF6" i="1901"/>
  <c r="AC6" i="1901"/>
  <c r="AB6" i="1901"/>
  <c r="Q6" i="1901"/>
  <c r="P6" i="1901"/>
  <c r="O6" i="1901"/>
  <c r="M6" i="1901"/>
  <c r="K6" i="1901"/>
  <c r="AE7" i="1904" l="1"/>
  <c r="AE20" i="1904"/>
  <c r="AE19" i="1904"/>
  <c r="AE8" i="1904"/>
  <c r="AE12" i="1904"/>
  <c r="AE11" i="1904"/>
  <c r="AE15" i="1904"/>
  <c r="AE21" i="1904"/>
  <c r="AE10" i="1904"/>
  <c r="AE6" i="1904"/>
  <c r="AE18" i="1904"/>
  <c r="AE14" i="1904"/>
  <c r="AE16" i="1904"/>
  <c r="AE13" i="1904"/>
  <c r="AE9" i="1904"/>
  <c r="AE21" i="1903"/>
  <c r="AE18" i="1903"/>
  <c r="AE15" i="1903"/>
  <c r="AE13" i="1903"/>
  <c r="AE6" i="1903"/>
  <c r="AE16" i="1903"/>
  <c r="AE10" i="1903"/>
  <c r="AE7" i="1903"/>
  <c r="AE14" i="1903"/>
  <c r="AE8" i="1903"/>
  <c r="AE11" i="1903"/>
  <c r="AE19" i="1903"/>
  <c r="AE20" i="1903"/>
  <c r="AE12" i="1903"/>
  <c r="AE9" i="1903"/>
  <c r="AE17" i="1903"/>
  <c r="AD20" i="1902"/>
  <c r="AD12" i="1902"/>
  <c r="AD9" i="1902"/>
  <c r="P22" i="1902"/>
  <c r="AD8" i="1902"/>
  <c r="M22" i="1902"/>
  <c r="AD11" i="1902"/>
  <c r="AB22" i="1902"/>
  <c r="L22" i="1901"/>
  <c r="O22" i="1901" s="1"/>
  <c r="K21" i="1901"/>
  <c r="P21" i="1901"/>
  <c r="AC21" i="1901" s="1"/>
  <c r="AD21" i="1901" s="1"/>
  <c r="M21" i="1901"/>
  <c r="AD20" i="1901"/>
  <c r="K11" i="1901"/>
  <c r="AB11" i="1901"/>
  <c r="AD11" i="1901" s="1"/>
  <c r="O11" i="1901"/>
  <c r="M11" i="1901"/>
  <c r="Q22" i="1901"/>
  <c r="AD8" i="1901"/>
  <c r="AC22" i="1901"/>
  <c r="P22" i="1901"/>
  <c r="AD10" i="1901"/>
  <c r="AD14" i="1901"/>
  <c r="AD19" i="1901"/>
  <c r="AD18" i="1901"/>
  <c r="AD9" i="1901"/>
  <c r="AD13" i="1901"/>
  <c r="AD15" i="1901"/>
  <c r="AD6" i="1901"/>
  <c r="M16" i="1901"/>
  <c r="AB16" i="1901"/>
  <c r="AB22" i="1901" s="1"/>
  <c r="O17" i="1901"/>
  <c r="AD17" i="1901" s="1"/>
  <c r="O16" i="1901"/>
  <c r="K22" i="1901"/>
  <c r="V19" i="16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1900"/>
  <c r="L17" i="1900"/>
  <c r="K17" i="1900" s="1"/>
  <c r="L16" i="1900"/>
  <c r="K14" i="1900"/>
  <c r="L11" i="1900"/>
  <c r="K11" i="1900"/>
  <c r="AD22" i="1902" l="1"/>
  <c r="AE19" i="1902" s="1"/>
  <c r="M22" i="1901"/>
  <c r="AD16" i="1901"/>
  <c r="AD22" i="1901" s="1"/>
  <c r="K21" i="1900"/>
  <c r="K19" i="1900"/>
  <c r="K9" i="1900"/>
  <c r="A77" i="1900"/>
  <c r="A78" i="1900" s="1"/>
  <c r="A79" i="1900" s="1"/>
  <c r="A80" i="1900" s="1"/>
  <c r="A81" i="1900" s="1"/>
  <c r="A82" i="1900" s="1"/>
  <c r="AF63" i="1900"/>
  <c r="AF61" i="1900"/>
  <c r="AF60" i="1900"/>
  <c r="AA22" i="1900"/>
  <c r="Z22" i="1900"/>
  <c r="Y22" i="1900"/>
  <c r="X22" i="1900"/>
  <c r="W22" i="1900"/>
  <c r="V22" i="1900"/>
  <c r="U22" i="1900"/>
  <c r="T22" i="1900"/>
  <c r="S22" i="1900"/>
  <c r="R22" i="1900"/>
  <c r="N22" i="1900"/>
  <c r="J22" i="1900"/>
  <c r="I22" i="1900"/>
  <c r="AF21" i="1900"/>
  <c r="Q21" i="1900"/>
  <c r="P21" i="1900"/>
  <c r="AC21" i="1900" s="1"/>
  <c r="O21" i="1900"/>
  <c r="AB21" i="1900"/>
  <c r="AF20" i="1900"/>
  <c r="AB20" i="1900"/>
  <c r="Q20" i="1900"/>
  <c r="P20" i="1900"/>
  <c r="AC20" i="1900" s="1"/>
  <c r="AD20" i="1900" s="1"/>
  <c r="O20" i="1900"/>
  <c r="M20" i="1900"/>
  <c r="K20" i="1900"/>
  <c r="AF19" i="1900"/>
  <c r="AB19" i="1900"/>
  <c r="Q19" i="1900"/>
  <c r="P19" i="1900" s="1"/>
  <c r="AC19" i="1900" s="1"/>
  <c r="AD19" i="1900" s="1"/>
  <c r="O19" i="1900"/>
  <c r="M19" i="1900"/>
  <c r="AF18" i="1900"/>
  <c r="AB18" i="1900"/>
  <c r="Q18" i="1900"/>
  <c r="P18" i="1900"/>
  <c r="AC18" i="1900" s="1"/>
  <c r="O18" i="1900"/>
  <c r="M18" i="1900"/>
  <c r="K18" i="1900"/>
  <c r="AF17" i="1900"/>
  <c r="AB17" i="1900"/>
  <c r="Q17" i="1900"/>
  <c r="P17" i="1900" s="1"/>
  <c r="AC17" i="1900" s="1"/>
  <c r="O17" i="1900"/>
  <c r="M17" i="1900"/>
  <c r="AF16" i="1900"/>
  <c r="AB16" i="1900"/>
  <c r="Q16" i="1900"/>
  <c r="P16" i="1900" s="1"/>
  <c r="AC16" i="1900" s="1"/>
  <c r="O16" i="1900"/>
  <c r="M16" i="1900"/>
  <c r="K16" i="1900"/>
  <c r="AF15" i="1900"/>
  <c r="AB15" i="1900"/>
  <c r="Q15" i="1900"/>
  <c r="P15" i="1900"/>
  <c r="AC15" i="1900" s="1"/>
  <c r="O15" i="1900"/>
  <c r="M15" i="1900"/>
  <c r="K15" i="1900"/>
  <c r="AF14" i="1900"/>
  <c r="AB14" i="1900"/>
  <c r="Q14" i="1900"/>
  <c r="P14" i="1900" s="1"/>
  <c r="AC14" i="1900" s="1"/>
  <c r="O14" i="1900"/>
  <c r="M14" i="1900"/>
  <c r="L22" i="1900"/>
  <c r="O22" i="1900" s="1"/>
  <c r="AF13" i="1900"/>
  <c r="AB13" i="1900"/>
  <c r="Q13" i="1900"/>
  <c r="P13" i="1900"/>
  <c r="AC13" i="1900" s="1"/>
  <c r="O13" i="1900"/>
  <c r="M13" i="1900"/>
  <c r="K13" i="1900"/>
  <c r="AF12" i="1900"/>
  <c r="AB12" i="1900"/>
  <c r="Q12" i="1900"/>
  <c r="P12" i="1900"/>
  <c r="AC12" i="1900" s="1"/>
  <c r="AD12" i="1900" s="1"/>
  <c r="O12" i="1900"/>
  <c r="M12" i="1900"/>
  <c r="K12" i="1900"/>
  <c r="AF11" i="1900"/>
  <c r="AB11" i="1900"/>
  <c r="Q11" i="1900"/>
  <c r="P11" i="1900" s="1"/>
  <c r="AC11" i="1900" s="1"/>
  <c r="O11" i="1900"/>
  <c r="M11" i="1900"/>
  <c r="AF10" i="1900"/>
  <c r="AB10" i="1900"/>
  <c r="Q10" i="1900"/>
  <c r="P10" i="1900"/>
  <c r="AC10" i="1900" s="1"/>
  <c r="O10" i="1900"/>
  <c r="M10" i="1900"/>
  <c r="K10" i="1900"/>
  <c r="AF9" i="1900"/>
  <c r="AB9" i="1900"/>
  <c r="Q9" i="1900"/>
  <c r="P9" i="1900" s="1"/>
  <c r="AC9" i="1900" s="1"/>
  <c r="O9" i="1900"/>
  <c r="M9" i="1900"/>
  <c r="AF8" i="1900"/>
  <c r="AB8" i="1900"/>
  <c r="Q8" i="1900"/>
  <c r="P8" i="1900"/>
  <c r="AC8" i="1900" s="1"/>
  <c r="AD8" i="1900" s="1"/>
  <c r="O8" i="1900"/>
  <c r="M8" i="1900"/>
  <c r="K8" i="1900"/>
  <c r="AF7" i="1900"/>
  <c r="AC7" i="1900"/>
  <c r="AD7" i="1900" s="1"/>
  <c r="AB7" i="1900"/>
  <c r="Q7" i="1900"/>
  <c r="P7" i="1900"/>
  <c r="O7" i="1900"/>
  <c r="M7" i="1900"/>
  <c r="K7" i="1900"/>
  <c r="AF6" i="1900"/>
  <c r="AB6" i="1900"/>
  <c r="Q6" i="1900"/>
  <c r="P6" i="1900"/>
  <c r="AC6" i="1900" s="1"/>
  <c r="O6" i="1900"/>
  <c r="M6" i="1900"/>
  <c r="K6" i="1900"/>
  <c r="AE12" i="1902" l="1"/>
  <c r="AE8" i="1902"/>
  <c r="AE15" i="1902"/>
  <c r="AE11" i="1902"/>
  <c r="AE7" i="1902"/>
  <c r="AE6" i="1902"/>
  <c r="AE13" i="1902"/>
  <c r="AE16" i="1902"/>
  <c r="AE18" i="1902"/>
  <c r="AE14" i="1902"/>
  <c r="AE10" i="1902"/>
  <c r="AE20" i="1902"/>
  <c r="AE9" i="1902"/>
  <c r="AE17" i="1902"/>
  <c r="AE21" i="1902"/>
  <c r="AE21" i="1901"/>
  <c r="AE16" i="1901"/>
  <c r="AE19" i="1901"/>
  <c r="AE17" i="1901"/>
  <c r="AE14" i="1901"/>
  <c r="AE12" i="1901"/>
  <c r="AE6" i="1901"/>
  <c r="AE7" i="1901"/>
  <c r="AE10" i="1901"/>
  <c r="AE8" i="1901"/>
  <c r="AE20" i="1901"/>
  <c r="AE18" i="1901"/>
  <c r="AE15" i="1901"/>
  <c r="AE13" i="1901"/>
  <c r="AE11" i="1901"/>
  <c r="AE9" i="1901"/>
  <c r="AD16" i="1900"/>
  <c r="AD11" i="1900"/>
  <c r="Q22" i="1900"/>
  <c r="AD18" i="1900"/>
  <c r="AD10" i="1900"/>
  <c r="AD13" i="1900"/>
  <c r="AD14" i="1900"/>
  <c r="AD17" i="1900"/>
  <c r="AD9" i="1900"/>
  <c r="AD15" i="1900"/>
  <c r="K22" i="1900"/>
  <c r="AD6" i="1900"/>
  <c r="AC22" i="1900"/>
  <c r="AD21" i="1900"/>
  <c r="AB22" i="1900"/>
  <c r="M21" i="1900"/>
  <c r="M22" i="1900" s="1"/>
  <c r="P22" i="1900"/>
  <c r="AD22" i="1900" l="1"/>
  <c r="AE12" i="1900" s="1"/>
  <c r="AE14" i="1900" l="1"/>
  <c r="AE16" i="1900"/>
  <c r="AE20" i="1900"/>
  <c r="AE8" i="1900"/>
  <c r="AE10" i="1900"/>
  <c r="AE18" i="1900"/>
  <c r="AE11" i="1900"/>
  <c r="AE9" i="1900"/>
  <c r="AE15" i="1900"/>
  <c r="AE13" i="1900"/>
  <c r="AE17" i="1900"/>
  <c r="AE19" i="1900"/>
  <c r="AE21" i="1900"/>
  <c r="AE7" i="1900"/>
  <c r="AE6" i="1900"/>
  <c r="R19" i="16" l="1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899"/>
  <c r="M21" i="1899" s="1"/>
  <c r="L14" i="1899"/>
  <c r="K9" i="1899"/>
  <c r="K16" i="1899"/>
  <c r="K13" i="1899"/>
  <c r="K12" i="1899"/>
  <c r="K6" i="1899"/>
  <c r="A78" i="1899"/>
  <c r="A79" i="1899" s="1"/>
  <c r="A80" i="1899" s="1"/>
  <c r="A81" i="1899" s="1"/>
  <c r="A82" i="1899" s="1"/>
  <c r="A77" i="1899"/>
  <c r="AF61" i="1899"/>
  <c r="AF60" i="1899"/>
  <c r="AA22" i="1899"/>
  <c r="Z22" i="1899"/>
  <c r="Y22" i="1899"/>
  <c r="X22" i="1899"/>
  <c r="W22" i="1899"/>
  <c r="V22" i="1899"/>
  <c r="U22" i="1899"/>
  <c r="T22" i="1899"/>
  <c r="S22" i="1899"/>
  <c r="R22" i="1899"/>
  <c r="N22" i="1899"/>
  <c r="J22" i="1899"/>
  <c r="I22" i="1899"/>
  <c r="AF21" i="1899"/>
  <c r="Q21" i="1899"/>
  <c r="AF20" i="1899"/>
  <c r="AB20" i="1899"/>
  <c r="Q20" i="1899"/>
  <c r="P20" i="1899"/>
  <c r="AC20" i="1899" s="1"/>
  <c r="O20" i="1899"/>
  <c r="M20" i="1899"/>
  <c r="K20" i="1899"/>
  <c r="AF19" i="1899"/>
  <c r="AB19" i="1899"/>
  <c r="Q19" i="1899"/>
  <c r="P19" i="1899" s="1"/>
  <c r="AC19" i="1899" s="1"/>
  <c r="O19" i="1899"/>
  <c r="M19" i="1899"/>
  <c r="K19" i="1899"/>
  <c r="AF18" i="1899"/>
  <c r="AB18" i="1899"/>
  <c r="Q18" i="1899"/>
  <c r="P18" i="1899"/>
  <c r="AC18" i="1899" s="1"/>
  <c r="O18" i="1899"/>
  <c r="M18" i="1899"/>
  <c r="K18" i="1899"/>
  <c r="AF17" i="1899"/>
  <c r="AB17" i="1899"/>
  <c r="Q17" i="1899"/>
  <c r="P17" i="1899"/>
  <c r="AC17" i="1899" s="1"/>
  <c r="O17" i="1899"/>
  <c r="M17" i="1899"/>
  <c r="K17" i="1899"/>
  <c r="AF16" i="1899"/>
  <c r="Q16" i="1899"/>
  <c r="P16" i="1899"/>
  <c r="AC16" i="1899" s="1"/>
  <c r="AF15" i="1899"/>
  <c r="AB15" i="1899"/>
  <c r="Q15" i="1899"/>
  <c r="P15" i="1899"/>
  <c r="AC15" i="1899" s="1"/>
  <c r="O15" i="1899"/>
  <c r="M15" i="1899"/>
  <c r="K15" i="1899"/>
  <c r="AF14" i="1899"/>
  <c r="AB14" i="1899"/>
  <c r="Q14" i="1899"/>
  <c r="P14" i="1899" s="1"/>
  <c r="AC14" i="1899" s="1"/>
  <c r="O14" i="1899"/>
  <c r="M14" i="1899"/>
  <c r="K14" i="1899"/>
  <c r="AF13" i="1899"/>
  <c r="AB13" i="1899"/>
  <c r="Q13" i="1899"/>
  <c r="P13" i="1899" s="1"/>
  <c r="AC13" i="1899" s="1"/>
  <c r="AD13" i="1899" s="1"/>
  <c r="O13" i="1899"/>
  <c r="M13" i="1899"/>
  <c r="AF12" i="1899"/>
  <c r="AB12" i="1899"/>
  <c r="Q12" i="1899"/>
  <c r="P12" i="1899"/>
  <c r="AC12" i="1899" s="1"/>
  <c r="O12" i="1899"/>
  <c r="M12" i="1899"/>
  <c r="AF11" i="1899"/>
  <c r="AB11" i="1899"/>
  <c r="Q11" i="1899"/>
  <c r="P11" i="1899"/>
  <c r="AC11" i="1899" s="1"/>
  <c r="O11" i="1899"/>
  <c r="M11" i="1899"/>
  <c r="K11" i="1899"/>
  <c r="AF10" i="1899"/>
  <c r="AB10" i="1899"/>
  <c r="Q10" i="1899"/>
  <c r="P10" i="1899"/>
  <c r="AC10" i="1899" s="1"/>
  <c r="AD10" i="1899" s="1"/>
  <c r="O10" i="1899"/>
  <c r="M10" i="1899"/>
  <c r="K10" i="1899"/>
  <c r="AF9" i="1899"/>
  <c r="AB9" i="1899"/>
  <c r="Q9" i="1899"/>
  <c r="P9" i="1899" s="1"/>
  <c r="AC9" i="1899" s="1"/>
  <c r="O9" i="1899"/>
  <c r="M9" i="1899"/>
  <c r="AF8" i="1899"/>
  <c r="AB8" i="1899"/>
  <c r="Q8" i="1899"/>
  <c r="P8" i="1899"/>
  <c r="AC8" i="1899" s="1"/>
  <c r="O8" i="1899"/>
  <c r="M8" i="1899"/>
  <c r="K8" i="1899"/>
  <c r="AF7" i="1899"/>
  <c r="AB7" i="1899"/>
  <c r="Q7" i="1899"/>
  <c r="P7" i="1899"/>
  <c r="AC7" i="1899" s="1"/>
  <c r="O7" i="1899"/>
  <c r="M7" i="1899"/>
  <c r="K7" i="1899"/>
  <c r="AF6" i="1899"/>
  <c r="Q6" i="1899"/>
  <c r="P6" i="1899"/>
  <c r="K21" i="1899" l="1"/>
  <c r="O21" i="1899"/>
  <c r="P21" i="1899"/>
  <c r="AC21" i="1899" s="1"/>
  <c r="AB21" i="1899"/>
  <c r="AD19" i="1899"/>
  <c r="AD7" i="1899"/>
  <c r="AD15" i="1899"/>
  <c r="AD14" i="1899"/>
  <c r="AF63" i="1899"/>
  <c r="Q22" i="1899"/>
  <c r="AD17" i="1899"/>
  <c r="AD20" i="1899"/>
  <c r="AD11" i="1899"/>
  <c r="AD12" i="1899"/>
  <c r="AD18" i="1899"/>
  <c r="AD8" i="1899"/>
  <c r="AD9" i="1899"/>
  <c r="P22" i="1899"/>
  <c r="AC6" i="1899"/>
  <c r="L22" i="1899"/>
  <c r="O22" i="1899" s="1"/>
  <c r="AB6" i="1899"/>
  <c r="AB16" i="1899"/>
  <c r="O6" i="1899"/>
  <c r="O16" i="1899"/>
  <c r="AD16" i="1899" s="1"/>
  <c r="M6" i="1899"/>
  <c r="M16" i="1899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2" i="1898"/>
  <c r="AB22" i="1898" s="1"/>
  <c r="K20" i="1898"/>
  <c r="L17" i="1898"/>
  <c r="K17" i="1898" s="1"/>
  <c r="K14" i="1898"/>
  <c r="AF14" i="1898"/>
  <c r="AB14" i="1898"/>
  <c r="Q14" i="1898"/>
  <c r="P14" i="1898" s="1"/>
  <c r="AC14" i="1898" s="1"/>
  <c r="O14" i="1898"/>
  <c r="M14" i="1898"/>
  <c r="K13" i="1898"/>
  <c r="K12" i="1898"/>
  <c r="L9" i="1898"/>
  <c r="L6" i="1898"/>
  <c r="K22" i="1898"/>
  <c r="K19" i="1898"/>
  <c r="K15" i="1898"/>
  <c r="K9" i="1898"/>
  <c r="K6" i="1898"/>
  <c r="A78" i="1898"/>
  <c r="A79" i="1898" s="1"/>
  <c r="A80" i="1898" s="1"/>
  <c r="A81" i="1898" s="1"/>
  <c r="A82" i="1898" s="1"/>
  <c r="A83" i="1898" s="1"/>
  <c r="AF62" i="1898"/>
  <c r="AF61" i="1898"/>
  <c r="AF64" i="1898" s="1"/>
  <c r="AA23" i="1898"/>
  <c r="Z23" i="1898"/>
  <c r="Y23" i="1898"/>
  <c r="X23" i="1898"/>
  <c r="W23" i="1898"/>
  <c r="V23" i="1898"/>
  <c r="U23" i="1898"/>
  <c r="T23" i="1898"/>
  <c r="S23" i="1898"/>
  <c r="R23" i="1898"/>
  <c r="N23" i="1898"/>
  <c r="J23" i="1898"/>
  <c r="I23" i="1898"/>
  <c r="AF22" i="1898"/>
  <c r="Q22" i="1898"/>
  <c r="P22" i="1898" s="1"/>
  <c r="AC22" i="1898" s="1"/>
  <c r="M22" i="1898"/>
  <c r="AF21" i="1898"/>
  <c r="AB21" i="1898"/>
  <c r="Q21" i="1898"/>
  <c r="P21" i="1898"/>
  <c r="AC21" i="1898" s="1"/>
  <c r="O21" i="1898"/>
  <c r="M21" i="1898"/>
  <c r="K21" i="1898"/>
  <c r="AF20" i="1898"/>
  <c r="Q20" i="1898"/>
  <c r="O20" i="1898"/>
  <c r="AB20" i="1898"/>
  <c r="AF19" i="1898"/>
  <c r="AB19" i="1898"/>
  <c r="Q19" i="1898"/>
  <c r="M19" i="1898"/>
  <c r="P19" i="1898"/>
  <c r="AC19" i="1898" s="1"/>
  <c r="AF18" i="1898"/>
  <c r="AB18" i="1898"/>
  <c r="Q18" i="1898"/>
  <c r="P18" i="1898"/>
  <c r="AC18" i="1898" s="1"/>
  <c r="O18" i="1898"/>
  <c r="M18" i="1898"/>
  <c r="K18" i="1898"/>
  <c r="AF17" i="1898"/>
  <c r="Q17" i="1898"/>
  <c r="AF16" i="1898"/>
  <c r="AB16" i="1898"/>
  <c r="Q16" i="1898"/>
  <c r="P16" i="1898"/>
  <c r="AC16" i="1898" s="1"/>
  <c r="O16" i="1898"/>
  <c r="M16" i="1898"/>
  <c r="K16" i="1898"/>
  <c r="AF15" i="1898"/>
  <c r="AB15" i="1898"/>
  <c r="Q15" i="1898"/>
  <c r="P15" i="1898" s="1"/>
  <c r="AC15" i="1898" s="1"/>
  <c r="O15" i="1898"/>
  <c r="M15" i="1898"/>
  <c r="AF13" i="1898"/>
  <c r="AB13" i="1898"/>
  <c r="Q13" i="1898"/>
  <c r="P13" i="1898" s="1"/>
  <c r="AC13" i="1898" s="1"/>
  <c r="O13" i="1898"/>
  <c r="M13" i="1898"/>
  <c r="AF12" i="1898"/>
  <c r="AB12" i="1898"/>
  <c r="Q12" i="1898"/>
  <c r="P12" i="1898"/>
  <c r="AC12" i="1898" s="1"/>
  <c r="O12" i="1898"/>
  <c r="M12" i="1898"/>
  <c r="AF11" i="1898"/>
  <c r="AB11" i="1898"/>
  <c r="Q11" i="1898"/>
  <c r="P11" i="1898"/>
  <c r="AC11" i="1898" s="1"/>
  <c r="O11" i="1898"/>
  <c r="M11" i="1898"/>
  <c r="K11" i="1898"/>
  <c r="AF10" i="1898"/>
  <c r="AB10" i="1898"/>
  <c r="Q10" i="1898"/>
  <c r="P10" i="1898"/>
  <c r="AC10" i="1898" s="1"/>
  <c r="O10" i="1898"/>
  <c r="M10" i="1898"/>
  <c r="K10" i="1898"/>
  <c r="AF9" i="1898"/>
  <c r="Q9" i="1898"/>
  <c r="AF8" i="1898"/>
  <c r="AB8" i="1898"/>
  <c r="Q8" i="1898"/>
  <c r="P8" i="1898"/>
  <c r="AC8" i="1898" s="1"/>
  <c r="AD8" i="1898" s="1"/>
  <c r="O8" i="1898"/>
  <c r="M8" i="1898"/>
  <c r="K8" i="1898"/>
  <c r="AF7" i="1898"/>
  <c r="AB7" i="1898"/>
  <c r="Q7" i="1898"/>
  <c r="P7" i="1898"/>
  <c r="AC7" i="1898" s="1"/>
  <c r="O7" i="1898"/>
  <c r="M7" i="1898"/>
  <c r="K7" i="1898"/>
  <c r="AF6" i="1898"/>
  <c r="Q6" i="1898"/>
  <c r="O6" i="1898"/>
  <c r="AD21" i="1899" l="1"/>
  <c r="M22" i="1899"/>
  <c r="AD6" i="1899"/>
  <c r="AC22" i="1899"/>
  <c r="K22" i="1899"/>
  <c r="AB22" i="1899"/>
  <c r="O22" i="1898"/>
  <c r="AD22" i="1898" s="1"/>
  <c r="O17" i="1898"/>
  <c r="AB17" i="1898"/>
  <c r="P17" i="1898"/>
  <c r="AC17" i="1898" s="1"/>
  <c r="M17" i="1898"/>
  <c r="AD14" i="1898"/>
  <c r="AD7" i="1898"/>
  <c r="AD10" i="1898"/>
  <c r="AD18" i="1898"/>
  <c r="AD21" i="1898"/>
  <c r="Q23" i="1898"/>
  <c r="AD12" i="1898"/>
  <c r="P9" i="1898"/>
  <c r="AC9" i="1898" s="1"/>
  <c r="P6" i="1898"/>
  <c r="AC6" i="1898" s="1"/>
  <c r="AD13" i="1898"/>
  <c r="AD16" i="1898"/>
  <c r="AD11" i="1898"/>
  <c r="AD15" i="1898"/>
  <c r="O19" i="1898"/>
  <c r="AD19" i="1898" s="1"/>
  <c r="P20" i="1898"/>
  <c r="AC20" i="1898" s="1"/>
  <c r="AD20" i="1898" s="1"/>
  <c r="M9" i="1898"/>
  <c r="M6" i="1898"/>
  <c r="AB6" i="1898"/>
  <c r="O9" i="1898"/>
  <c r="AD9" i="1898" s="1"/>
  <c r="L23" i="1898"/>
  <c r="O23" i="1898" s="1"/>
  <c r="AB9" i="1898"/>
  <c r="K23" i="1898"/>
  <c r="M20" i="1898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897"/>
  <c r="K21" i="1897"/>
  <c r="L19" i="1897"/>
  <c r="K19" i="1897" s="1"/>
  <c r="L18" i="1897"/>
  <c r="K18" i="1897"/>
  <c r="K14" i="1897"/>
  <c r="L9" i="1897"/>
  <c r="O9" i="1897" s="1"/>
  <c r="L6" i="1897"/>
  <c r="K6" i="1897"/>
  <c r="K8" i="1897"/>
  <c r="A77" i="1897"/>
  <c r="A78" i="1897" s="1"/>
  <c r="A79" i="1897" s="1"/>
  <c r="A80" i="1897" s="1"/>
  <c r="A81" i="1897" s="1"/>
  <c r="A82" i="1897" s="1"/>
  <c r="AF61" i="1897"/>
  <c r="AF60" i="1897"/>
  <c r="AF63" i="1897" s="1"/>
  <c r="AA22" i="1897"/>
  <c r="Z22" i="1897"/>
  <c r="Y22" i="1897"/>
  <c r="X22" i="1897"/>
  <c r="W22" i="1897"/>
  <c r="V22" i="1897"/>
  <c r="U22" i="1897"/>
  <c r="T22" i="1897"/>
  <c r="S22" i="1897"/>
  <c r="R22" i="1897"/>
  <c r="N22" i="1897"/>
  <c r="J22" i="1897"/>
  <c r="I22" i="1897"/>
  <c r="AF21" i="1897"/>
  <c r="AB21" i="1897"/>
  <c r="Q21" i="1897"/>
  <c r="P21" i="1897" s="1"/>
  <c r="AC21" i="1897" s="1"/>
  <c r="O21" i="1897"/>
  <c r="M21" i="1897"/>
  <c r="AF20" i="1897"/>
  <c r="AB20" i="1897"/>
  <c r="Q20" i="1897"/>
  <c r="P20" i="1897"/>
  <c r="AC20" i="1897" s="1"/>
  <c r="AD20" i="1897" s="1"/>
  <c r="O20" i="1897"/>
  <c r="M20" i="1897"/>
  <c r="K20" i="1897"/>
  <c r="AF19" i="1897"/>
  <c r="AB19" i="1897"/>
  <c r="Q19" i="1897"/>
  <c r="P19" i="1897" s="1"/>
  <c r="AC19" i="1897" s="1"/>
  <c r="O19" i="1897"/>
  <c r="M19" i="1897"/>
  <c r="AF18" i="1897"/>
  <c r="Q18" i="1897"/>
  <c r="AF17" i="1897"/>
  <c r="AB17" i="1897"/>
  <c r="Q17" i="1897"/>
  <c r="P17" i="1897"/>
  <c r="AC17" i="1897" s="1"/>
  <c r="AD17" i="1897" s="1"/>
  <c r="O17" i="1897"/>
  <c r="M17" i="1897"/>
  <c r="K17" i="1897"/>
  <c r="AF16" i="1897"/>
  <c r="AB16" i="1897"/>
  <c r="Q16" i="1897"/>
  <c r="P16" i="1897"/>
  <c r="AC16" i="1897" s="1"/>
  <c r="O16" i="1897"/>
  <c r="M16" i="1897"/>
  <c r="K16" i="1897"/>
  <c r="AF15" i="1897"/>
  <c r="AB15" i="1897"/>
  <c r="Q15" i="1897"/>
  <c r="P15" i="1897"/>
  <c r="AC15" i="1897" s="1"/>
  <c r="O15" i="1897"/>
  <c r="M15" i="1897"/>
  <c r="K15" i="1897"/>
  <c r="AF14" i="1897"/>
  <c r="AB14" i="1897"/>
  <c r="Q14" i="1897"/>
  <c r="P14" i="1897" s="1"/>
  <c r="AC14" i="1897" s="1"/>
  <c r="O14" i="1897"/>
  <c r="M14" i="1897"/>
  <c r="AF13" i="1897"/>
  <c r="AB13" i="1897"/>
  <c r="Q13" i="1897"/>
  <c r="P13" i="1897"/>
  <c r="AC13" i="1897" s="1"/>
  <c r="O13" i="1897"/>
  <c r="M13" i="1897"/>
  <c r="K13" i="1897"/>
  <c r="AF12" i="1897"/>
  <c r="AB12" i="1897"/>
  <c r="Q12" i="1897"/>
  <c r="P12" i="1897"/>
  <c r="AC12" i="1897" s="1"/>
  <c r="O12" i="1897"/>
  <c r="M12" i="1897"/>
  <c r="K12" i="1897"/>
  <c r="AF11" i="1897"/>
  <c r="AB11" i="1897"/>
  <c r="Q11" i="1897"/>
  <c r="P11" i="1897"/>
  <c r="AC11" i="1897" s="1"/>
  <c r="AD11" i="1897" s="1"/>
  <c r="O11" i="1897"/>
  <c r="M11" i="1897"/>
  <c r="K11" i="1897"/>
  <c r="AF10" i="1897"/>
  <c r="AB10" i="1897"/>
  <c r="Q10" i="1897"/>
  <c r="P10" i="1897"/>
  <c r="AC10" i="1897" s="1"/>
  <c r="O10" i="1897"/>
  <c r="M10" i="1897"/>
  <c r="K10" i="1897"/>
  <c r="AF9" i="1897"/>
  <c r="Q9" i="1897"/>
  <c r="AF8" i="1897"/>
  <c r="AB8" i="1897"/>
  <c r="Q8" i="1897"/>
  <c r="M8" i="1897"/>
  <c r="O8" i="1897"/>
  <c r="AF7" i="1897"/>
  <c r="AB7" i="1897"/>
  <c r="Q7" i="1897"/>
  <c r="P7" i="1897"/>
  <c r="AC7" i="1897" s="1"/>
  <c r="O7" i="1897"/>
  <c r="M7" i="1897"/>
  <c r="K7" i="1897"/>
  <c r="AF6" i="1897"/>
  <c r="AB6" i="1897"/>
  <c r="Q6" i="1897"/>
  <c r="O6" i="1897"/>
  <c r="M6" i="1897"/>
  <c r="AD22" i="1899" l="1"/>
  <c r="AE14" i="1899" s="1"/>
  <c r="AD17" i="1898"/>
  <c r="AB23" i="1898"/>
  <c r="AD6" i="1898"/>
  <c r="AC23" i="1898"/>
  <c r="P23" i="1898"/>
  <c r="M23" i="1898"/>
  <c r="AD21" i="1897"/>
  <c r="P18" i="1897"/>
  <c r="AC18" i="1897" s="1"/>
  <c r="O18" i="1897"/>
  <c r="M18" i="1897"/>
  <c r="AB18" i="1897"/>
  <c r="AD13" i="1897"/>
  <c r="AD7" i="1897"/>
  <c r="AD12" i="1897"/>
  <c r="AD10" i="1897"/>
  <c r="AD16" i="1897"/>
  <c r="AD19" i="1897"/>
  <c r="K9" i="1897"/>
  <c r="K22" i="1897" s="1"/>
  <c r="P9" i="1897"/>
  <c r="AC9" i="1897" s="1"/>
  <c r="Q22" i="1897"/>
  <c r="P6" i="1897"/>
  <c r="AC6" i="1897" s="1"/>
  <c r="AD15" i="1897"/>
  <c r="AD14" i="1897"/>
  <c r="P8" i="1897"/>
  <c r="AC8" i="1897" s="1"/>
  <c r="AD8" i="1897" s="1"/>
  <c r="M9" i="1897"/>
  <c r="M22" i="1897" s="1"/>
  <c r="AB9" i="1897"/>
  <c r="AB22" i="1897" s="1"/>
  <c r="L22" i="1897"/>
  <c r="O22" i="1897" s="1"/>
  <c r="P71" i="1896"/>
  <c r="P69" i="1896"/>
  <c r="P68" i="189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2" i="1896"/>
  <c r="M22" i="1896"/>
  <c r="K20" i="1896"/>
  <c r="AF15" i="1896"/>
  <c r="Q15" i="1896"/>
  <c r="P15" i="1896"/>
  <c r="AC15" i="1896" s="1"/>
  <c r="O15" i="1896"/>
  <c r="AB15" i="1896"/>
  <c r="K15" i="1896"/>
  <c r="L14" i="1896"/>
  <c r="O14" i="1896" s="1"/>
  <c r="K14" i="1896"/>
  <c r="L9" i="1896"/>
  <c r="K9" i="1896" s="1"/>
  <c r="L8" i="1896"/>
  <c r="K8" i="1896" s="1"/>
  <c r="K19" i="1896"/>
  <c r="K17" i="1896"/>
  <c r="K16" i="1896"/>
  <c r="K11" i="1896"/>
  <c r="K7" i="1896"/>
  <c r="A78" i="1896"/>
  <c r="A79" i="1896" s="1"/>
  <c r="A80" i="1896" s="1"/>
  <c r="A81" i="1896" s="1"/>
  <c r="A82" i="1896" s="1"/>
  <c r="A83" i="1896" s="1"/>
  <c r="AF62" i="1896"/>
  <c r="AF61" i="1896"/>
  <c r="AF64" i="1896" s="1"/>
  <c r="AA23" i="1896"/>
  <c r="Z23" i="1896"/>
  <c r="Y23" i="1896"/>
  <c r="X23" i="1896"/>
  <c r="W23" i="1896"/>
  <c r="V23" i="1896"/>
  <c r="U23" i="1896"/>
  <c r="T23" i="1896"/>
  <c r="S23" i="1896"/>
  <c r="R23" i="1896"/>
  <c r="N23" i="1896"/>
  <c r="J23" i="1896"/>
  <c r="I23" i="1896"/>
  <c r="AF22" i="1896"/>
  <c r="Q22" i="1896"/>
  <c r="P22" i="1896"/>
  <c r="AC22" i="1896" s="1"/>
  <c r="AF21" i="1896"/>
  <c r="AB21" i="1896"/>
  <c r="Q21" i="1896"/>
  <c r="P21" i="1896"/>
  <c r="AC21" i="1896" s="1"/>
  <c r="O21" i="1896"/>
  <c r="M21" i="1896"/>
  <c r="K21" i="1896"/>
  <c r="AF20" i="1896"/>
  <c r="AB20" i="1896"/>
  <c r="Q20" i="1896"/>
  <c r="P20" i="1896" s="1"/>
  <c r="AC20" i="1896" s="1"/>
  <c r="O20" i="1896"/>
  <c r="M20" i="1896"/>
  <c r="AF19" i="1896"/>
  <c r="Q19" i="1896"/>
  <c r="P19" i="1896"/>
  <c r="AC19" i="1896" s="1"/>
  <c r="AF18" i="1896"/>
  <c r="AB18" i="1896"/>
  <c r="Q18" i="1896"/>
  <c r="P18" i="1896"/>
  <c r="AC18" i="1896" s="1"/>
  <c r="O18" i="1896"/>
  <c r="M18" i="1896"/>
  <c r="K18" i="1896"/>
  <c r="AF17" i="1896"/>
  <c r="AB17" i="1896"/>
  <c r="Q17" i="1896"/>
  <c r="P17" i="1896"/>
  <c r="AC17" i="1896" s="1"/>
  <c r="M17" i="1896"/>
  <c r="O17" i="1896"/>
  <c r="AF16" i="1896"/>
  <c r="Q16" i="1896"/>
  <c r="P16" i="1896"/>
  <c r="AC16" i="1896" s="1"/>
  <c r="AF14" i="1896"/>
  <c r="AB14" i="1896"/>
  <c r="Q14" i="1896"/>
  <c r="P14" i="1896" s="1"/>
  <c r="AC14" i="1896" s="1"/>
  <c r="M14" i="1896"/>
  <c r="AF13" i="1896"/>
  <c r="AB13" i="1896"/>
  <c r="Q13" i="1896"/>
  <c r="P13" i="1896"/>
  <c r="AC13" i="1896" s="1"/>
  <c r="O13" i="1896"/>
  <c r="M13" i="1896"/>
  <c r="K13" i="1896"/>
  <c r="AF12" i="1896"/>
  <c r="AB12" i="1896"/>
  <c r="Q12" i="1896"/>
  <c r="P12" i="1896"/>
  <c r="AC12" i="1896" s="1"/>
  <c r="O12" i="1896"/>
  <c r="M12" i="1896"/>
  <c r="K12" i="1896"/>
  <c r="AF11" i="1896"/>
  <c r="AB11" i="1896"/>
  <c r="Q11" i="1896"/>
  <c r="P11" i="1896"/>
  <c r="AC11" i="1896" s="1"/>
  <c r="M11" i="1896"/>
  <c r="O11" i="1896"/>
  <c r="AF10" i="1896"/>
  <c r="AB10" i="1896"/>
  <c r="Q10" i="1896"/>
  <c r="P10" i="1896"/>
  <c r="AC10" i="1896" s="1"/>
  <c r="O10" i="1896"/>
  <c r="M10" i="1896"/>
  <c r="K10" i="1896"/>
  <c r="AF9" i="1896"/>
  <c r="Q9" i="1896"/>
  <c r="AB9" i="1896"/>
  <c r="AF8" i="1896"/>
  <c r="AB8" i="1896"/>
  <c r="Q8" i="1896"/>
  <c r="P8" i="1896" s="1"/>
  <c r="AC8" i="1896" s="1"/>
  <c r="O8" i="1896"/>
  <c r="AF7" i="1896"/>
  <c r="Q7" i="1896"/>
  <c r="O7" i="1896"/>
  <c r="P7" i="1896"/>
  <c r="AC7" i="1896" s="1"/>
  <c r="AF6" i="1896"/>
  <c r="AB6" i="1896"/>
  <c r="Q6" i="1896"/>
  <c r="P6" i="1896"/>
  <c r="AC6" i="1896" s="1"/>
  <c r="O6" i="1896"/>
  <c r="M6" i="1896"/>
  <c r="K6" i="1896"/>
  <c r="AE12" i="1899" l="1"/>
  <c r="AE19" i="1899"/>
  <c r="AE9" i="1899"/>
  <c r="AE21" i="1899"/>
  <c r="AE16" i="1899"/>
  <c r="AE15" i="1899"/>
  <c r="AE6" i="1899"/>
  <c r="AE11" i="1899"/>
  <c r="AE18" i="1899"/>
  <c r="AE7" i="1899"/>
  <c r="AE8" i="1899"/>
  <c r="AE13" i="1899"/>
  <c r="AE20" i="1899"/>
  <c r="AE17" i="1899"/>
  <c r="AE10" i="1899"/>
  <c r="AD23" i="1898"/>
  <c r="AE14" i="1898" s="1"/>
  <c r="AD18" i="1897"/>
  <c r="AC22" i="1897"/>
  <c r="AD6" i="1897"/>
  <c r="P22" i="1897"/>
  <c r="AD9" i="1897"/>
  <c r="AD22" i="1897" s="1"/>
  <c r="K22" i="1896"/>
  <c r="O22" i="1896"/>
  <c r="AB22" i="1896"/>
  <c r="AD22" i="1896" s="1"/>
  <c r="AD20" i="1896"/>
  <c r="AD15" i="1896"/>
  <c r="AD10" i="1896"/>
  <c r="AD13" i="1896"/>
  <c r="AD18" i="1896"/>
  <c r="M15" i="1896"/>
  <c r="AD14" i="1896"/>
  <c r="Q23" i="1896"/>
  <c r="M8" i="1896"/>
  <c r="AD21" i="1896"/>
  <c r="AD12" i="1896"/>
  <c r="AD11" i="1896"/>
  <c r="AD8" i="1896"/>
  <c r="AD6" i="1896"/>
  <c r="AD17" i="1896"/>
  <c r="O9" i="1896"/>
  <c r="L23" i="1896"/>
  <c r="O23" i="1896" s="1"/>
  <c r="M7" i="1896"/>
  <c r="AB7" i="1896"/>
  <c r="AD7" i="1896" s="1"/>
  <c r="P9" i="1896"/>
  <c r="AC9" i="1896" s="1"/>
  <c r="AC23" i="1896" s="1"/>
  <c r="M16" i="1896"/>
  <c r="AB16" i="1896"/>
  <c r="M19" i="1896"/>
  <c r="AB19" i="1896"/>
  <c r="AD19" i="1896" s="1"/>
  <c r="O16" i="1896"/>
  <c r="O19" i="1896"/>
  <c r="K23" i="1896"/>
  <c r="M9" i="189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895"/>
  <c r="P21" i="1895" s="1"/>
  <c r="AC21" i="1895" s="1"/>
  <c r="L18" i="1895"/>
  <c r="K18" i="1895" s="1"/>
  <c r="L16" i="1895"/>
  <c r="L15" i="1895"/>
  <c r="O15" i="1895" s="1"/>
  <c r="L11" i="1895"/>
  <c r="K11" i="1895" s="1"/>
  <c r="L9" i="1895"/>
  <c r="K9" i="1895" s="1"/>
  <c r="L8" i="1895"/>
  <c r="K8" i="1895" s="1"/>
  <c r="L7" i="1895"/>
  <c r="K7" i="1895"/>
  <c r="K21" i="1895"/>
  <c r="K16" i="1895"/>
  <c r="K15" i="1895"/>
  <c r="K14" i="1895"/>
  <c r="K13" i="1895"/>
  <c r="A77" i="1895"/>
  <c r="A78" i="1895" s="1"/>
  <c r="A79" i="1895" s="1"/>
  <c r="A80" i="1895" s="1"/>
  <c r="A81" i="1895" s="1"/>
  <c r="A82" i="1895" s="1"/>
  <c r="AF61" i="1895"/>
  <c r="AF60" i="1895"/>
  <c r="AF63" i="1895" s="1"/>
  <c r="AA22" i="1895"/>
  <c r="Z22" i="1895"/>
  <c r="Y22" i="1895"/>
  <c r="X22" i="1895"/>
  <c r="W22" i="1895"/>
  <c r="V22" i="1895"/>
  <c r="U22" i="1895"/>
  <c r="T22" i="1895"/>
  <c r="S22" i="1895"/>
  <c r="R22" i="1895"/>
  <c r="N22" i="1895"/>
  <c r="J22" i="1895"/>
  <c r="I22" i="1895"/>
  <c r="AF21" i="1895"/>
  <c r="Q21" i="1895"/>
  <c r="AF20" i="1895"/>
  <c r="AB20" i="1895"/>
  <c r="Q20" i="1895"/>
  <c r="P20" i="1895"/>
  <c r="AC20" i="1895" s="1"/>
  <c r="AD20" i="1895" s="1"/>
  <c r="O20" i="1895"/>
  <c r="M20" i="1895"/>
  <c r="K20" i="1895"/>
  <c r="AF19" i="1895"/>
  <c r="AB19" i="1895"/>
  <c r="Q19" i="1895"/>
  <c r="P19" i="1895"/>
  <c r="AC19" i="1895" s="1"/>
  <c r="O19" i="1895"/>
  <c r="M19" i="1895"/>
  <c r="K19" i="1895"/>
  <c r="AF18" i="1895"/>
  <c r="Q18" i="1895"/>
  <c r="AF17" i="1895"/>
  <c r="AB17" i="1895"/>
  <c r="Q17" i="1895"/>
  <c r="P17" i="1895"/>
  <c r="AC17" i="1895" s="1"/>
  <c r="AD17" i="1895" s="1"/>
  <c r="O17" i="1895"/>
  <c r="M17" i="1895"/>
  <c r="K17" i="1895"/>
  <c r="AF16" i="1895"/>
  <c r="Q16" i="1895"/>
  <c r="P16" i="1895"/>
  <c r="AC16" i="1895" s="1"/>
  <c r="AF15" i="1895"/>
  <c r="Q15" i="1895"/>
  <c r="P15" i="1895"/>
  <c r="AC15" i="1895" s="1"/>
  <c r="AB15" i="1895"/>
  <c r="AF14" i="1895"/>
  <c r="AB14" i="1895"/>
  <c r="Q14" i="1895"/>
  <c r="P14" i="1895"/>
  <c r="AC14" i="1895" s="1"/>
  <c r="AD14" i="1895" s="1"/>
  <c r="O14" i="1895"/>
  <c r="M14" i="1895"/>
  <c r="AF13" i="1895"/>
  <c r="Q13" i="1895"/>
  <c r="P13" i="1895"/>
  <c r="AC13" i="1895" s="1"/>
  <c r="AF12" i="1895"/>
  <c r="AB12" i="1895"/>
  <c r="Q12" i="1895"/>
  <c r="P12" i="1895"/>
  <c r="AC12" i="1895" s="1"/>
  <c r="AD12" i="1895" s="1"/>
  <c r="O12" i="1895"/>
  <c r="M12" i="1895"/>
  <c r="K12" i="1895"/>
  <c r="AF11" i="1895"/>
  <c r="AB11" i="1895"/>
  <c r="Q11" i="1895"/>
  <c r="M11" i="1895"/>
  <c r="P11" i="1895"/>
  <c r="AC11" i="1895" s="1"/>
  <c r="AF10" i="1895"/>
  <c r="AB10" i="1895"/>
  <c r="Q10" i="1895"/>
  <c r="P10" i="1895"/>
  <c r="AC10" i="1895" s="1"/>
  <c r="AD10" i="1895" s="1"/>
  <c r="O10" i="1895"/>
  <c r="M10" i="1895"/>
  <c r="K10" i="1895"/>
  <c r="AF9" i="1895"/>
  <c r="AB9" i="1895"/>
  <c r="Q9" i="1895"/>
  <c r="P9" i="1895" s="1"/>
  <c r="AC9" i="1895" s="1"/>
  <c r="O9" i="1895"/>
  <c r="M9" i="1895"/>
  <c r="AF8" i="1895"/>
  <c r="Q8" i="1895"/>
  <c r="AF7" i="1895"/>
  <c r="AB7" i="1895"/>
  <c r="Q7" i="1895"/>
  <c r="P7" i="1895"/>
  <c r="AC7" i="1895" s="1"/>
  <c r="O7" i="1895"/>
  <c r="M7" i="1895"/>
  <c r="AF6" i="1895"/>
  <c r="AB6" i="1895"/>
  <c r="Q6" i="1895"/>
  <c r="P6" i="1895"/>
  <c r="O6" i="1895"/>
  <c r="M6" i="1895"/>
  <c r="K6" i="1895"/>
  <c r="AE22" i="1898" l="1"/>
  <c r="AE9" i="1898"/>
  <c r="AE15" i="1898"/>
  <c r="AE17" i="1898"/>
  <c r="AE16" i="1898"/>
  <c r="AE6" i="1898"/>
  <c r="AE21" i="1898"/>
  <c r="AE8" i="1898"/>
  <c r="AE11" i="1898"/>
  <c r="AE10" i="1898"/>
  <c r="AE20" i="1898"/>
  <c r="AE7" i="1898"/>
  <c r="AE13" i="1898"/>
  <c r="AE12" i="1898"/>
  <c r="AE18" i="1898"/>
  <c r="AE19" i="1898"/>
  <c r="AE19" i="1897"/>
  <c r="AE17" i="1897"/>
  <c r="AE15" i="1897"/>
  <c r="AE12" i="1897"/>
  <c r="AE20" i="1897"/>
  <c r="AE18" i="1897"/>
  <c r="AE16" i="1897"/>
  <c r="AE14" i="1897"/>
  <c r="AE8" i="1897"/>
  <c r="AE10" i="1897"/>
  <c r="AE7" i="1897"/>
  <c r="AE21" i="1897"/>
  <c r="AE13" i="1897"/>
  <c r="AE11" i="1897"/>
  <c r="AE9" i="1897"/>
  <c r="AE6" i="1897"/>
  <c r="AD16" i="1896"/>
  <c r="M23" i="1896"/>
  <c r="AB23" i="1896"/>
  <c r="AD9" i="1896"/>
  <c r="P23" i="1896"/>
  <c r="AB18" i="1895"/>
  <c r="O18" i="1895"/>
  <c r="P18" i="1895"/>
  <c r="AC18" i="1895" s="1"/>
  <c r="Q22" i="1895"/>
  <c r="AD9" i="1895"/>
  <c r="P8" i="1895"/>
  <c r="AC8" i="1895" s="1"/>
  <c r="AD19" i="1895"/>
  <c r="AD7" i="1895"/>
  <c r="AD15" i="1895"/>
  <c r="AC6" i="1895"/>
  <c r="M8" i="1895"/>
  <c r="AB8" i="1895"/>
  <c r="O11" i="1895"/>
  <c r="AD11" i="1895" s="1"/>
  <c r="M13" i="1895"/>
  <c r="AB13" i="1895"/>
  <c r="M16" i="1895"/>
  <c r="AB16" i="1895"/>
  <c r="M21" i="1895"/>
  <c r="AB21" i="1895"/>
  <c r="L22" i="1895"/>
  <c r="O22" i="1895" s="1"/>
  <c r="O8" i="1895"/>
  <c r="O13" i="1895"/>
  <c r="M15" i="1895"/>
  <c r="O16" i="1895"/>
  <c r="M18" i="1895"/>
  <c r="O21" i="1895"/>
  <c r="K22" i="1895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894"/>
  <c r="K21" i="1894"/>
  <c r="L18" i="1894"/>
  <c r="P18" i="1894" s="1"/>
  <c r="AC18" i="1894" s="1"/>
  <c r="L16" i="1894"/>
  <c r="L15" i="1894"/>
  <c r="L13" i="1894"/>
  <c r="L11" i="1894"/>
  <c r="L8" i="1894"/>
  <c r="K8" i="1894"/>
  <c r="K18" i="1894"/>
  <c r="K16" i="1894"/>
  <c r="K15" i="1894"/>
  <c r="K13" i="1894"/>
  <c r="K11" i="1894"/>
  <c r="K9" i="1894"/>
  <c r="A77" i="1894"/>
  <c r="A78" i="1894" s="1"/>
  <c r="A79" i="1894" s="1"/>
  <c r="A80" i="1894" s="1"/>
  <c r="A81" i="1894" s="1"/>
  <c r="A82" i="1894" s="1"/>
  <c r="AF63" i="1894"/>
  <c r="AF61" i="1894"/>
  <c r="AF60" i="1894"/>
  <c r="AA22" i="1894"/>
  <c r="Z22" i="1894"/>
  <c r="Y22" i="1894"/>
  <c r="X22" i="1894"/>
  <c r="W22" i="1894"/>
  <c r="V22" i="1894"/>
  <c r="U22" i="1894"/>
  <c r="T22" i="1894"/>
  <c r="S22" i="1894"/>
  <c r="R22" i="1894"/>
  <c r="N22" i="1894"/>
  <c r="J22" i="1894"/>
  <c r="I22" i="1894"/>
  <c r="AF21" i="1894"/>
  <c r="AC21" i="1894"/>
  <c r="Q21" i="1894"/>
  <c r="P21" i="1894"/>
  <c r="O21" i="1894"/>
  <c r="AB21" i="1894"/>
  <c r="AF20" i="1894"/>
  <c r="AC20" i="1894"/>
  <c r="AB20" i="1894"/>
  <c r="Q20" i="1894"/>
  <c r="P20" i="1894"/>
  <c r="O20" i="1894"/>
  <c r="M20" i="1894"/>
  <c r="K20" i="1894"/>
  <c r="AF19" i="1894"/>
  <c r="AB19" i="1894"/>
  <c r="Q19" i="1894"/>
  <c r="P19" i="1894"/>
  <c r="AC19" i="1894" s="1"/>
  <c r="AD19" i="1894" s="1"/>
  <c r="O19" i="1894"/>
  <c r="M19" i="1894"/>
  <c r="K19" i="1894"/>
  <c r="AF18" i="1894"/>
  <c r="AB18" i="1894"/>
  <c r="Q18" i="1894"/>
  <c r="O18" i="1894"/>
  <c r="M18" i="1894"/>
  <c r="AF17" i="1894"/>
  <c r="AC17" i="1894"/>
  <c r="AD17" i="1894" s="1"/>
  <c r="AB17" i="1894"/>
  <c r="Q17" i="1894"/>
  <c r="P17" i="1894"/>
  <c r="O17" i="1894"/>
  <c r="M17" i="1894"/>
  <c r="K17" i="1894"/>
  <c r="AF16" i="1894"/>
  <c r="Q16" i="1894"/>
  <c r="P16" i="1894"/>
  <c r="AC16" i="1894" s="1"/>
  <c r="O16" i="1894"/>
  <c r="AB16" i="1894"/>
  <c r="AF15" i="1894"/>
  <c r="AB15" i="1894"/>
  <c r="Q15" i="1894"/>
  <c r="P15" i="1894"/>
  <c r="AC15" i="1894" s="1"/>
  <c r="O15" i="1894"/>
  <c r="M15" i="1894"/>
  <c r="AF14" i="1894"/>
  <c r="AB14" i="1894"/>
  <c r="Q14" i="1894"/>
  <c r="P14" i="1894" s="1"/>
  <c r="AC14" i="1894" s="1"/>
  <c r="O14" i="1894"/>
  <c r="M14" i="1894"/>
  <c r="K14" i="1894"/>
  <c r="AF13" i="1894"/>
  <c r="Q13" i="1894"/>
  <c r="P13" i="1894" s="1"/>
  <c r="AC13" i="1894" s="1"/>
  <c r="O13" i="1894"/>
  <c r="AB13" i="1894"/>
  <c r="AF12" i="1894"/>
  <c r="AB12" i="1894"/>
  <c r="Q12" i="1894"/>
  <c r="P12" i="1894"/>
  <c r="AC12" i="1894" s="1"/>
  <c r="AD12" i="1894" s="1"/>
  <c r="O12" i="1894"/>
  <c r="M12" i="1894"/>
  <c r="K12" i="1894"/>
  <c r="AF11" i="1894"/>
  <c r="Q11" i="1894"/>
  <c r="P11" i="1894"/>
  <c r="AC11" i="1894" s="1"/>
  <c r="O11" i="1894"/>
  <c r="AF10" i="1894"/>
  <c r="AB10" i="1894"/>
  <c r="Q10" i="1894"/>
  <c r="P10" i="1894"/>
  <c r="AC10" i="1894" s="1"/>
  <c r="AD10" i="1894" s="1"/>
  <c r="O10" i="1894"/>
  <c r="M10" i="1894"/>
  <c r="K10" i="1894"/>
  <c r="AF9" i="1894"/>
  <c r="Q9" i="1894"/>
  <c r="O9" i="1894"/>
  <c r="AF8" i="1894"/>
  <c r="AB8" i="1894"/>
  <c r="Q8" i="1894"/>
  <c r="P8" i="1894" s="1"/>
  <c r="AC8" i="1894" s="1"/>
  <c r="O8" i="1894"/>
  <c r="M8" i="1894"/>
  <c r="AF7" i="1894"/>
  <c r="AC7" i="1894"/>
  <c r="AD7" i="1894" s="1"/>
  <c r="AB7" i="1894"/>
  <c r="Q7" i="1894"/>
  <c r="P7" i="1894"/>
  <c r="O7" i="1894"/>
  <c r="M7" i="1894"/>
  <c r="K7" i="1894"/>
  <c r="AF6" i="1894"/>
  <c r="AB6" i="1894"/>
  <c r="Q6" i="1894"/>
  <c r="P6" i="1894"/>
  <c r="O6" i="1894"/>
  <c r="M6" i="1894"/>
  <c r="K6" i="1894"/>
  <c r="AD23" i="1896" l="1"/>
  <c r="AB22" i="1895"/>
  <c r="AD18" i="1895"/>
  <c r="P22" i="1895"/>
  <c r="AD8" i="1895"/>
  <c r="AD21" i="1895"/>
  <c r="AD13" i="1895"/>
  <c r="M22" i="1895"/>
  <c r="AD16" i="1895"/>
  <c r="AC22" i="1895"/>
  <c r="AD6" i="1895"/>
  <c r="AD18" i="1894"/>
  <c r="AD14" i="1894"/>
  <c r="Q22" i="1894"/>
  <c r="AD8" i="1894"/>
  <c r="AD15" i="1894"/>
  <c r="AD20" i="1894"/>
  <c r="AD13" i="1894"/>
  <c r="AD16" i="1894"/>
  <c r="AD21" i="1894"/>
  <c r="M9" i="1894"/>
  <c r="AB9" i="1894"/>
  <c r="M11" i="1894"/>
  <c r="AB11" i="1894"/>
  <c r="AD11" i="1894" s="1"/>
  <c r="AC6" i="1894"/>
  <c r="K22" i="1894"/>
  <c r="P9" i="1894"/>
  <c r="AC9" i="1894" s="1"/>
  <c r="M13" i="1894"/>
  <c r="M16" i="1894"/>
  <c r="M21" i="1894"/>
  <c r="L22" i="1894"/>
  <c r="O22" i="1894" s="1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893"/>
  <c r="L18" i="1893"/>
  <c r="L16" i="1893"/>
  <c r="AB16" i="1893" s="1"/>
  <c r="L15" i="1893"/>
  <c r="K15" i="1893" s="1"/>
  <c r="L13" i="1893"/>
  <c r="L11" i="1893"/>
  <c r="L9" i="1893"/>
  <c r="K9" i="1893" s="1"/>
  <c r="K21" i="1893"/>
  <c r="K18" i="1893"/>
  <c r="K14" i="1893"/>
  <c r="K13" i="1893"/>
  <c r="K11" i="1893"/>
  <c r="A78" i="1893"/>
  <c r="A79" i="1893" s="1"/>
  <c r="A80" i="1893" s="1"/>
  <c r="A81" i="1893" s="1"/>
  <c r="A82" i="1893" s="1"/>
  <c r="A77" i="1893"/>
  <c r="AF61" i="1893"/>
  <c r="AF60" i="1893"/>
  <c r="AF63" i="1893" s="1"/>
  <c r="AA22" i="1893"/>
  <c r="Z22" i="1893"/>
  <c r="Y22" i="1893"/>
  <c r="X22" i="1893"/>
  <c r="W22" i="1893"/>
  <c r="V22" i="1893"/>
  <c r="U22" i="1893"/>
  <c r="T22" i="1893"/>
  <c r="S22" i="1893"/>
  <c r="R22" i="1893"/>
  <c r="N22" i="1893"/>
  <c r="J22" i="1893"/>
  <c r="I22" i="1893"/>
  <c r="AF21" i="1893"/>
  <c r="AB21" i="1893"/>
  <c r="Q21" i="1893"/>
  <c r="M21" i="1893"/>
  <c r="P21" i="1893"/>
  <c r="AC21" i="1893" s="1"/>
  <c r="AF20" i="1893"/>
  <c r="AB20" i="1893"/>
  <c r="Q20" i="1893"/>
  <c r="P20" i="1893"/>
  <c r="AC20" i="1893" s="1"/>
  <c r="AD20" i="1893" s="1"/>
  <c r="O20" i="1893"/>
  <c r="M20" i="1893"/>
  <c r="K20" i="1893"/>
  <c r="AF19" i="1893"/>
  <c r="AB19" i="1893"/>
  <c r="Q19" i="1893"/>
  <c r="P19" i="1893"/>
  <c r="AC19" i="1893" s="1"/>
  <c r="AD19" i="1893" s="1"/>
  <c r="O19" i="1893"/>
  <c r="M19" i="1893"/>
  <c r="K19" i="1893"/>
  <c r="AF18" i="1893"/>
  <c r="Q18" i="1893"/>
  <c r="P18" i="1893" s="1"/>
  <c r="AC18" i="1893" s="1"/>
  <c r="AF17" i="1893"/>
  <c r="AB17" i="1893"/>
  <c r="Q17" i="1893"/>
  <c r="P17" i="1893"/>
  <c r="AC17" i="1893" s="1"/>
  <c r="O17" i="1893"/>
  <c r="M17" i="1893"/>
  <c r="K17" i="1893"/>
  <c r="AF16" i="1893"/>
  <c r="Q16" i="1893"/>
  <c r="P16" i="1893"/>
  <c r="AC16" i="1893" s="1"/>
  <c r="AF15" i="1893"/>
  <c r="Q15" i="1893"/>
  <c r="P15" i="1893"/>
  <c r="AC15" i="1893" s="1"/>
  <c r="AF14" i="1893"/>
  <c r="AB14" i="1893"/>
  <c r="Q14" i="1893"/>
  <c r="P14" i="1893"/>
  <c r="AC14" i="1893" s="1"/>
  <c r="O14" i="1893"/>
  <c r="M14" i="1893"/>
  <c r="AF13" i="1893"/>
  <c r="AB13" i="1893"/>
  <c r="Q13" i="1893"/>
  <c r="P13" i="1893" s="1"/>
  <c r="AC13" i="1893" s="1"/>
  <c r="O13" i="1893"/>
  <c r="M13" i="1893"/>
  <c r="AF12" i="1893"/>
  <c r="AB12" i="1893"/>
  <c r="Q12" i="1893"/>
  <c r="P12" i="1893"/>
  <c r="AC12" i="1893" s="1"/>
  <c r="AD12" i="1893" s="1"/>
  <c r="O12" i="1893"/>
  <c r="M12" i="1893"/>
  <c r="K12" i="1893"/>
  <c r="AF11" i="1893"/>
  <c r="Q11" i="1893"/>
  <c r="P11" i="1893"/>
  <c r="AC11" i="1893" s="1"/>
  <c r="AF10" i="1893"/>
  <c r="AB10" i="1893"/>
  <c r="Q10" i="1893"/>
  <c r="P10" i="1893"/>
  <c r="AC10" i="1893" s="1"/>
  <c r="O10" i="1893"/>
  <c r="M10" i="1893"/>
  <c r="K10" i="1893"/>
  <c r="AF9" i="1893"/>
  <c r="AB9" i="1893"/>
  <c r="Q9" i="1893"/>
  <c r="P9" i="1893" s="1"/>
  <c r="AC9" i="1893" s="1"/>
  <c r="M9" i="1893"/>
  <c r="AF8" i="1893"/>
  <c r="AB8" i="1893"/>
  <c r="Q8" i="1893"/>
  <c r="P8" i="1893"/>
  <c r="AC8" i="1893" s="1"/>
  <c r="O8" i="1893"/>
  <c r="M8" i="1893"/>
  <c r="K8" i="1893"/>
  <c r="AF7" i="1893"/>
  <c r="AC7" i="1893"/>
  <c r="AD7" i="1893" s="1"/>
  <c r="AB7" i="1893"/>
  <c r="Q7" i="1893"/>
  <c r="P7" i="1893"/>
  <c r="O7" i="1893"/>
  <c r="M7" i="1893"/>
  <c r="K7" i="1893"/>
  <c r="AF6" i="1893"/>
  <c r="AB6" i="1893"/>
  <c r="Q6" i="1893"/>
  <c r="P6" i="1893"/>
  <c r="AC6" i="1893" s="1"/>
  <c r="O6" i="1893"/>
  <c r="M6" i="1893"/>
  <c r="K6" i="1893"/>
  <c r="AE17" i="1896" l="1"/>
  <c r="AE15" i="1896"/>
  <c r="AE22" i="1896"/>
  <c r="AE7" i="1896"/>
  <c r="AE14" i="1896"/>
  <c r="AE18" i="1896"/>
  <c r="AE19" i="1896"/>
  <c r="AE8" i="1896"/>
  <c r="AE21" i="1896"/>
  <c r="AE11" i="1896"/>
  <c r="AE10" i="1896"/>
  <c r="AE6" i="1896"/>
  <c r="AE9" i="1896"/>
  <c r="AE13" i="1896"/>
  <c r="AE16" i="1896"/>
  <c r="AE12" i="1896"/>
  <c r="AE20" i="1896"/>
  <c r="AD22" i="1895"/>
  <c r="AE11" i="1895" s="1"/>
  <c r="AB22" i="1894"/>
  <c r="P22" i="1894"/>
  <c r="M22" i="1894"/>
  <c r="AC22" i="1894"/>
  <c r="AD6" i="1894"/>
  <c r="AD9" i="1894"/>
  <c r="M16" i="1893"/>
  <c r="K16" i="1893"/>
  <c r="AD8" i="1893"/>
  <c r="Q22" i="1893"/>
  <c r="AD13" i="1893"/>
  <c r="AD17" i="1893"/>
  <c r="AD10" i="1893"/>
  <c r="AD14" i="1893"/>
  <c r="AD6" i="1893"/>
  <c r="AC22" i="1893"/>
  <c r="L22" i="1893"/>
  <c r="O22" i="1893" s="1"/>
  <c r="O9" i="1893"/>
  <c r="AD9" i="1893" s="1"/>
  <c r="M11" i="1893"/>
  <c r="AB11" i="1893"/>
  <c r="AB22" i="1893" s="1"/>
  <c r="M15" i="1893"/>
  <c r="AB15" i="1893"/>
  <c r="O16" i="1893"/>
  <c r="AD16" i="1893" s="1"/>
  <c r="M18" i="1893"/>
  <c r="AB18" i="1893"/>
  <c r="O21" i="1893"/>
  <c r="AD21" i="1893" s="1"/>
  <c r="P22" i="1893"/>
  <c r="O11" i="1893"/>
  <c r="O15" i="1893"/>
  <c r="O18" i="1893"/>
  <c r="K22" i="1893"/>
  <c r="I19" i="16"/>
  <c r="I18" i="16"/>
  <c r="I17" i="16"/>
  <c r="I16" i="16"/>
  <c r="I15" i="16"/>
  <c r="I14" i="16"/>
  <c r="I13" i="16"/>
  <c r="I12" i="16"/>
  <c r="I11" i="16"/>
  <c r="I9" i="16"/>
  <c r="I8" i="16"/>
  <c r="I7" i="16"/>
  <c r="I6" i="16"/>
  <c r="I5" i="16"/>
  <c r="I4" i="16"/>
  <c r="I3" i="16"/>
  <c r="L22" i="1892"/>
  <c r="L19" i="1892"/>
  <c r="K19" i="1892" s="1"/>
  <c r="L17" i="1892"/>
  <c r="L16" i="1892"/>
  <c r="K14" i="1892"/>
  <c r="AF14" i="1892"/>
  <c r="AB14" i="1892"/>
  <c r="Q14" i="1892"/>
  <c r="P14" i="1892" s="1"/>
  <c r="AC14" i="1892" s="1"/>
  <c r="O14" i="1892"/>
  <c r="M14" i="1892"/>
  <c r="L13" i="1892"/>
  <c r="AE7" i="1895" l="1"/>
  <c r="AE19" i="1895"/>
  <c r="AE9" i="1895"/>
  <c r="AE14" i="1895"/>
  <c r="AE18" i="1895"/>
  <c r="AE13" i="1895"/>
  <c r="AE20" i="1895"/>
  <c r="AE16" i="1895"/>
  <c r="AE12" i="1895"/>
  <c r="AE8" i="1895"/>
  <c r="AE17" i="1895"/>
  <c r="AE6" i="1895"/>
  <c r="AE15" i="1895"/>
  <c r="AE21" i="1895"/>
  <c r="AE10" i="1895"/>
  <c r="AD22" i="1894"/>
  <c r="AD18" i="1893"/>
  <c r="M22" i="1893"/>
  <c r="AD15" i="1893"/>
  <c r="AD11" i="1893"/>
  <c r="AD14" i="1892"/>
  <c r="AE13" i="1894" l="1"/>
  <c r="AE19" i="1894"/>
  <c r="AE6" i="1894"/>
  <c r="AE11" i="1894"/>
  <c r="AE17" i="1894"/>
  <c r="AE14" i="1894"/>
  <c r="AE20" i="1894"/>
  <c r="AE18" i="1894"/>
  <c r="AE15" i="1894"/>
  <c r="AE12" i="1894"/>
  <c r="AE7" i="1894"/>
  <c r="AE21" i="1894"/>
  <c r="AE16" i="1894"/>
  <c r="AE10" i="1894"/>
  <c r="AE8" i="1894"/>
  <c r="AE9" i="1894"/>
  <c r="AD22" i="1893"/>
  <c r="AE21" i="1893" s="1"/>
  <c r="L11" i="1892"/>
  <c r="P11" i="1892" s="1"/>
  <c r="AC11" i="1892" s="1"/>
  <c r="L9" i="1892"/>
  <c r="K20" i="1892"/>
  <c r="K17" i="1892"/>
  <c r="K16" i="1892"/>
  <c r="K15" i="1892"/>
  <c r="K13" i="1892"/>
  <c r="K11" i="1892"/>
  <c r="K9" i="1892"/>
  <c r="K8" i="1892"/>
  <c r="K7" i="1892"/>
  <c r="A78" i="1892"/>
  <c r="A79" i="1892" s="1"/>
  <c r="A80" i="1892" s="1"/>
  <c r="A81" i="1892" s="1"/>
  <c r="A82" i="1892" s="1"/>
  <c r="A83" i="1892" s="1"/>
  <c r="AF62" i="1892"/>
  <c r="AF61" i="1892"/>
  <c r="AF64" i="1892" s="1"/>
  <c r="AA23" i="1892"/>
  <c r="Z23" i="1892"/>
  <c r="Y23" i="1892"/>
  <c r="X23" i="1892"/>
  <c r="W23" i="1892"/>
  <c r="V23" i="1892"/>
  <c r="U23" i="1892"/>
  <c r="T23" i="1892"/>
  <c r="S23" i="1892"/>
  <c r="R23" i="1892"/>
  <c r="N23" i="1892"/>
  <c r="J23" i="1892"/>
  <c r="I23" i="1892"/>
  <c r="AF22" i="1892"/>
  <c r="AB22" i="1892"/>
  <c r="Q22" i="1892"/>
  <c r="P22" i="1892"/>
  <c r="AC22" i="1892" s="1"/>
  <c r="O22" i="1892"/>
  <c r="M22" i="1892"/>
  <c r="K22" i="1892"/>
  <c r="AF21" i="1892"/>
  <c r="AB21" i="1892"/>
  <c r="Q21" i="1892"/>
  <c r="P21" i="1892"/>
  <c r="AC21" i="1892" s="1"/>
  <c r="O21" i="1892"/>
  <c r="M21" i="1892"/>
  <c r="K21" i="1892"/>
  <c r="AF20" i="1892"/>
  <c r="Q20" i="1892"/>
  <c r="P20" i="1892"/>
  <c r="AC20" i="1892" s="1"/>
  <c r="O20" i="1892"/>
  <c r="AB20" i="1892"/>
  <c r="AF19" i="1892"/>
  <c r="AB19" i="1892"/>
  <c r="Q19" i="1892"/>
  <c r="P19" i="1892" s="1"/>
  <c r="AC19" i="1892" s="1"/>
  <c r="O19" i="1892"/>
  <c r="M19" i="1892"/>
  <c r="AF18" i="1892"/>
  <c r="AB18" i="1892"/>
  <c r="Q18" i="1892"/>
  <c r="P18" i="1892"/>
  <c r="AC18" i="1892" s="1"/>
  <c r="O18" i="1892"/>
  <c r="M18" i="1892"/>
  <c r="K18" i="1892"/>
  <c r="AF17" i="1892"/>
  <c r="AB17" i="1892"/>
  <c r="Q17" i="1892"/>
  <c r="P17" i="1892" s="1"/>
  <c r="AC17" i="1892" s="1"/>
  <c r="O17" i="1892"/>
  <c r="M17" i="1892"/>
  <c r="AF16" i="1892"/>
  <c r="Q16" i="1892"/>
  <c r="O16" i="1892"/>
  <c r="AF15" i="1892"/>
  <c r="AB15" i="1892"/>
  <c r="Q15" i="1892"/>
  <c r="P15" i="1892" s="1"/>
  <c r="AC15" i="1892" s="1"/>
  <c r="O15" i="1892"/>
  <c r="M15" i="1892"/>
  <c r="AF13" i="1892"/>
  <c r="AB13" i="1892"/>
  <c r="Q13" i="1892"/>
  <c r="P13" i="1892"/>
  <c r="AC13" i="1892" s="1"/>
  <c r="O13" i="1892"/>
  <c r="M13" i="1892"/>
  <c r="AF12" i="1892"/>
  <c r="AB12" i="1892"/>
  <c r="Q12" i="1892"/>
  <c r="P12" i="1892"/>
  <c r="AC12" i="1892" s="1"/>
  <c r="O12" i="1892"/>
  <c r="M12" i="1892"/>
  <c r="K12" i="1892"/>
  <c r="AF11" i="1892"/>
  <c r="Q11" i="1892"/>
  <c r="AF10" i="1892"/>
  <c r="AB10" i="1892"/>
  <c r="Q10" i="1892"/>
  <c r="P10" i="1892"/>
  <c r="AC10" i="1892" s="1"/>
  <c r="O10" i="1892"/>
  <c r="M10" i="1892"/>
  <c r="K10" i="1892"/>
  <c r="AF9" i="1892"/>
  <c r="AB9" i="1892"/>
  <c r="Q9" i="1892"/>
  <c r="P9" i="1892" s="1"/>
  <c r="AC9" i="1892" s="1"/>
  <c r="M9" i="1892"/>
  <c r="O9" i="1892"/>
  <c r="AF8" i="1892"/>
  <c r="AB8" i="1892"/>
  <c r="Q8" i="1892"/>
  <c r="P8" i="1892" s="1"/>
  <c r="AC8" i="1892" s="1"/>
  <c r="O8" i="1892"/>
  <c r="M8" i="1892"/>
  <c r="AF7" i="1892"/>
  <c r="Q7" i="1892"/>
  <c r="O7" i="1892"/>
  <c r="AB7" i="1892"/>
  <c r="AF6" i="1892"/>
  <c r="AB6" i="1892"/>
  <c r="Q6" i="1892"/>
  <c r="P6" i="1892"/>
  <c r="O6" i="1892"/>
  <c r="M6" i="1892"/>
  <c r="K6" i="1892"/>
  <c r="AE15" i="1893" l="1"/>
  <c r="AE14" i="1893"/>
  <c r="AE9" i="1893"/>
  <c r="AE18" i="1893"/>
  <c r="AE17" i="1893"/>
  <c r="AE12" i="1893"/>
  <c r="AE16" i="1893"/>
  <c r="AE20" i="1893"/>
  <c r="AE13" i="1893"/>
  <c r="AE11" i="1893"/>
  <c r="AE8" i="1893"/>
  <c r="AE7" i="1893"/>
  <c r="AE10" i="1893"/>
  <c r="AE6" i="1893"/>
  <c r="AE19" i="1893"/>
  <c r="AD17" i="1892"/>
  <c r="AD21" i="1892"/>
  <c r="AD13" i="1892"/>
  <c r="I10" i="16" s="1"/>
  <c r="AD22" i="1892"/>
  <c r="AD12" i="1892"/>
  <c r="AD18" i="1892"/>
  <c r="AD9" i="1892"/>
  <c r="Q23" i="1892"/>
  <c r="AD19" i="1892"/>
  <c r="AD8" i="1892"/>
  <c r="AD10" i="1892"/>
  <c r="AD15" i="1892"/>
  <c r="AD20" i="1892"/>
  <c r="AC6" i="1892"/>
  <c r="K23" i="1892"/>
  <c r="P7" i="1892"/>
  <c r="AC7" i="1892" s="1"/>
  <c r="AD7" i="1892" s="1"/>
  <c r="M11" i="1892"/>
  <c r="AB11" i="1892"/>
  <c r="P16" i="1892"/>
  <c r="AC16" i="1892" s="1"/>
  <c r="M20" i="1892"/>
  <c r="L23" i="1892"/>
  <c r="O23" i="1892" s="1"/>
  <c r="O11" i="1892"/>
  <c r="AD11" i="1892" s="1"/>
  <c r="M7" i="1892"/>
  <c r="M16" i="1892"/>
  <c r="AB16" i="1892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19" i="1891"/>
  <c r="K19" i="1891" s="1"/>
  <c r="L16" i="1891"/>
  <c r="K16" i="1891" s="1"/>
  <c r="L15" i="1891"/>
  <c r="K15" i="1891"/>
  <c r="L13" i="1891"/>
  <c r="L11" i="1891"/>
  <c r="O11" i="1891" s="1"/>
  <c r="L9" i="1891"/>
  <c r="L7" i="1891"/>
  <c r="K7" i="1891"/>
  <c r="K21" i="1891"/>
  <c r="K18" i="1891"/>
  <c r="K14" i="1891"/>
  <c r="K13" i="1891"/>
  <c r="K12" i="1891"/>
  <c r="K8" i="1891"/>
  <c r="A79" i="1891"/>
  <c r="A80" i="1891" s="1"/>
  <c r="A81" i="1891" s="1"/>
  <c r="A82" i="1891" s="1"/>
  <c r="A78" i="1891"/>
  <c r="A77" i="1891"/>
  <c r="AF61" i="1891"/>
  <c r="AF60" i="1891"/>
  <c r="AF63" i="1891" s="1"/>
  <c r="AA22" i="1891"/>
  <c r="Z22" i="1891"/>
  <c r="Y22" i="1891"/>
  <c r="X22" i="1891"/>
  <c r="W22" i="1891"/>
  <c r="V22" i="1891"/>
  <c r="U22" i="1891"/>
  <c r="T22" i="1891"/>
  <c r="S22" i="1891"/>
  <c r="R22" i="1891"/>
  <c r="N22" i="1891"/>
  <c r="J22" i="1891"/>
  <c r="I22" i="1891"/>
  <c r="AF21" i="1891"/>
  <c r="AB21" i="1891"/>
  <c r="Q21" i="1891"/>
  <c r="M21" i="1891"/>
  <c r="P21" i="1891"/>
  <c r="AC21" i="1891" s="1"/>
  <c r="AF20" i="1891"/>
  <c r="AB20" i="1891"/>
  <c r="Q20" i="1891"/>
  <c r="P20" i="1891"/>
  <c r="AC20" i="1891" s="1"/>
  <c r="O20" i="1891"/>
  <c r="M20" i="1891"/>
  <c r="K20" i="1891"/>
  <c r="AF19" i="1891"/>
  <c r="Q19" i="1891"/>
  <c r="O19" i="1891"/>
  <c r="AB19" i="1891"/>
  <c r="AF18" i="1891"/>
  <c r="AB18" i="1891"/>
  <c r="Q18" i="1891"/>
  <c r="P18" i="1891" s="1"/>
  <c r="AC18" i="1891" s="1"/>
  <c r="O18" i="1891"/>
  <c r="M18" i="1891"/>
  <c r="AF17" i="1891"/>
  <c r="AB17" i="1891"/>
  <c r="Q17" i="1891"/>
  <c r="P17" i="1891"/>
  <c r="AC17" i="1891" s="1"/>
  <c r="O17" i="1891"/>
  <c r="M17" i="1891"/>
  <c r="K17" i="1891"/>
  <c r="AF16" i="1891"/>
  <c r="AB16" i="1891"/>
  <c r="Q16" i="1891"/>
  <c r="P16" i="1891"/>
  <c r="AC16" i="1891" s="1"/>
  <c r="O16" i="1891"/>
  <c r="AF15" i="1891"/>
  <c r="AB15" i="1891"/>
  <c r="Q15" i="1891"/>
  <c r="P15" i="1891" s="1"/>
  <c r="AC15" i="1891" s="1"/>
  <c r="O15" i="1891"/>
  <c r="M15" i="1891"/>
  <c r="AF14" i="1891"/>
  <c r="AB14" i="1891"/>
  <c r="Q14" i="1891"/>
  <c r="P14" i="1891" s="1"/>
  <c r="AC14" i="1891" s="1"/>
  <c r="O14" i="1891"/>
  <c r="M14" i="1891"/>
  <c r="AF13" i="1891"/>
  <c r="Q13" i="1891"/>
  <c r="P13" i="1891"/>
  <c r="AC13" i="1891" s="1"/>
  <c r="AF12" i="1891"/>
  <c r="AB12" i="1891"/>
  <c r="Q12" i="1891"/>
  <c r="P12" i="1891"/>
  <c r="AC12" i="1891" s="1"/>
  <c r="AD12" i="1891" s="1"/>
  <c r="O12" i="1891"/>
  <c r="M12" i="1891"/>
  <c r="AF11" i="1891"/>
  <c r="Q11" i="1891"/>
  <c r="AF10" i="1891"/>
  <c r="AB10" i="1891"/>
  <c r="Q10" i="1891"/>
  <c r="P10" i="1891"/>
  <c r="AC10" i="1891" s="1"/>
  <c r="O10" i="1891"/>
  <c r="M10" i="1891"/>
  <c r="K10" i="1891"/>
  <c r="AF9" i="1891"/>
  <c r="AB9" i="1891"/>
  <c r="Q9" i="1891"/>
  <c r="M9" i="1891"/>
  <c r="AF8" i="1891"/>
  <c r="Q8" i="1891"/>
  <c r="O8" i="1891"/>
  <c r="AB8" i="1891"/>
  <c r="AF7" i="1891"/>
  <c r="AB7" i="1891"/>
  <c r="Q7" i="1891"/>
  <c r="P7" i="1891" s="1"/>
  <c r="AC7" i="1891" s="1"/>
  <c r="M7" i="1891"/>
  <c r="O7" i="1891"/>
  <c r="AF6" i="1891"/>
  <c r="AC6" i="1891"/>
  <c r="AD6" i="1891" s="1"/>
  <c r="AB6" i="1891"/>
  <c r="Q6" i="1891"/>
  <c r="P6" i="1891"/>
  <c r="O6" i="1891"/>
  <c r="M6" i="1891"/>
  <c r="K6" i="1891"/>
  <c r="AD16" i="1892" l="1"/>
  <c r="AB23" i="1892"/>
  <c r="M23" i="1892"/>
  <c r="AD6" i="1892"/>
  <c r="AD23" i="1892" s="1"/>
  <c r="AE14" i="1892" s="1"/>
  <c r="AC23" i="1892"/>
  <c r="P23" i="1892"/>
  <c r="M16" i="1891"/>
  <c r="AB11" i="1891"/>
  <c r="K11" i="1891"/>
  <c r="K22" i="1891" s="1"/>
  <c r="P9" i="1891"/>
  <c r="AC9" i="1891" s="1"/>
  <c r="O9" i="1891"/>
  <c r="AD9" i="1891" s="1"/>
  <c r="K9" i="1891"/>
  <c r="Q22" i="1891"/>
  <c r="AD14" i="1891"/>
  <c r="AD17" i="1891"/>
  <c r="AD10" i="1891"/>
  <c r="AD15" i="1891"/>
  <c r="AD16" i="1891"/>
  <c r="AD20" i="1891"/>
  <c r="AD18" i="1891"/>
  <c r="AD7" i="1891"/>
  <c r="L22" i="1891"/>
  <c r="O22" i="1891" s="1"/>
  <c r="P8" i="1891"/>
  <c r="AC8" i="1891" s="1"/>
  <c r="AD8" i="1891" s="1"/>
  <c r="P11" i="1891"/>
  <c r="AC11" i="1891" s="1"/>
  <c r="AD11" i="1891" s="1"/>
  <c r="M13" i="1891"/>
  <c r="AB13" i="1891"/>
  <c r="P19" i="1891"/>
  <c r="AC19" i="1891" s="1"/>
  <c r="AD19" i="1891" s="1"/>
  <c r="O21" i="1891"/>
  <c r="AD21" i="1891" s="1"/>
  <c r="O13" i="1891"/>
  <c r="M8" i="1891"/>
  <c r="M11" i="1891"/>
  <c r="M19" i="1891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1890"/>
  <c r="L19" i="1890"/>
  <c r="K18" i="1890"/>
  <c r="L16" i="1890"/>
  <c r="O16" i="1890" s="1"/>
  <c r="L13" i="1890"/>
  <c r="M13" i="1890" s="1"/>
  <c r="L12" i="1890"/>
  <c r="L11" i="1890"/>
  <c r="L9" i="1890"/>
  <c r="L8" i="1890"/>
  <c r="O8" i="1890" s="1"/>
  <c r="L7" i="1890"/>
  <c r="K7" i="1890"/>
  <c r="K21" i="1890"/>
  <c r="K20" i="1890"/>
  <c r="K19" i="1890"/>
  <c r="K14" i="1890"/>
  <c r="K12" i="1890"/>
  <c r="K11" i="1890"/>
  <c r="K9" i="1890"/>
  <c r="A77" i="1890"/>
  <c r="A78" i="1890" s="1"/>
  <c r="A79" i="1890" s="1"/>
  <c r="A80" i="1890" s="1"/>
  <c r="A81" i="1890" s="1"/>
  <c r="A82" i="1890" s="1"/>
  <c r="AF61" i="1890"/>
  <c r="AF60" i="1890"/>
  <c r="AF63" i="1890" s="1"/>
  <c r="AA22" i="1890"/>
  <c r="Z22" i="1890"/>
  <c r="Y22" i="1890"/>
  <c r="X22" i="1890"/>
  <c r="W22" i="1890"/>
  <c r="V22" i="1890"/>
  <c r="U22" i="1890"/>
  <c r="T22" i="1890"/>
  <c r="S22" i="1890"/>
  <c r="R22" i="1890"/>
  <c r="N22" i="1890"/>
  <c r="J22" i="1890"/>
  <c r="I22" i="1890"/>
  <c r="AF21" i="1890"/>
  <c r="Q21" i="1890"/>
  <c r="P21" i="1890"/>
  <c r="AC21" i="1890" s="1"/>
  <c r="O21" i="1890"/>
  <c r="AF20" i="1890"/>
  <c r="Q20" i="1890"/>
  <c r="P20" i="1890"/>
  <c r="AC20" i="1890" s="1"/>
  <c r="O20" i="1890"/>
  <c r="AB20" i="1890"/>
  <c r="AF19" i="1890"/>
  <c r="AB19" i="1890"/>
  <c r="Q19" i="1890"/>
  <c r="P19" i="1890" s="1"/>
  <c r="AC19" i="1890" s="1"/>
  <c r="O19" i="1890"/>
  <c r="M19" i="1890"/>
  <c r="AF18" i="1890"/>
  <c r="Q18" i="1890"/>
  <c r="P18" i="1890" s="1"/>
  <c r="AC18" i="1890" s="1"/>
  <c r="AF17" i="1890"/>
  <c r="AB17" i="1890"/>
  <c r="Q17" i="1890"/>
  <c r="P17" i="1890"/>
  <c r="AC17" i="1890" s="1"/>
  <c r="O17" i="1890"/>
  <c r="M17" i="1890"/>
  <c r="K17" i="1890"/>
  <c r="AF16" i="1890"/>
  <c r="Q16" i="1890"/>
  <c r="P16" i="1890"/>
  <c r="AC16" i="1890" s="1"/>
  <c r="AF15" i="1890"/>
  <c r="AB15" i="1890"/>
  <c r="Q15" i="1890"/>
  <c r="P15" i="1890"/>
  <c r="AC15" i="1890" s="1"/>
  <c r="AD15" i="1890" s="1"/>
  <c r="O15" i="1890"/>
  <c r="M15" i="1890"/>
  <c r="K15" i="1890"/>
  <c r="AF14" i="1890"/>
  <c r="AB14" i="1890"/>
  <c r="Q14" i="1890"/>
  <c r="P14" i="1890" s="1"/>
  <c r="AC14" i="1890" s="1"/>
  <c r="O14" i="1890"/>
  <c r="M14" i="1890"/>
  <c r="AF13" i="1890"/>
  <c r="Q13" i="1890"/>
  <c r="O13" i="1890"/>
  <c r="AF12" i="1890"/>
  <c r="Q12" i="1890"/>
  <c r="P12" i="1890"/>
  <c r="AC12" i="1890" s="1"/>
  <c r="AF11" i="1890"/>
  <c r="Q11" i="1890"/>
  <c r="O11" i="1890"/>
  <c r="AF10" i="1890"/>
  <c r="AB10" i="1890"/>
  <c r="Q10" i="1890"/>
  <c r="P10" i="1890"/>
  <c r="AC10" i="1890" s="1"/>
  <c r="AD10" i="1890" s="1"/>
  <c r="O10" i="1890"/>
  <c r="M10" i="1890"/>
  <c r="K10" i="1890"/>
  <c r="AF9" i="1890"/>
  <c r="Q9" i="1890"/>
  <c r="P9" i="1890"/>
  <c r="AC9" i="1890" s="1"/>
  <c r="AF8" i="1890"/>
  <c r="Q8" i="1890"/>
  <c r="AF7" i="1890"/>
  <c r="AB7" i="1890"/>
  <c r="Q7" i="1890"/>
  <c r="P7" i="1890" s="1"/>
  <c r="AC7" i="1890" s="1"/>
  <c r="O7" i="1890"/>
  <c r="M7" i="1890"/>
  <c r="AF6" i="1890"/>
  <c r="AB6" i="1890"/>
  <c r="Q6" i="1890"/>
  <c r="P6" i="1890"/>
  <c r="AC6" i="1890" s="1"/>
  <c r="O6" i="1890"/>
  <c r="M6" i="1890"/>
  <c r="K6" i="1890"/>
  <c r="AE22" i="1892" l="1"/>
  <c r="AE20" i="1892"/>
  <c r="AE18" i="1892"/>
  <c r="AE15" i="1892"/>
  <c r="AE9" i="1892"/>
  <c r="AE6" i="1892"/>
  <c r="AE21" i="1892"/>
  <c r="AE16" i="1892"/>
  <c r="AE12" i="1892"/>
  <c r="AE7" i="1892"/>
  <c r="AE11" i="1892"/>
  <c r="AE8" i="1892"/>
  <c r="AE19" i="1892"/>
  <c r="AE17" i="1892"/>
  <c r="AE13" i="1892"/>
  <c r="AE10" i="1892"/>
  <c r="AD13" i="1891"/>
  <c r="AD22" i="1891" s="1"/>
  <c r="AE10" i="1891" s="1"/>
  <c r="M22" i="1891"/>
  <c r="P22" i="1891"/>
  <c r="AB22" i="1891"/>
  <c r="AC22" i="1891"/>
  <c r="M16" i="1890"/>
  <c r="AB16" i="1890"/>
  <c r="AD16" i="1890" s="1"/>
  <c r="K16" i="1890"/>
  <c r="AD14" i="1890"/>
  <c r="P13" i="1890"/>
  <c r="AC13" i="1890" s="1"/>
  <c r="AB13" i="1890"/>
  <c r="K13" i="1890"/>
  <c r="P11" i="1890"/>
  <c r="AC11" i="1890" s="1"/>
  <c r="K8" i="1890"/>
  <c r="M8" i="1890"/>
  <c r="AB8" i="1890"/>
  <c r="P8" i="1890"/>
  <c r="AC8" i="1890" s="1"/>
  <c r="Q22" i="1890"/>
  <c r="AD7" i="1890"/>
  <c r="AD17" i="1890"/>
  <c r="AD19" i="1890"/>
  <c r="AD6" i="1890"/>
  <c r="AD20" i="1890"/>
  <c r="M9" i="1890"/>
  <c r="AB12" i="1890"/>
  <c r="AB18" i="1890"/>
  <c r="O9" i="1890"/>
  <c r="M11" i="1890"/>
  <c r="AB11" i="1890"/>
  <c r="O12" i="1890"/>
  <c r="O18" i="1890"/>
  <c r="M21" i="1890"/>
  <c r="AB21" i="1890"/>
  <c r="AD21" i="1890" s="1"/>
  <c r="L22" i="1890"/>
  <c r="O22" i="1890" s="1"/>
  <c r="AB9" i="1890"/>
  <c r="M12" i="1890"/>
  <c r="M18" i="1890"/>
  <c r="M20" i="1890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1889"/>
  <c r="K21" i="1889" s="1"/>
  <c r="L20" i="1889"/>
  <c r="L19" i="1889"/>
  <c r="K19" i="1889"/>
  <c r="L18" i="1889"/>
  <c r="O18" i="1889" s="1"/>
  <c r="L16" i="1889"/>
  <c r="L14" i="1889"/>
  <c r="O14" i="1889" s="1"/>
  <c r="L13" i="1889"/>
  <c r="AB13" i="1889" s="1"/>
  <c r="K13" i="1889"/>
  <c r="L12" i="1889"/>
  <c r="P12" i="1889" s="1"/>
  <c r="AC12" i="1889" s="1"/>
  <c r="L11" i="1889"/>
  <c r="O11" i="1889" s="1"/>
  <c r="K11" i="1889"/>
  <c r="AF11" i="1889"/>
  <c r="AB11" i="1889"/>
  <c r="Q11" i="1889"/>
  <c r="P11" i="1889" s="1"/>
  <c r="AC11" i="1889" s="1"/>
  <c r="AD11" i="1889" s="1"/>
  <c r="M11" i="1889"/>
  <c r="L9" i="1889"/>
  <c r="K8" i="1889"/>
  <c r="K20" i="1889"/>
  <c r="K18" i="1889"/>
  <c r="K16" i="1889"/>
  <c r="K14" i="1889"/>
  <c r="K12" i="1889"/>
  <c r="K9" i="1889"/>
  <c r="K7" i="1889"/>
  <c r="A77" i="1889"/>
  <c r="A78" i="1889" s="1"/>
  <c r="A79" i="1889" s="1"/>
  <c r="A80" i="1889" s="1"/>
  <c r="A81" i="1889" s="1"/>
  <c r="A82" i="1889" s="1"/>
  <c r="AF61" i="1889"/>
  <c r="AF60" i="1889"/>
  <c r="AF63" i="1889" s="1"/>
  <c r="AA22" i="1889"/>
  <c r="Z22" i="1889"/>
  <c r="Y22" i="1889"/>
  <c r="X22" i="1889"/>
  <c r="W22" i="1889"/>
  <c r="V22" i="1889"/>
  <c r="U22" i="1889"/>
  <c r="T22" i="1889"/>
  <c r="S22" i="1889"/>
  <c r="R22" i="1889"/>
  <c r="N22" i="1889"/>
  <c r="J22" i="1889"/>
  <c r="I22" i="1889"/>
  <c r="AF21" i="1889"/>
  <c r="Q21" i="1889"/>
  <c r="AF20" i="1889"/>
  <c r="Q20" i="1889"/>
  <c r="P20" i="1889"/>
  <c r="AC20" i="1889" s="1"/>
  <c r="AF19" i="1889"/>
  <c r="Q19" i="1889"/>
  <c r="M19" i="1889"/>
  <c r="O19" i="1889"/>
  <c r="AF18" i="1889"/>
  <c r="Q18" i="1889"/>
  <c r="AB18" i="1889"/>
  <c r="AF17" i="1889"/>
  <c r="AB17" i="1889"/>
  <c r="Q17" i="1889"/>
  <c r="P17" i="1889"/>
  <c r="AC17" i="1889" s="1"/>
  <c r="AD17" i="1889" s="1"/>
  <c r="O17" i="1889"/>
  <c r="M17" i="1889"/>
  <c r="K17" i="1889"/>
  <c r="AF16" i="1889"/>
  <c r="Q16" i="1889"/>
  <c r="AF15" i="1889"/>
  <c r="AC15" i="1889"/>
  <c r="AB15" i="1889"/>
  <c r="Q15" i="1889"/>
  <c r="P15" i="1889"/>
  <c r="O15" i="1889"/>
  <c r="M15" i="1889"/>
  <c r="K15" i="1889"/>
  <c r="AF14" i="1889"/>
  <c r="AB14" i="1889"/>
  <c r="Q14" i="1889"/>
  <c r="P14" i="1889" s="1"/>
  <c r="AC14" i="1889" s="1"/>
  <c r="M14" i="1889"/>
  <c r="AF13" i="1889"/>
  <c r="Q13" i="1889"/>
  <c r="O13" i="1889"/>
  <c r="AF12" i="1889"/>
  <c r="AB12" i="1889"/>
  <c r="Q12" i="1889"/>
  <c r="M12" i="1889"/>
  <c r="AF10" i="1889"/>
  <c r="AC10" i="1889"/>
  <c r="AB10" i="1889"/>
  <c r="Q10" i="1889"/>
  <c r="P10" i="1889"/>
  <c r="O10" i="1889"/>
  <c r="M10" i="1889"/>
  <c r="K10" i="1889"/>
  <c r="AF9" i="1889"/>
  <c r="Q9" i="1889"/>
  <c r="P9" i="1889" s="1"/>
  <c r="AC9" i="1889" s="1"/>
  <c r="AF8" i="1889"/>
  <c r="Q8" i="1889"/>
  <c r="P8" i="1889"/>
  <c r="AC8" i="1889" s="1"/>
  <c r="O8" i="1889"/>
  <c r="AF7" i="1889"/>
  <c r="Q7" i="1889"/>
  <c r="P7" i="1889"/>
  <c r="AC7" i="1889" s="1"/>
  <c r="O7" i="1889"/>
  <c r="AB7" i="1889"/>
  <c r="AF6" i="1889"/>
  <c r="AC6" i="1889"/>
  <c r="AD6" i="1889" s="1"/>
  <c r="AB6" i="1889"/>
  <c r="Q6" i="1889"/>
  <c r="P6" i="1889"/>
  <c r="O6" i="1889"/>
  <c r="M6" i="1889"/>
  <c r="K6" i="1889"/>
  <c r="AE13" i="1891" l="1"/>
  <c r="AE12" i="1891"/>
  <c r="AE11" i="1891"/>
  <c r="AE16" i="1891"/>
  <c r="AE17" i="1891"/>
  <c r="AE14" i="1891"/>
  <c r="AE20" i="1891"/>
  <c r="AE8" i="1891"/>
  <c r="AE7" i="1891"/>
  <c r="AE21" i="1891"/>
  <c r="AE15" i="1891"/>
  <c r="AE18" i="1891"/>
  <c r="AE6" i="1891"/>
  <c r="AE9" i="1891"/>
  <c r="AE19" i="1891"/>
  <c r="AD18" i="1890"/>
  <c r="K22" i="1890"/>
  <c r="AD13" i="1890"/>
  <c r="AD12" i="1890"/>
  <c r="AC22" i="1890"/>
  <c r="P22" i="1890"/>
  <c r="AD8" i="1890"/>
  <c r="AD9" i="1890"/>
  <c r="M22" i="1890"/>
  <c r="AB22" i="1890"/>
  <c r="AD11" i="1890"/>
  <c r="O21" i="1889"/>
  <c r="AB21" i="1889"/>
  <c r="AD21" i="1889" s="1"/>
  <c r="P21" i="1889"/>
  <c r="AC21" i="1889" s="1"/>
  <c r="M21" i="1889"/>
  <c r="P19" i="1889"/>
  <c r="AC19" i="1889" s="1"/>
  <c r="P16" i="1889"/>
  <c r="AC16" i="1889" s="1"/>
  <c r="AD16" i="1889"/>
  <c r="M16" i="1889"/>
  <c r="O16" i="1889"/>
  <c r="AB16" i="1889"/>
  <c r="AD14" i="1889"/>
  <c r="O12" i="1889"/>
  <c r="Q22" i="1889"/>
  <c r="AD15" i="1889"/>
  <c r="AD10" i="1889"/>
  <c r="AD12" i="1889"/>
  <c r="AD7" i="1889"/>
  <c r="L22" i="1889"/>
  <c r="O22" i="1889" s="1"/>
  <c r="M9" i="1889"/>
  <c r="AB9" i="1889"/>
  <c r="P13" i="1889"/>
  <c r="AC13" i="1889" s="1"/>
  <c r="AD13" i="1889" s="1"/>
  <c r="P18" i="1889"/>
  <c r="AC18" i="1889" s="1"/>
  <c r="AD18" i="1889" s="1"/>
  <c r="M20" i="1889"/>
  <c r="AB20" i="1889"/>
  <c r="AC22" i="1889"/>
  <c r="AB19" i="1889"/>
  <c r="O20" i="1889"/>
  <c r="M8" i="1889"/>
  <c r="AB8" i="1889"/>
  <c r="O9" i="1889"/>
  <c r="M7" i="1889"/>
  <c r="K22" i="1889"/>
  <c r="M13" i="1889"/>
  <c r="M18" i="1889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1" i="1888"/>
  <c r="K21" i="1888"/>
  <c r="L20" i="1888"/>
  <c r="P20" i="1888" s="1"/>
  <c r="AC20" i="1888" s="1"/>
  <c r="L19" i="1888"/>
  <c r="O19" i="1888" s="1"/>
  <c r="L18" i="1888"/>
  <c r="K18" i="1888"/>
  <c r="L16" i="1888"/>
  <c r="AB16" i="1888" s="1"/>
  <c r="L13" i="1888"/>
  <c r="K13" i="1888" s="1"/>
  <c r="L12" i="1888"/>
  <c r="L9" i="1888"/>
  <c r="K9" i="1888" s="1"/>
  <c r="L8" i="1888"/>
  <c r="K8" i="1888" s="1"/>
  <c r="L7" i="1888"/>
  <c r="K7" i="1888" s="1"/>
  <c r="K14" i="1888"/>
  <c r="K12" i="1888"/>
  <c r="A77" i="1888"/>
  <c r="A78" i="1888" s="1"/>
  <c r="A79" i="1888" s="1"/>
  <c r="A80" i="1888" s="1"/>
  <c r="A81" i="1888" s="1"/>
  <c r="A82" i="1888" s="1"/>
  <c r="AF61" i="1888"/>
  <c r="AF63" i="1888" s="1"/>
  <c r="AF60" i="1888"/>
  <c r="AA22" i="1888"/>
  <c r="Z22" i="1888"/>
  <c r="Y22" i="1888"/>
  <c r="X22" i="1888"/>
  <c r="W22" i="1888"/>
  <c r="V22" i="1888"/>
  <c r="U22" i="1888"/>
  <c r="T22" i="1888"/>
  <c r="S22" i="1888"/>
  <c r="R22" i="1888"/>
  <c r="N22" i="1888"/>
  <c r="J22" i="1888"/>
  <c r="I22" i="1888"/>
  <c r="AF21" i="1888"/>
  <c r="AB21" i="1888"/>
  <c r="Q21" i="1888"/>
  <c r="M21" i="1888"/>
  <c r="P21" i="1888"/>
  <c r="AC21" i="1888" s="1"/>
  <c r="AF20" i="1888"/>
  <c r="Q20" i="1888"/>
  <c r="AF19" i="1888"/>
  <c r="Q19" i="1888"/>
  <c r="AF18" i="1888"/>
  <c r="Q18" i="1888"/>
  <c r="P18" i="1888"/>
  <c r="AC18" i="1888" s="1"/>
  <c r="O18" i="1888"/>
  <c r="AB18" i="1888"/>
  <c r="AF17" i="1888"/>
  <c r="AB17" i="1888"/>
  <c r="Q17" i="1888"/>
  <c r="P17" i="1888"/>
  <c r="AC17" i="1888" s="1"/>
  <c r="O17" i="1888"/>
  <c r="M17" i="1888"/>
  <c r="K17" i="1888"/>
  <c r="AF16" i="1888"/>
  <c r="Q16" i="1888"/>
  <c r="AF15" i="1888"/>
  <c r="AB15" i="1888"/>
  <c r="Q15" i="1888"/>
  <c r="P15" i="1888"/>
  <c r="AC15" i="1888" s="1"/>
  <c r="O15" i="1888"/>
  <c r="M15" i="1888"/>
  <c r="K15" i="1888"/>
  <c r="AF14" i="1888"/>
  <c r="AB14" i="1888"/>
  <c r="Q14" i="1888"/>
  <c r="P14" i="1888"/>
  <c r="AC14" i="1888" s="1"/>
  <c r="O14" i="1888"/>
  <c r="M14" i="1888"/>
  <c r="AF13" i="1888"/>
  <c r="AB13" i="1888"/>
  <c r="Q13" i="1888"/>
  <c r="M13" i="1888"/>
  <c r="AF12" i="1888"/>
  <c r="Q12" i="1888"/>
  <c r="P12" i="1888"/>
  <c r="AC12" i="1888" s="1"/>
  <c r="AF11" i="1888"/>
  <c r="AB11" i="1888"/>
  <c r="Q11" i="1888"/>
  <c r="P11" i="1888"/>
  <c r="AC11" i="1888" s="1"/>
  <c r="AD11" i="1888" s="1"/>
  <c r="O11" i="1888"/>
  <c r="M11" i="1888"/>
  <c r="K11" i="1888"/>
  <c r="AF10" i="1888"/>
  <c r="AB10" i="1888"/>
  <c r="Q10" i="1888"/>
  <c r="P10" i="1888"/>
  <c r="AC10" i="1888" s="1"/>
  <c r="O10" i="1888"/>
  <c r="M10" i="1888"/>
  <c r="K10" i="1888"/>
  <c r="AF9" i="1888"/>
  <c r="AB9" i="1888"/>
  <c r="Q9" i="1888"/>
  <c r="AF8" i="1888"/>
  <c r="Q8" i="1888"/>
  <c r="O8" i="1888"/>
  <c r="AB8" i="1888"/>
  <c r="AF7" i="1888"/>
  <c r="AB7" i="1888"/>
  <c r="Q7" i="1888"/>
  <c r="P7" i="1888" s="1"/>
  <c r="AC7" i="1888" s="1"/>
  <c r="O7" i="1888"/>
  <c r="M7" i="1888"/>
  <c r="AF6" i="1888"/>
  <c r="AB6" i="1888"/>
  <c r="Q6" i="1888"/>
  <c r="P6" i="1888"/>
  <c r="AC6" i="1888" s="1"/>
  <c r="O6" i="1888"/>
  <c r="M6" i="1888"/>
  <c r="K6" i="1888"/>
  <c r="AD22" i="1890" l="1"/>
  <c r="AE16" i="1890" s="1"/>
  <c r="AD19" i="1889"/>
  <c r="AB22" i="1889"/>
  <c r="M22" i="1889"/>
  <c r="AD20" i="1889"/>
  <c r="AD9" i="1889"/>
  <c r="P22" i="1889"/>
  <c r="AD8" i="1889"/>
  <c r="K20" i="1888"/>
  <c r="K19" i="1888"/>
  <c r="P19" i="1888"/>
  <c r="AC19" i="1888" s="1"/>
  <c r="O9" i="1888"/>
  <c r="M9" i="1888"/>
  <c r="M16" i="1888"/>
  <c r="K16" i="1888"/>
  <c r="P16" i="1888"/>
  <c r="AC16" i="1888" s="1"/>
  <c r="O16" i="1888"/>
  <c r="O13" i="1888"/>
  <c r="P13" i="1888"/>
  <c r="AC13" i="1888" s="1"/>
  <c r="AD13" i="1888" s="1"/>
  <c r="P9" i="1888"/>
  <c r="AC9" i="1888" s="1"/>
  <c r="Q22" i="1888"/>
  <c r="AD7" i="1888"/>
  <c r="AD10" i="1888"/>
  <c r="AD9" i="1888"/>
  <c r="AD15" i="1888"/>
  <c r="AD14" i="1888"/>
  <c r="AD17" i="1888"/>
  <c r="AD6" i="1888"/>
  <c r="AD16" i="1888"/>
  <c r="AD18" i="1888"/>
  <c r="P8" i="1888"/>
  <c r="AC8" i="1888" s="1"/>
  <c r="AD8" i="1888" s="1"/>
  <c r="M12" i="1888"/>
  <c r="AB12" i="1888"/>
  <c r="M20" i="1888"/>
  <c r="AB20" i="1888"/>
  <c r="O21" i="1888"/>
  <c r="AD21" i="1888" s="1"/>
  <c r="L22" i="1888"/>
  <c r="O22" i="1888" s="1"/>
  <c r="O12" i="1888"/>
  <c r="M19" i="1888"/>
  <c r="AB19" i="1888"/>
  <c r="O20" i="1888"/>
  <c r="M8" i="1888"/>
  <c r="M18" i="1888"/>
  <c r="B19" i="16"/>
  <c r="B18" i="16"/>
  <c r="AG18" i="16" s="1"/>
  <c r="B17" i="16"/>
  <c r="B16" i="16"/>
  <c r="AG16" i="16" s="1"/>
  <c r="B15" i="16"/>
  <c r="B14" i="16"/>
  <c r="AG14" i="16" s="1"/>
  <c r="B13" i="16"/>
  <c r="AG13" i="16" s="1"/>
  <c r="B12" i="16"/>
  <c r="B11" i="16"/>
  <c r="AG11" i="16" s="1"/>
  <c r="B10" i="16"/>
  <c r="B9" i="16"/>
  <c r="B8" i="16"/>
  <c r="B7" i="16"/>
  <c r="AG7" i="16" s="1"/>
  <c r="B6" i="16"/>
  <c r="B5" i="16"/>
  <c r="B4" i="16"/>
  <c r="B3" i="16"/>
  <c r="AG17" i="16"/>
  <c r="AG15" i="16"/>
  <c r="AG12" i="16"/>
  <c r="AG10" i="16"/>
  <c r="AG9" i="16"/>
  <c r="AG8" i="16"/>
  <c r="AG6" i="16"/>
  <c r="AG5" i="16"/>
  <c r="AG4" i="16"/>
  <c r="AG3" i="16"/>
  <c r="L22" i="1887"/>
  <c r="K22" i="1887" s="1"/>
  <c r="L21" i="1887"/>
  <c r="K21" i="1887" s="1"/>
  <c r="L20" i="1887"/>
  <c r="K20" i="1887"/>
  <c r="L19" i="1887"/>
  <c r="K19" i="1887"/>
  <c r="L17" i="1887"/>
  <c r="K17" i="1887"/>
  <c r="AF17" i="1887"/>
  <c r="Q17" i="1887"/>
  <c r="AB17" i="1887"/>
  <c r="L16" i="1887"/>
  <c r="K14" i="1887"/>
  <c r="L13" i="1887"/>
  <c r="K13" i="1887" s="1"/>
  <c r="L12" i="1887"/>
  <c r="K12" i="1887" s="1"/>
  <c r="L9" i="1887"/>
  <c r="K9" i="1887" s="1"/>
  <c r="L8" i="1887"/>
  <c r="K16" i="1887"/>
  <c r="K15" i="1887"/>
  <c r="K8" i="1887"/>
  <c r="K6" i="1887"/>
  <c r="AE9" i="1890" l="1"/>
  <c r="AE14" i="1890"/>
  <c r="AE18" i="1890"/>
  <c r="AE15" i="1890"/>
  <c r="AE19" i="1890"/>
  <c r="AE17" i="1890"/>
  <c r="AE8" i="1890"/>
  <c r="AE10" i="1890"/>
  <c r="AE21" i="1890"/>
  <c r="AE6" i="1890"/>
  <c r="AE12" i="1890"/>
  <c r="AE7" i="1890"/>
  <c r="AE13" i="1890"/>
  <c r="AE20" i="1890"/>
  <c r="AE11" i="1890"/>
  <c r="AD22" i="1889"/>
  <c r="AE13" i="1889" s="1"/>
  <c r="K22" i="1888"/>
  <c r="AD19" i="1888"/>
  <c r="M22" i="1888"/>
  <c r="AB22" i="1888"/>
  <c r="AD20" i="1888"/>
  <c r="P22" i="1888"/>
  <c r="AD12" i="1888"/>
  <c r="AC22" i="1888"/>
  <c r="M17" i="1887"/>
  <c r="O17" i="1887"/>
  <c r="P17" i="1887"/>
  <c r="AC17" i="1887" s="1"/>
  <c r="M21" i="1887"/>
  <c r="O20" i="1887"/>
  <c r="A78" i="1887"/>
  <c r="A79" i="1887" s="1"/>
  <c r="A80" i="1887" s="1"/>
  <c r="A81" i="1887" s="1"/>
  <c r="A82" i="1887" s="1"/>
  <c r="A83" i="1887" s="1"/>
  <c r="AF62" i="1887"/>
  <c r="AF61" i="1887"/>
  <c r="AF64" i="1887" s="1"/>
  <c r="AA23" i="1887"/>
  <c r="Z23" i="1887"/>
  <c r="Y23" i="1887"/>
  <c r="X23" i="1887"/>
  <c r="W23" i="1887"/>
  <c r="V23" i="1887"/>
  <c r="U23" i="1887"/>
  <c r="T23" i="1887"/>
  <c r="S23" i="1887"/>
  <c r="R23" i="1887"/>
  <c r="N23" i="1887"/>
  <c r="J23" i="1887"/>
  <c r="I23" i="1887"/>
  <c r="AF22" i="1887"/>
  <c r="AB22" i="1887"/>
  <c r="Q22" i="1887"/>
  <c r="P22" i="1887" s="1"/>
  <c r="AC22" i="1887" s="1"/>
  <c r="M22" i="1887"/>
  <c r="O22" i="1887"/>
  <c r="AF21" i="1887"/>
  <c r="AB21" i="1887"/>
  <c r="Q21" i="1887"/>
  <c r="P21" i="1887" s="1"/>
  <c r="AC21" i="1887" s="1"/>
  <c r="O21" i="1887"/>
  <c r="AF20" i="1887"/>
  <c r="AB20" i="1887"/>
  <c r="Q20" i="1887"/>
  <c r="P20" i="1887" s="1"/>
  <c r="AC20" i="1887" s="1"/>
  <c r="M20" i="1887"/>
  <c r="AF19" i="1887"/>
  <c r="AB19" i="1887"/>
  <c r="Q19" i="1887"/>
  <c r="P19" i="1887" s="1"/>
  <c r="AC19" i="1887" s="1"/>
  <c r="O19" i="1887"/>
  <c r="M19" i="1887"/>
  <c r="AF18" i="1887"/>
  <c r="AB18" i="1887"/>
  <c r="Q18" i="1887"/>
  <c r="P18" i="1887"/>
  <c r="AC18" i="1887" s="1"/>
  <c r="O18" i="1887"/>
  <c r="M18" i="1887"/>
  <c r="K18" i="1887"/>
  <c r="AF16" i="1887"/>
  <c r="AB16" i="1887"/>
  <c r="Q16" i="1887"/>
  <c r="P16" i="1887" s="1"/>
  <c r="AC16" i="1887" s="1"/>
  <c r="O16" i="1887"/>
  <c r="M16" i="1887"/>
  <c r="AF15" i="1887"/>
  <c r="AB15" i="1887"/>
  <c r="Q15" i="1887"/>
  <c r="P15" i="1887"/>
  <c r="AC15" i="1887" s="1"/>
  <c r="O15" i="1887"/>
  <c r="M15" i="1887"/>
  <c r="AF14" i="1887"/>
  <c r="AB14" i="1887"/>
  <c r="Q14" i="1887"/>
  <c r="P14" i="1887" s="1"/>
  <c r="AC14" i="1887" s="1"/>
  <c r="O14" i="1887"/>
  <c r="M14" i="1887"/>
  <c r="AF13" i="1887"/>
  <c r="AB13" i="1887"/>
  <c r="Q13" i="1887"/>
  <c r="P13" i="1887" s="1"/>
  <c r="AC13" i="1887" s="1"/>
  <c r="O13" i="1887"/>
  <c r="M13" i="1887"/>
  <c r="AF12" i="1887"/>
  <c r="AB12" i="1887"/>
  <c r="Q12" i="1887"/>
  <c r="O12" i="1887"/>
  <c r="AF11" i="1887"/>
  <c r="AB11" i="1887"/>
  <c r="Q11" i="1887"/>
  <c r="P11" i="1887"/>
  <c r="AC11" i="1887" s="1"/>
  <c r="O11" i="1887"/>
  <c r="M11" i="1887"/>
  <c r="K11" i="1887"/>
  <c r="AF10" i="1887"/>
  <c r="AB10" i="1887"/>
  <c r="Q10" i="1887"/>
  <c r="P10" i="1887"/>
  <c r="AC10" i="1887" s="1"/>
  <c r="AD10" i="1887" s="1"/>
  <c r="O10" i="1887"/>
  <c r="M10" i="1887"/>
  <c r="K10" i="1887"/>
  <c r="AF9" i="1887"/>
  <c r="AB9" i="1887"/>
  <c r="Q9" i="1887"/>
  <c r="P9" i="1887" s="1"/>
  <c r="AC9" i="1887" s="1"/>
  <c r="O9" i="1887"/>
  <c r="M9" i="1887"/>
  <c r="AF8" i="1887"/>
  <c r="AB8" i="1887"/>
  <c r="Q8" i="1887"/>
  <c r="P8" i="1887" s="1"/>
  <c r="AC8" i="1887" s="1"/>
  <c r="O8" i="1887"/>
  <c r="M8" i="1887"/>
  <c r="AF7" i="1887"/>
  <c r="AB7" i="1887"/>
  <c r="Q7" i="1887"/>
  <c r="P7" i="1887"/>
  <c r="AC7" i="1887" s="1"/>
  <c r="O7" i="1887"/>
  <c r="M7" i="1887"/>
  <c r="K7" i="1887"/>
  <c r="AF6" i="1887"/>
  <c r="AB6" i="1887"/>
  <c r="Q6" i="1887"/>
  <c r="O6" i="1887"/>
  <c r="M6" i="1887"/>
  <c r="AE21" i="1889" l="1"/>
  <c r="AE11" i="1889"/>
  <c r="AE20" i="1889"/>
  <c r="AE8" i="1889"/>
  <c r="AE7" i="1889"/>
  <c r="AE17" i="1889"/>
  <c r="AE16" i="1889"/>
  <c r="AE15" i="1889"/>
  <c r="AE6" i="1889"/>
  <c r="AE19" i="1889"/>
  <c r="AE14" i="1889"/>
  <c r="AE12" i="1889"/>
  <c r="AE9" i="1889"/>
  <c r="AE18" i="1889"/>
  <c r="AE10" i="1889"/>
  <c r="AD22" i="1888"/>
  <c r="AE17" i="1888" s="1"/>
  <c r="AD17" i="1887"/>
  <c r="AD19" i="1887"/>
  <c r="AD18" i="1887"/>
  <c r="AD7" i="1887"/>
  <c r="AD11" i="1887"/>
  <c r="K23" i="1887"/>
  <c r="AD16" i="1887"/>
  <c r="AD15" i="1887"/>
  <c r="AB23" i="1887"/>
  <c r="P12" i="1887"/>
  <c r="AC12" i="1887" s="1"/>
  <c r="AD12" i="1887" s="1"/>
  <c r="M12" i="1887"/>
  <c r="M23" i="1887" s="1"/>
  <c r="L23" i="1887"/>
  <c r="O23" i="1887" s="1"/>
  <c r="Q23" i="1887"/>
  <c r="AD9" i="1887"/>
  <c r="P6" i="1887"/>
  <c r="AC6" i="1887" s="1"/>
  <c r="AD20" i="1887"/>
  <c r="AD14" i="1887"/>
  <c r="AD13" i="1887"/>
  <c r="AD21" i="1887"/>
  <c r="AD8" i="1887"/>
  <c r="AD22" i="1887"/>
  <c r="AE21" i="1888" l="1"/>
  <c r="AE16" i="1888"/>
  <c r="AE19" i="1888"/>
  <c r="AE12" i="1888"/>
  <c r="AE6" i="1888"/>
  <c r="AE10" i="1888"/>
  <c r="AE9" i="1888"/>
  <c r="AE8" i="1888"/>
  <c r="AE13" i="1888"/>
  <c r="AE14" i="1888"/>
  <c r="AE18" i="1888"/>
  <c r="AE15" i="1888"/>
  <c r="AE11" i="1888"/>
  <c r="AE20" i="1888"/>
  <c r="AE7" i="1888"/>
  <c r="AC23" i="1887"/>
  <c r="AD6" i="1887"/>
  <c r="P23" i="1887"/>
  <c r="AD23" i="1887" l="1"/>
  <c r="AE15" i="1887" l="1"/>
  <c r="AE17" i="1887"/>
  <c r="AE6" i="1887"/>
  <c r="AE12" i="1887"/>
  <c r="AE18" i="1887"/>
  <c r="AE20" i="1887"/>
  <c r="AE8" i="1887"/>
  <c r="AE21" i="1887"/>
  <c r="AE9" i="1887"/>
  <c r="AE19" i="1887"/>
  <c r="AE14" i="1887"/>
  <c r="AE7" i="1887"/>
  <c r="AE10" i="1887"/>
  <c r="AE13" i="1887"/>
  <c r="AE16" i="1887"/>
  <c r="AE11" i="1887"/>
  <c r="AE22" i="1887"/>
</calcChain>
</file>

<file path=xl/sharedStrings.xml><?xml version="1.0" encoding="utf-8"?>
<sst xmlns="http://schemas.openxmlformats.org/spreadsheetml/2006/main" count="4942" uniqueCount="513">
  <si>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</si>
  <si>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</si>
  <si>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</si>
  <si>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</si>
  <si>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</si>
  <si>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</si>
  <si>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</si>
  <si>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</si>
  <si>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</si>
  <si>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</si>
  <si>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</si>
  <si>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</si>
  <si>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</si>
  <si>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</si>
  <si>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</si>
  <si>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</si>
  <si>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</si>
  <si>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</si>
  <si>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</si>
  <si>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</si>
  <si>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</si>
  <si>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</si>
  <si>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</si>
  <si>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</si>
  <si>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</si>
  <si>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</si>
  <si>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</si>
  <si>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</si>
  <si>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</si>
  <si>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</si>
  <si>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</si>
  <si>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</si>
  <si>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</si>
  <si>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</si>
  <si>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</si>
  <si>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</si>
  <si>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</si>
  <si>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</si>
  <si>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</si>
  <si>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</si>
  <si>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</si>
  <si>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</si>
  <si>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</si>
  <si>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</si>
  <si>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</si>
  <si>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</si>
  <si>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</si>
  <si>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</si>
  <si>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</si>
  <si>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</si>
  <si>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</si>
  <si>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</si>
  <si>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</si>
  <si>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</si>
  <si>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</si>
  <si>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</si>
  <si>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</si>
  <si>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</si>
  <si>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</si>
  <si>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</si>
  <si>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</si>
  <si>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</si>
  <si>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</si>
  <si>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</si>
  <si>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</si>
  <si>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</si>
  <si>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</si>
  <si>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</si>
  <si>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</si>
  <si>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</si>
  <si>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</si>
  <si>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</si>
  <si>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</si>
  <si>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</si>
  <si>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</si>
  <si>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</si>
  <si>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</si>
  <si>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</si>
  <si>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</si>
  <si>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</si>
  <si>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</si>
  <si>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</si>
  <si>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</si>
  <si>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</si>
  <si>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</si>
  <si>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</si>
  <si>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</si>
  <si>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</si>
  <si>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</si>
  <si>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</si>
  <si>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</si>
  <si>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</si>
  <si>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</si>
  <si>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</si>
  <si>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</si>
  <si>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</si>
  <si>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</si>
  <si>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</si>
  <si>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</si>
  <si>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</si>
  <si>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</si>
  <si>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</si>
  <si>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</si>
  <si>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</si>
  <si>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</si>
  <si>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</si>
  <si>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</si>
  <si>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</si>
  <si>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</si>
  <si>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</si>
  <si>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</si>
  <si>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</si>
  <si>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</si>
  <si>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</si>
  <si>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</si>
  <si>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</si>
  <si>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</si>
  <si>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</si>
  <si>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</si>
  <si>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</si>
  <si>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</si>
  <si>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</si>
  <si>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</si>
  <si>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</si>
  <si>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</si>
  <si>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ADAPTER</t>
    <phoneticPr fontId="2" type="noConversion"/>
  </si>
  <si>
    <t>수리후양산</t>
    <phoneticPr fontId="2" type="noConversion"/>
  </si>
  <si>
    <t>SGF2030</t>
    <phoneticPr fontId="2" type="noConversion"/>
  </si>
  <si>
    <t>품  명</t>
    <phoneticPr fontId="2" type="noConversion"/>
  </si>
  <si>
    <t>2</t>
    <phoneticPr fontId="2" type="noConversion"/>
  </si>
  <si>
    <t>발주분양산</t>
    <phoneticPr fontId="2" type="noConversion"/>
  </si>
  <si>
    <t>SLIDER</t>
    <phoneticPr fontId="2" type="noConversion"/>
  </si>
  <si>
    <t>SGF2041 N/P</t>
    <phoneticPr fontId="2" type="noConversion"/>
  </si>
  <si>
    <t>.</t>
    <phoneticPr fontId="2" type="noConversion"/>
  </si>
  <si>
    <t>14</t>
    <phoneticPr fontId="2" type="noConversion"/>
  </si>
  <si>
    <t>8</t>
    <phoneticPr fontId="2" type="noConversion"/>
  </si>
  <si>
    <t>SGP2030R N/P</t>
    <phoneticPr fontId="2" type="noConversion"/>
  </si>
  <si>
    <t>수정</t>
    <phoneticPr fontId="2" type="noConversion"/>
  </si>
  <si>
    <t>SGF2033</t>
    <phoneticPr fontId="2" type="noConversion"/>
  </si>
  <si>
    <t>3</t>
    <phoneticPr fontId="2" type="noConversion"/>
  </si>
  <si>
    <t>COVER</t>
    <phoneticPr fontId="2" type="noConversion"/>
  </si>
  <si>
    <t>JD4901</t>
    <phoneticPr fontId="2" type="noConversion"/>
  </si>
  <si>
    <t>13</t>
    <phoneticPr fontId="2" type="noConversion"/>
  </si>
  <si>
    <t>15</t>
    <phoneticPr fontId="2" type="noConversion"/>
  </si>
  <si>
    <t>SF2255 I/V</t>
    <phoneticPr fontId="2" type="noConversion"/>
  </si>
  <si>
    <t>SGP2020R</t>
    <phoneticPr fontId="2" type="noConversion"/>
  </si>
  <si>
    <t>KR6458AB456CA</t>
    <phoneticPr fontId="2" type="noConversion"/>
  </si>
  <si>
    <t>ACTUATOR</t>
    <phoneticPr fontId="2" type="noConversion"/>
  </si>
  <si>
    <t>LATCH</t>
    <phoneticPr fontId="2" type="noConversion"/>
  </si>
  <si>
    <t>SGF2041</t>
    <phoneticPr fontId="2" type="noConversion"/>
  </si>
  <si>
    <t>K-JR01903-D180ZA</t>
    <phoneticPr fontId="2" type="noConversion"/>
  </si>
  <si>
    <t>SHAFT</t>
    <phoneticPr fontId="2" type="noConversion"/>
  </si>
  <si>
    <t>KR6202-06KA</t>
    <phoneticPr fontId="2" type="noConversion"/>
  </si>
  <si>
    <t>NP628-1056-001#IN-B</t>
    <phoneticPr fontId="2" type="noConversion"/>
  </si>
  <si>
    <t>LG35</t>
    <phoneticPr fontId="2" type="noConversion"/>
  </si>
  <si>
    <t>NP635-315-006#LB</t>
    <phoneticPr fontId="2" type="noConversion"/>
  </si>
  <si>
    <t>SGF2050</t>
    <phoneticPr fontId="2" type="noConversion"/>
  </si>
  <si>
    <t>AMB0355A-KAA-R2</t>
    <phoneticPr fontId="2" type="noConversion"/>
  </si>
  <si>
    <t>SGF2033 N/P</t>
    <phoneticPr fontId="2" type="noConversion"/>
  </si>
  <si>
    <t>K-AR3545-1A</t>
    <phoneticPr fontId="2" type="noConversion"/>
  </si>
  <si>
    <t>발주분양산-&gt;BURR수리</t>
    <phoneticPr fontId="2" type="noConversion"/>
  </si>
  <si>
    <t>NP413-082-092#GP</t>
    <phoneticPr fontId="2" type="noConversion"/>
  </si>
  <si>
    <t>GN2330</t>
    <phoneticPr fontId="2" type="noConversion"/>
  </si>
  <si>
    <t>SPL/발주</t>
    <phoneticPr fontId="2" type="noConversion"/>
  </si>
  <si>
    <t>NP413-187-092#IN-A</t>
    <phoneticPr fontId="2" type="noConversion"/>
  </si>
  <si>
    <t>30P</t>
    <phoneticPr fontId="2" type="noConversion"/>
  </si>
  <si>
    <t>IC GUIDE</t>
    <phoneticPr fontId="2" type="noConversion"/>
  </si>
  <si>
    <t>HSB05-M008B4</t>
    <phoneticPr fontId="2" type="noConversion"/>
  </si>
  <si>
    <t>STOPPPER</t>
    <phoneticPr fontId="2" type="noConversion"/>
  </si>
  <si>
    <t>AM0164A-A</t>
    <phoneticPr fontId="2" type="noConversion"/>
  </si>
  <si>
    <t>38P</t>
    <phoneticPr fontId="2" type="noConversion"/>
  </si>
  <si>
    <t>E PR</t>
    <phoneticPr fontId="2" type="noConversion"/>
  </si>
  <si>
    <t>KR6156BA841YA</t>
    <phoneticPr fontId="2" type="noConversion"/>
  </si>
  <si>
    <t>AAM0818D-KAB-R3</t>
    <phoneticPr fontId="2" type="noConversion"/>
  </si>
  <si>
    <r>
      <t>2020년 12월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</si>
  <si>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K-JR01734-E092TA</t>
    <phoneticPr fontId="2" type="noConversion"/>
  </si>
  <si>
    <t>HSB05-M001B1</t>
    <phoneticPr fontId="2" type="noConversion"/>
  </si>
  <si>
    <t>12월 호기별 가동현황</t>
    <phoneticPr fontId="2" type="noConversion"/>
  </si>
  <si>
    <t>전일 ISSUE 사항(01일)</t>
    <phoneticPr fontId="2" type="noConversion"/>
  </si>
  <si>
    <t>11</t>
    <phoneticPr fontId="2" type="noConversion"/>
  </si>
  <si>
    <t>LATCH</t>
    <phoneticPr fontId="2" type="noConversion"/>
  </si>
  <si>
    <t>K-JR01734-E092TA</t>
    <phoneticPr fontId="2" type="noConversion"/>
  </si>
  <si>
    <t>13</t>
    <phoneticPr fontId="2" type="noConversion"/>
  </si>
  <si>
    <t>SLIDER</t>
    <phoneticPr fontId="2" type="noConversion"/>
  </si>
  <si>
    <t>KR6156BA841YA</t>
    <phoneticPr fontId="2" type="noConversion"/>
  </si>
  <si>
    <t>당일 진행 사항(02일)</t>
    <phoneticPr fontId="2" type="noConversion"/>
  </si>
  <si>
    <t>PLUNGER</t>
    <phoneticPr fontId="2" type="noConversion"/>
  </si>
  <si>
    <t>HRCS-03C15H1</t>
    <phoneticPr fontId="2" type="noConversion"/>
  </si>
  <si>
    <t>AM0148A-K-R2</t>
    <phoneticPr fontId="2" type="noConversion"/>
  </si>
  <si>
    <t>AAM0818D-KAB-R3</t>
    <phoneticPr fontId="2" type="noConversion"/>
  </si>
  <si>
    <t>9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</si>
  <si>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</si>
  <si>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</si>
  <si>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</si>
  <si>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HSB05-M002B1-15BI(증)</t>
    <phoneticPr fontId="2" type="noConversion"/>
  </si>
  <si>
    <t>승인후양산</t>
    <phoneticPr fontId="2" type="noConversion"/>
  </si>
  <si>
    <t>2</t>
    <phoneticPr fontId="2" type="noConversion"/>
  </si>
  <si>
    <t>SAMPLE 진행 사항(01일)</t>
    <phoneticPr fontId="2" type="noConversion"/>
  </si>
  <si>
    <t>HSB05-M002B1-15BI</t>
    <phoneticPr fontId="2" type="noConversion"/>
  </si>
  <si>
    <t>오조립 2회진행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</si>
  <si>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</si>
  <si>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</si>
  <si>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2020년 12월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</si>
  <si>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LID/PLUNGER</t>
    <phoneticPr fontId="2" type="noConversion"/>
  </si>
  <si>
    <t>HRCS-03C15/16H1</t>
    <phoneticPr fontId="2" type="noConversion"/>
  </si>
  <si>
    <t>2*1</t>
    <phoneticPr fontId="2" type="noConversion"/>
  </si>
  <si>
    <t>7301</t>
    <phoneticPr fontId="2" type="noConversion"/>
  </si>
  <si>
    <t>전일 ISSUE 사항(02일)</t>
    <phoneticPr fontId="2" type="noConversion"/>
  </si>
  <si>
    <t>승인후양산-&gt;런너막힘수리</t>
    <phoneticPr fontId="2" type="noConversion"/>
  </si>
  <si>
    <t>2CAV 수리후양산-&gt;런너긁힘수리</t>
    <phoneticPr fontId="2" type="noConversion"/>
  </si>
  <si>
    <t>HRCS-03C15H1/16</t>
    <phoneticPr fontId="2" type="noConversion"/>
  </si>
  <si>
    <t>밀핀파손수리</t>
    <phoneticPr fontId="2" type="noConversion"/>
  </si>
  <si>
    <t>16</t>
    <phoneticPr fontId="2" type="noConversion"/>
  </si>
  <si>
    <t>당일 진행 사항(03일)</t>
    <phoneticPr fontId="2" type="noConversion"/>
  </si>
  <si>
    <t>KR6422AA496YA</t>
    <phoneticPr fontId="2" type="noConversion"/>
  </si>
  <si>
    <t>KR6156BB841CA</t>
    <phoneticPr fontId="2" type="noConversion"/>
  </si>
  <si>
    <t>KR6170BD740UB</t>
    <phoneticPr fontId="2" type="noConversion"/>
  </si>
  <si>
    <t>STOPPER</t>
    <phoneticPr fontId="2" type="noConversion"/>
  </si>
  <si>
    <t>SAMPLE 진행 사항(02일)</t>
    <phoneticPr fontId="2" type="noConversion"/>
  </si>
  <si>
    <t>HOLDER</t>
    <phoneticPr fontId="2" type="noConversion"/>
  </si>
  <si>
    <t>FLOATING</t>
    <phoneticPr fontId="2" type="noConversion"/>
  </si>
  <si>
    <t>HDBB08-078H1</t>
    <phoneticPr fontId="2" type="noConversion"/>
  </si>
  <si>
    <t>HDBB08-078F2</t>
    <phoneticPr fontId="2" type="noConversion"/>
  </si>
  <si>
    <t>SGF2030 N/P</t>
    <phoneticPr fontId="2" type="noConversion"/>
  </si>
  <si>
    <t>12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</si>
  <si>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</si>
  <si>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</si>
  <si>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12월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</si>
  <si>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전일 ISSUE 사항(03일)</t>
    <phoneticPr fontId="2" type="noConversion"/>
  </si>
  <si>
    <t>발주분양산-&gt;BURR정지</t>
    <phoneticPr fontId="2" type="noConversion"/>
  </si>
  <si>
    <t>6</t>
    <phoneticPr fontId="2" type="noConversion"/>
  </si>
  <si>
    <t>발주분양산-&gt;코아파손수리</t>
    <phoneticPr fontId="2" type="noConversion"/>
  </si>
  <si>
    <t>당일 진행 사항(04일)</t>
    <phoneticPr fontId="2" type="noConversion"/>
  </si>
  <si>
    <t>HR03B-406A3</t>
    <phoneticPr fontId="2" type="noConversion"/>
  </si>
  <si>
    <t>SAMPLE 진행 사항(03일)</t>
    <phoneticPr fontId="2" type="noConversion"/>
  </si>
  <si>
    <t>AMM08007A-KAA-R1</t>
    <phoneticPr fontId="2" type="noConversion"/>
  </si>
  <si>
    <t>확인용</t>
    <phoneticPr fontId="2" type="noConversion"/>
  </si>
  <si>
    <t>치수확인용</t>
    <phoneticPr fontId="2" type="noConversion"/>
  </si>
  <si>
    <t>AMB1904D-KAA-R3</t>
    <phoneticPr fontId="2" type="noConversion"/>
  </si>
  <si>
    <t>SGF2050 N/P</t>
    <phoneticPr fontId="2" type="noConversion"/>
  </si>
  <si>
    <t>신작</t>
    <phoneticPr fontId="2" type="noConversion"/>
  </si>
  <si>
    <t>1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</si>
  <si>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</si>
  <si>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</si>
  <si>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12월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</si>
  <si>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AMB0230A-KAA-R1</t>
    <phoneticPr fontId="2" type="noConversion"/>
  </si>
  <si>
    <t>SF2255</t>
    <phoneticPr fontId="2" type="noConversion"/>
  </si>
  <si>
    <t>HR03B-406A1</t>
    <phoneticPr fontId="2" type="noConversion"/>
  </si>
  <si>
    <t>전일 ISSUE 사항(04일)</t>
    <phoneticPr fontId="2" type="noConversion"/>
  </si>
  <si>
    <t>코아파손정지</t>
    <phoneticPr fontId="2" type="noConversion"/>
  </si>
  <si>
    <t>당일 진행 사항(07일)</t>
    <phoneticPr fontId="2" type="noConversion"/>
  </si>
  <si>
    <t>KR6197-GR254PNB</t>
    <phoneticPr fontId="2" type="noConversion"/>
  </si>
  <si>
    <t>K-JR01903-D180ZA(증)</t>
    <phoneticPr fontId="2" type="noConversion"/>
  </si>
  <si>
    <t>게이트수리후양산</t>
    <phoneticPr fontId="2" type="noConversion"/>
  </si>
  <si>
    <t>4</t>
    <phoneticPr fontId="2" type="noConversion"/>
  </si>
  <si>
    <t>SAMPLE 진행 사항(04일)</t>
    <phoneticPr fontId="2" type="noConversion"/>
  </si>
  <si>
    <t>NP635-315-006#IN-B</t>
    <phoneticPr fontId="2" type="noConversion"/>
  </si>
  <si>
    <t>HDBB08-078B4</t>
    <phoneticPr fontId="2" type="noConversion"/>
  </si>
  <si>
    <t>NP635-315-006#IN-A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</si>
  <si>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</si>
  <si>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</si>
  <si>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12월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</si>
  <si>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SF2250EPR N/P</t>
    <phoneticPr fontId="2" type="noConversion"/>
  </si>
  <si>
    <t>RIVET</t>
    <phoneticPr fontId="2" type="noConversion"/>
  </si>
  <si>
    <t>RTP Y/L</t>
    <phoneticPr fontId="2" type="noConversion"/>
  </si>
  <si>
    <t>전일 ISSUE 사항(07일)</t>
    <phoneticPr fontId="2" type="noConversion"/>
  </si>
  <si>
    <t>코아파손2회정지</t>
    <phoneticPr fontId="2" type="noConversion"/>
  </si>
  <si>
    <t>발주분양산-&gt;뜯김수리</t>
    <phoneticPr fontId="2" type="noConversion"/>
  </si>
  <si>
    <t>BURR정지</t>
    <phoneticPr fontId="2" type="noConversion"/>
  </si>
  <si>
    <t>10</t>
    <phoneticPr fontId="2" type="noConversion"/>
  </si>
  <si>
    <t>발주분양산-&gt;코아파손2회수리</t>
    <phoneticPr fontId="2" type="noConversion"/>
  </si>
  <si>
    <t>눌림3회정지</t>
    <phoneticPr fontId="2" type="noConversion"/>
  </si>
  <si>
    <t>당일 진행 사항(08일)</t>
    <phoneticPr fontId="2" type="noConversion"/>
  </si>
  <si>
    <t>AMM0892A-KAA-R1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</si>
  <si>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</si>
  <si>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</si>
  <si>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</si>
  <si>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12월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</si>
  <si>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GRAY</t>
    <phoneticPr fontId="2" type="noConversion"/>
  </si>
  <si>
    <t>AM0148E-K-R2</t>
    <phoneticPr fontId="2" type="noConversion"/>
  </si>
  <si>
    <t>전일 ISSUE 사항(08일)</t>
    <phoneticPr fontId="2" type="noConversion"/>
  </si>
  <si>
    <t>1C양산</t>
    <phoneticPr fontId="2" type="noConversion"/>
  </si>
  <si>
    <t>코아파손수리후양산</t>
    <phoneticPr fontId="2" type="noConversion"/>
  </si>
  <si>
    <t>당일 진행 사항(09일)</t>
    <phoneticPr fontId="2" type="noConversion"/>
  </si>
  <si>
    <t>1C 수리후양산</t>
    <phoneticPr fontId="2" type="noConversion"/>
  </si>
  <si>
    <t>AMM08006A-KAA-R1</t>
    <phoneticPr fontId="2" type="noConversion"/>
  </si>
  <si>
    <t>치수확인후양산</t>
    <phoneticPr fontId="2" type="noConversion"/>
  </si>
  <si>
    <t>SAMPLE 진행 사항(08일)</t>
    <phoneticPr fontId="2" type="noConversion"/>
  </si>
  <si>
    <t>AMB0172A-KAA-R2</t>
    <phoneticPr fontId="2" type="noConversion"/>
  </si>
  <si>
    <t>7</t>
    <phoneticPr fontId="2" type="noConversion"/>
  </si>
  <si>
    <t>K-AR3553-1A</t>
    <phoneticPr fontId="2" type="noConversion"/>
  </si>
  <si>
    <t>CAM</t>
    <phoneticPr fontId="2" type="noConversion"/>
  </si>
  <si>
    <t>K-AR3552-1A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</si>
  <si>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</si>
  <si>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</si>
  <si>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12월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</si>
  <si>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</si>
  <si>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뜯김수리-&gt;런너2회막힘정지</t>
    <phoneticPr fontId="2" type="noConversion"/>
  </si>
  <si>
    <t>2C양산-&gt;금형안닫힘정지</t>
    <phoneticPr fontId="2" type="noConversion"/>
  </si>
  <si>
    <t>당일 진행 사항(10일)</t>
    <phoneticPr fontId="2" type="noConversion"/>
  </si>
  <si>
    <t>28P(4POST)</t>
    <phoneticPr fontId="2" type="noConversion"/>
  </si>
  <si>
    <t>Pattern Cover-1</t>
    <phoneticPr fontId="2" type="noConversion"/>
  </si>
  <si>
    <t>아람</t>
    <phoneticPr fontId="2" type="noConversion"/>
  </si>
  <si>
    <t>SAMPLE 진행 사항(09일)</t>
    <phoneticPr fontId="2" type="noConversion"/>
  </si>
  <si>
    <t>AMB20E4A-KAA-R7</t>
    <phoneticPr fontId="2" type="noConversion"/>
  </si>
  <si>
    <t>K-AR3549-1A</t>
    <phoneticPr fontId="2" type="noConversion"/>
  </si>
  <si>
    <t>KR6156HA841YA</t>
    <phoneticPr fontId="2" type="noConversion"/>
  </si>
  <si>
    <t>F/A</t>
    <phoneticPr fontId="2" type="noConversion"/>
  </si>
  <si>
    <t>SF2250EPR</t>
    <phoneticPr fontId="2" type="noConversion"/>
  </si>
  <si>
    <t>요청</t>
    <phoneticPr fontId="2" type="noConversion"/>
  </si>
  <si>
    <t>원재료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</si>
  <si>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</si>
  <si>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</si>
  <si>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12월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</si>
  <si>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LCP ESD</t>
    <phoneticPr fontId="2" type="noConversion"/>
  </si>
  <si>
    <t>전일 ISSUE 사항(10일)</t>
    <phoneticPr fontId="2" type="noConversion"/>
  </si>
  <si>
    <t>단차정지</t>
    <phoneticPr fontId="2" type="noConversion"/>
  </si>
  <si>
    <t>당일 진행 사항(11일)</t>
    <phoneticPr fontId="2" type="noConversion"/>
  </si>
  <si>
    <t>SAMPLE 진행 사항(10일)</t>
    <phoneticPr fontId="2" type="noConversion"/>
  </si>
  <si>
    <t>K-AR3548-1A</t>
    <phoneticPr fontId="2" type="noConversion"/>
  </si>
  <si>
    <t>K-AR3550-1A</t>
    <phoneticPr fontId="2" type="noConversion"/>
  </si>
  <si>
    <t>뜯김3회진행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</si>
  <si>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</si>
  <si>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</si>
  <si>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12월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</si>
  <si>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AMB07U9A-KAA-R3</t>
    <phoneticPr fontId="2" type="noConversion"/>
  </si>
  <si>
    <t>전일 ISSUE 사항(11일)</t>
    <phoneticPr fontId="2" type="noConversion"/>
  </si>
  <si>
    <t>수리후양산-&gt;코아파손2회-&gt;게이트막힘3회정지</t>
    <phoneticPr fontId="2" type="noConversion"/>
  </si>
  <si>
    <t>BURR 2회수리</t>
    <phoneticPr fontId="2" type="noConversion"/>
  </si>
  <si>
    <t>당일 진행 사항(14일)</t>
    <phoneticPr fontId="2" type="noConversion"/>
  </si>
  <si>
    <t>AMM0890A-KAC-R1</t>
    <phoneticPr fontId="2" type="noConversion"/>
  </si>
  <si>
    <t>SAMPLE 진행 사항(11일)</t>
    <phoneticPr fontId="2" type="noConversion"/>
  </si>
  <si>
    <t>NP643-631-001#IN-A</t>
    <phoneticPr fontId="2" type="noConversion"/>
  </si>
  <si>
    <t>HDB08NL-78B1(3차)</t>
    <phoneticPr fontId="2" type="noConversion"/>
  </si>
  <si>
    <t>상측박힘2회진행</t>
    <phoneticPr fontId="2" type="noConversion"/>
  </si>
  <si>
    <t>07401-10301-41/300</t>
    <phoneticPr fontId="2" type="noConversion"/>
  </si>
  <si>
    <t>FRONT/REAR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</si>
  <si>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</si>
  <si>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</si>
  <si>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12월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</si>
  <si>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K-JR01875-E01TA</t>
    <phoneticPr fontId="2" type="noConversion"/>
  </si>
  <si>
    <t>전일 ISSUE 사항(14일)</t>
    <phoneticPr fontId="2" type="noConversion"/>
  </si>
  <si>
    <t>발주분양산-&gt;코아파손정지</t>
    <phoneticPr fontId="2" type="noConversion"/>
  </si>
  <si>
    <t>당일 진행 사항(15일)</t>
    <phoneticPr fontId="2" type="noConversion"/>
  </si>
  <si>
    <t>SAMPLE 진행 사항(14일)</t>
    <phoneticPr fontId="2" type="noConversion"/>
  </si>
  <si>
    <t>NP643-631-001#IN-B</t>
    <phoneticPr fontId="2" type="noConversion"/>
  </si>
  <si>
    <t>NP636-2406-001#LB</t>
    <phoneticPr fontId="2" type="noConversion"/>
  </si>
  <si>
    <t>Pattern Cover-4</t>
    <phoneticPr fontId="2" type="noConversion"/>
  </si>
  <si>
    <t>Pattern Cover-2</t>
    <phoneticPr fontId="2" type="noConversion"/>
  </si>
  <si>
    <t>Pattern Cover-3</t>
    <phoneticPr fontId="2" type="noConversion"/>
  </si>
  <si>
    <t>이관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</si>
  <si>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</si>
  <si>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</si>
  <si>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2020년 12월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</si>
  <si>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AMM0890A-KAB-R1</t>
    <phoneticPr fontId="2" type="noConversion"/>
  </si>
  <si>
    <t>AM0609A-J</t>
    <phoneticPr fontId="2" type="noConversion"/>
  </si>
  <si>
    <t>22P(4POST)</t>
    <phoneticPr fontId="2" type="noConversion"/>
  </si>
  <si>
    <t>전일 ISSUE 사항(15일)</t>
    <phoneticPr fontId="2" type="noConversion"/>
  </si>
  <si>
    <t>코아파손2회-&gt;게이트막힘수리</t>
    <phoneticPr fontId="2" type="noConversion"/>
  </si>
  <si>
    <t>발주분양산-&gt;코아파손3회정지</t>
    <phoneticPr fontId="2" type="noConversion"/>
  </si>
  <si>
    <t>발주분양산-&gt;BURR 2회수리</t>
    <phoneticPr fontId="2" type="noConversion"/>
  </si>
  <si>
    <t>당일 진행 사항(16일)</t>
    <phoneticPr fontId="2" type="noConversion"/>
  </si>
  <si>
    <t>AMB0158A-KAA-R1</t>
    <phoneticPr fontId="2" type="noConversion"/>
  </si>
  <si>
    <t>288C84A-B101C</t>
    <phoneticPr fontId="2" type="noConversion"/>
  </si>
  <si>
    <t>OKINS</t>
    <phoneticPr fontId="2" type="noConversion"/>
  </si>
  <si>
    <t>AMB0450A-KAA-R1</t>
    <phoneticPr fontId="2" type="noConversion"/>
  </si>
  <si>
    <t>SAMPLE 진행 사항(15일)</t>
    <phoneticPr fontId="2" type="noConversion"/>
  </si>
  <si>
    <t>HDBB08-078B3</t>
    <phoneticPr fontId="2" type="noConversion"/>
  </si>
  <si>
    <t>HDBB08-078H1(B)</t>
    <phoneticPr fontId="2" type="noConversion"/>
  </si>
  <si>
    <t>BOTTOM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</si>
  <si>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</si>
  <si>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</si>
  <si>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12월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</si>
  <si>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BLUE</t>
    <phoneticPr fontId="2" type="noConversion"/>
  </si>
  <si>
    <t>재고</t>
    <phoneticPr fontId="2" type="noConversion"/>
  </si>
  <si>
    <t>AMB0450A-KAA-R2</t>
    <phoneticPr fontId="2" type="noConversion"/>
  </si>
  <si>
    <t>전일 ISSUE 사항(16일)</t>
    <phoneticPr fontId="2" type="noConversion"/>
  </si>
  <si>
    <t>재고분양산-&gt;BURR정지</t>
    <phoneticPr fontId="2" type="noConversion"/>
  </si>
  <si>
    <t>당일 진행 사항(17일)</t>
    <phoneticPr fontId="2" type="noConversion"/>
  </si>
  <si>
    <t>코아파손3회정지-&gt;게이트막힘수리</t>
    <phoneticPr fontId="2" type="noConversion"/>
  </si>
  <si>
    <t>SAMPLE 진행 사항(16일)</t>
    <phoneticPr fontId="2" type="noConversion"/>
  </si>
  <si>
    <t>KR6156GA841YA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</si>
  <si>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</si>
  <si>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</si>
  <si>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12월 17일(16시)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</si>
  <si>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</si>
  <si>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칼퀴수리-&gt;코아파손수리</t>
    <phoneticPr fontId="2" type="noConversion"/>
  </si>
  <si>
    <t>당일 진행 사항(21일)</t>
    <phoneticPr fontId="2" type="noConversion"/>
  </si>
  <si>
    <t>SAMPLE 진행 사항(17일)</t>
    <phoneticPr fontId="2" type="noConversion"/>
  </si>
  <si>
    <t>K-AR3464-1A</t>
    <phoneticPr fontId="2" type="noConversion"/>
  </si>
  <si>
    <t>HSA08-M02A1(4C)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</si>
  <si>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</si>
  <si>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</si>
  <si>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12월 21일(주간)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</si>
  <si>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ODT</t>
    <phoneticPr fontId="2" type="noConversion"/>
  </si>
  <si>
    <t>SW-003354</t>
    <phoneticPr fontId="2" type="noConversion"/>
  </si>
  <si>
    <t>PC B/K</t>
    <phoneticPr fontId="2" type="noConversion"/>
  </si>
  <si>
    <t>INNER</t>
    <phoneticPr fontId="2" type="noConversion"/>
  </si>
  <si>
    <t>SW-003355</t>
    <phoneticPr fontId="2" type="noConversion"/>
  </si>
  <si>
    <t>PC 투명</t>
    <phoneticPr fontId="2" type="noConversion"/>
  </si>
  <si>
    <t>전일 ISSUE 사항(21일)</t>
    <phoneticPr fontId="2" type="noConversion"/>
  </si>
  <si>
    <t>SW-003353</t>
    <phoneticPr fontId="2" type="noConversion"/>
  </si>
  <si>
    <t>CASE</t>
    <phoneticPr fontId="2" type="noConversion"/>
  </si>
  <si>
    <t>당일 진행 사항(22일)</t>
    <phoneticPr fontId="2" type="noConversion"/>
  </si>
  <si>
    <t>BC05-29H1</t>
    <phoneticPr fontId="2" type="noConversion"/>
  </si>
  <si>
    <t>HOUSING</t>
    <phoneticPr fontId="2" type="noConversion"/>
  </si>
  <si>
    <t>SAMPLE 진행 사항(21일)</t>
    <phoneticPr fontId="2" type="noConversion"/>
  </si>
  <si>
    <t>치수검토용 2회진행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</si>
  <si>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</si>
  <si>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</si>
  <si>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2020년 12월 22일(주간)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</si>
  <si>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HSCB65-M04A1(4C)</t>
    <phoneticPr fontId="2" type="noConversion"/>
  </si>
  <si>
    <t>전일 ISSUE 사항(22일)</t>
    <phoneticPr fontId="2" type="noConversion"/>
  </si>
  <si>
    <t>ADAPPTER</t>
    <phoneticPr fontId="2" type="noConversion"/>
  </si>
  <si>
    <t>발주분양산-&gt;금형노즐수리</t>
    <phoneticPr fontId="2" type="noConversion"/>
  </si>
  <si>
    <t>당일 진행 사항(23일)</t>
    <phoneticPr fontId="2" type="noConversion"/>
  </si>
  <si>
    <t>AMM0822A-KAB-R1</t>
    <phoneticPr fontId="2" type="noConversion"/>
  </si>
  <si>
    <t>SAMPLE 진행 사항(22일)</t>
    <phoneticPr fontId="2" type="noConversion"/>
  </si>
  <si>
    <t>HRCS-03C13</t>
    <phoneticPr fontId="2" type="noConversion"/>
  </si>
  <si>
    <t>조건</t>
    <phoneticPr fontId="2" type="noConversion"/>
  </si>
  <si>
    <t>휨확인용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</si>
  <si>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</si>
  <si>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</si>
  <si>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12월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</si>
  <si>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</si>
  <si>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당일 진행 사항(24일)</t>
    <phoneticPr fontId="2" type="noConversion"/>
  </si>
  <si>
    <t>NP595-877-014#SP-B/A</t>
    <phoneticPr fontId="2" type="noConversion"/>
  </si>
  <si>
    <t>SAMPLE 진행 사항(23일)</t>
    <phoneticPr fontId="2" type="noConversion"/>
  </si>
  <si>
    <t>AMB0482A-KAA-R1</t>
    <phoneticPr fontId="2" type="noConversion"/>
  </si>
  <si>
    <t>LEAD GUIDE</t>
    <phoneticPr fontId="2" type="noConversion"/>
  </si>
  <si>
    <t>상측POST박힘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</si>
  <si>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</si>
  <si>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</si>
  <si>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12월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</si>
  <si>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NP595-877-014#SP-A/B</t>
    <phoneticPr fontId="2" type="noConversion"/>
  </si>
  <si>
    <t>SGP2030R</t>
    <phoneticPr fontId="2" type="noConversion"/>
  </si>
  <si>
    <t>전일 ISSUE 사항(24일)</t>
    <phoneticPr fontId="2" type="noConversion"/>
  </si>
  <si>
    <t>수리후양산-&gt;코아파손정지</t>
    <phoneticPr fontId="2" type="noConversion"/>
  </si>
  <si>
    <t>당일 진행 사항(25일)</t>
    <phoneticPr fontId="2" type="noConversion"/>
  </si>
  <si>
    <t>K-JR01883-F01AWA</t>
    <phoneticPr fontId="2" type="noConversion"/>
  </si>
  <si>
    <t>SAMPLE 진행 사항(24일)</t>
    <phoneticPr fontId="2" type="noConversion"/>
  </si>
  <si>
    <t>NP595-877-014#LB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</si>
  <si>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</si>
  <si>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</si>
  <si>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12월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</si>
  <si>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</si>
  <si>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AMB0156A-KAA-R4</t>
    <phoneticPr fontId="2" type="noConversion"/>
  </si>
  <si>
    <t>당일 진행 사항(28일)</t>
    <phoneticPr fontId="2" type="noConversion"/>
  </si>
  <si>
    <t>SAMPLE 진행 사항(25일)</t>
    <phoneticPr fontId="2" type="noConversion"/>
  </si>
  <si>
    <t>AMB0186A-KAA-R1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</si>
  <si>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</si>
  <si>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</si>
  <si>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2020년 12월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</si>
  <si>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전일 ISSUE 사항(28일)</t>
    <phoneticPr fontId="2" type="noConversion"/>
  </si>
  <si>
    <t>발주분양산-&gt;가스수리</t>
    <phoneticPr fontId="2" type="noConversion"/>
  </si>
  <si>
    <t>당일 진행 사항(29일)</t>
    <phoneticPr fontId="2" type="noConversion"/>
  </si>
  <si>
    <t>세척후양산</t>
    <phoneticPr fontId="2" type="noConversion"/>
  </si>
  <si>
    <t>K-JR01887-B221AUA</t>
    <phoneticPr fontId="2" type="noConversion"/>
  </si>
  <si>
    <t>SAMPLE 진행 사항(28일)</t>
    <phoneticPr fontId="2" type="noConversion"/>
  </si>
  <si>
    <t>POST박힘</t>
    <phoneticPr fontId="2" type="noConversion"/>
  </si>
  <si>
    <t>LATCH PLATE</t>
    <phoneticPr fontId="2" type="noConversion"/>
  </si>
  <si>
    <t>AMB09H8A-KAA-R1</t>
    <phoneticPr fontId="2" type="noConversion"/>
  </si>
  <si>
    <t>2GATE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</si>
  <si>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</si>
  <si>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</si>
  <si>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2020년 12월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</si>
  <si>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</si>
  <si>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5</t>
    <phoneticPr fontId="2" type="noConversion"/>
  </si>
  <si>
    <t>발주분양산-&gt;뜯김2회정지</t>
    <phoneticPr fontId="2" type="noConversion"/>
  </si>
  <si>
    <t>당일 진행 사항(30일)</t>
    <phoneticPr fontId="2" type="noConversion"/>
  </si>
  <si>
    <t>BURR수리후양산</t>
    <phoneticPr fontId="2" type="noConversion"/>
  </si>
  <si>
    <t>SAMPLE 진행 사항(29일)</t>
    <phoneticPr fontId="2" type="noConversion"/>
  </si>
  <si>
    <t>POST박힘수리</t>
    <phoneticPr fontId="2" type="noConversion"/>
  </si>
  <si>
    <t>AMB09H7A-KAA-R1</t>
    <phoneticPr fontId="2" type="noConversion"/>
  </si>
  <si>
    <t>AMB20G2A-KAA-R1</t>
    <phoneticPr fontId="2" type="noConversion"/>
  </si>
  <si>
    <t>상측박힘수리</t>
    <phoneticPr fontId="2" type="noConversion"/>
  </si>
  <si>
    <t>AMB0359A-KAA-R1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</si>
  <si>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</si>
  <si>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</si>
  <si>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2020년 12월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</si>
  <si>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M2 CONN</t>
    <phoneticPr fontId="2" type="noConversion"/>
  </si>
  <si>
    <t>AMS08155A-KBB-R2</t>
    <phoneticPr fontId="2" type="noConversion"/>
  </si>
  <si>
    <t>KR6414-B414UA</t>
    <phoneticPr fontId="2" type="noConversion"/>
  </si>
  <si>
    <t>전일 ISSUE 사항(30일)</t>
    <phoneticPr fontId="2" type="noConversion"/>
  </si>
  <si>
    <t>뜯김2회수리</t>
    <phoneticPr fontId="2" type="noConversion"/>
  </si>
  <si>
    <t>뜯김정지</t>
    <phoneticPr fontId="2" type="noConversion"/>
  </si>
  <si>
    <t>BURR수리-&gt;코아수정안됨수리</t>
    <phoneticPr fontId="2" type="noConversion"/>
  </si>
  <si>
    <t>세척-&gt;코아파손수리</t>
    <phoneticPr fontId="2" type="noConversion"/>
  </si>
  <si>
    <t>수정후양산-&gt;눌림정지</t>
    <phoneticPr fontId="2" type="noConversion"/>
  </si>
  <si>
    <t>M2</t>
    <phoneticPr fontId="2" type="noConversion"/>
  </si>
  <si>
    <t>제품눌림정지</t>
    <phoneticPr fontId="2" type="noConversion"/>
  </si>
  <si>
    <t>당일 진행 사항(31일)</t>
    <phoneticPr fontId="2" type="noConversion"/>
  </si>
  <si>
    <t>KR6414-D414PA</t>
    <phoneticPr fontId="2" type="noConversion"/>
  </si>
  <si>
    <t>SAMPLE 진행 사항(30일)</t>
    <phoneticPr fontId="2" type="noConversion"/>
  </si>
  <si>
    <t>AMB07M4C-KAA-R1</t>
    <phoneticPr fontId="2" type="noConversion"/>
  </si>
  <si>
    <t>옵션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</si>
  <si>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</si>
  <si>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</si>
  <si>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2020년 12월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</si>
  <si>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288E84M-B102C-2</t>
    <phoneticPr fontId="2" type="noConversion"/>
  </si>
  <si>
    <t>전일 ISSUE 사항(31일)</t>
    <phoneticPr fontId="2" type="noConversion"/>
  </si>
  <si>
    <t>칼퀴수리</t>
    <phoneticPr fontId="2" type="noConversion"/>
  </si>
  <si>
    <t>코아파손수리-&gt;런너막힘수리</t>
    <phoneticPr fontId="2" type="noConversion"/>
  </si>
  <si>
    <t>코아파손3회정지</t>
    <phoneticPr fontId="2" type="noConversion"/>
  </si>
  <si>
    <t>수리후양산-&gt;밀핀파손정지</t>
    <phoneticPr fontId="2" type="noConversion"/>
  </si>
  <si>
    <t>게이트막힘정지</t>
    <phoneticPr fontId="2" type="noConversion"/>
  </si>
  <si>
    <t>발주분양산-&gt;코아파손2회정지</t>
    <phoneticPr fontId="2" type="noConversion"/>
  </si>
  <si>
    <t>발주분양산-&gt;가스정지</t>
    <phoneticPr fontId="2" type="noConversion"/>
  </si>
  <si>
    <t>당일 진행 사항(01일)</t>
    <phoneticPr fontId="2" type="noConversion"/>
  </si>
  <si>
    <t>KR6303-E07TA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</si>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</sst>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30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5236</c:v>
                </c:pt>
                <c:pt idx="3">
                  <c:v>5366</c:v>
                </c:pt>
                <c:pt idx="6">
                  <c:v>5284</c:v>
                </c:pt>
                <c:pt idx="7">
                  <c:v>7088</c:v>
                </c:pt>
                <c:pt idx="8">
                  <c:v>685</c:v>
                </c:pt>
                <c:pt idx="10">
                  <c:v>1059</c:v>
                </c:pt>
                <c:pt idx="11">
                  <c:v>7207</c:v>
                </c:pt>
                <c:pt idx="13">
                  <c:v>4750</c:v>
                </c:pt>
                <c:pt idx="14">
                  <c:v>5490</c:v>
                </c:pt>
                <c:pt idx="15">
                  <c:v>9922</c:v>
                </c:pt>
                <c:pt idx="16">
                  <c:v>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E-4419-BA61-39E01C91CD4E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5180</c:v>
                </c:pt>
                <c:pt idx="2">
                  <c:v>5236</c:v>
                </c:pt>
                <c:pt idx="3">
                  <c:v>5366</c:v>
                </c:pt>
                <c:pt idx="4">
                  <c:v>4876</c:v>
                </c:pt>
                <c:pt idx="5">
                  <c:v>67990</c:v>
                </c:pt>
                <c:pt idx="6">
                  <c:v>5284</c:v>
                </c:pt>
                <c:pt idx="7">
                  <c:v>7088</c:v>
                </c:pt>
                <c:pt idx="8">
                  <c:v>685</c:v>
                </c:pt>
                <c:pt idx="9">
                  <c:v>5219</c:v>
                </c:pt>
                <c:pt idx="10">
                  <c:v>1059</c:v>
                </c:pt>
                <c:pt idx="11">
                  <c:v>7207</c:v>
                </c:pt>
                <c:pt idx="12">
                  <c:v>600</c:v>
                </c:pt>
                <c:pt idx="13">
                  <c:v>4750</c:v>
                </c:pt>
                <c:pt idx="14">
                  <c:v>5490</c:v>
                </c:pt>
                <c:pt idx="15">
                  <c:v>9922</c:v>
                </c:pt>
                <c:pt idx="16">
                  <c:v>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E-4419-BA61-39E01C91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71%</c:v>
                </c:pt>
                <c:pt idx="8">
                  <c:v>29%</c:v>
                </c:pt>
                <c:pt idx="9">
                  <c:v>0%</c:v>
                </c:pt>
                <c:pt idx="10">
                  <c:v>25%</c:v>
                </c:pt>
                <c:pt idx="11">
                  <c:v>71%</c:v>
                </c:pt>
                <c:pt idx="12">
                  <c:v>0%</c:v>
                </c:pt>
                <c:pt idx="13">
                  <c:v>96%</c:v>
                </c:pt>
                <c:pt idx="14">
                  <c:v>96%</c:v>
                </c:pt>
                <c:pt idx="15">
                  <c:v>88%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0.70833333333333337</c:v>
                </c:pt>
                <c:pt idx="8">
                  <c:v>0.29166666666666669</c:v>
                </c:pt>
                <c:pt idx="9">
                  <c:v>0</c:v>
                </c:pt>
                <c:pt idx="10">
                  <c:v>0.25</c:v>
                </c:pt>
                <c:pt idx="11">
                  <c:v>0.70833333333333337</c:v>
                </c:pt>
                <c:pt idx="12">
                  <c:v>0</c:v>
                </c:pt>
                <c:pt idx="13">
                  <c:v>0.95833333333333337</c:v>
                </c:pt>
                <c:pt idx="14">
                  <c:v>0.95833333333333337</c:v>
                </c:pt>
                <c:pt idx="15">
                  <c:v>0.875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3-406A-A0DE-0E4F7080E99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13-406A-A0DE-0E4F7080E9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0.48284313725490191</c:v>
                </c:pt>
                <c:pt idx="1">
                  <c:v>0.48284313725490191</c:v>
                </c:pt>
                <c:pt idx="2">
                  <c:v>0.48284313725490191</c:v>
                </c:pt>
                <c:pt idx="3">
                  <c:v>0.48284313725490191</c:v>
                </c:pt>
                <c:pt idx="4">
                  <c:v>0.48284313725490191</c:v>
                </c:pt>
                <c:pt idx="5">
                  <c:v>0.48284313725490191</c:v>
                </c:pt>
                <c:pt idx="6">
                  <c:v>0.48284313725490191</c:v>
                </c:pt>
                <c:pt idx="7">
                  <c:v>0.48284313725490191</c:v>
                </c:pt>
                <c:pt idx="8">
                  <c:v>0.48284313725490191</c:v>
                </c:pt>
                <c:pt idx="9">
                  <c:v>0.48284313725490191</c:v>
                </c:pt>
                <c:pt idx="10">
                  <c:v>0.48284313725490191</c:v>
                </c:pt>
                <c:pt idx="11">
                  <c:v>0.48284313725490191</c:v>
                </c:pt>
                <c:pt idx="12">
                  <c:v>0.48284313725490191</c:v>
                </c:pt>
                <c:pt idx="13">
                  <c:v>0.48284313725490191</c:v>
                </c:pt>
                <c:pt idx="14">
                  <c:v>0.48284313725490191</c:v>
                </c:pt>
                <c:pt idx="15">
                  <c:v>0.48284313725490191</c:v>
                </c:pt>
                <c:pt idx="16">
                  <c:v>0.48284313725490191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13-406A-A0DE-0E4F7080E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5236</c:v>
                </c:pt>
                <c:pt idx="3">
                  <c:v>5366</c:v>
                </c:pt>
                <c:pt idx="6">
                  <c:v>5284</c:v>
                </c:pt>
                <c:pt idx="7">
                  <c:v>7088</c:v>
                </c:pt>
                <c:pt idx="8">
                  <c:v>685</c:v>
                </c:pt>
                <c:pt idx="10">
                  <c:v>1059</c:v>
                </c:pt>
                <c:pt idx="11">
                  <c:v>7207</c:v>
                </c:pt>
                <c:pt idx="13">
                  <c:v>4750</c:v>
                </c:pt>
                <c:pt idx="14">
                  <c:v>5490</c:v>
                </c:pt>
                <c:pt idx="15">
                  <c:v>9922</c:v>
                </c:pt>
                <c:pt idx="16">
                  <c:v>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4-45C5-B441-18B7B58E85E2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5180</c:v>
                </c:pt>
                <c:pt idx="2">
                  <c:v>5236</c:v>
                </c:pt>
                <c:pt idx="3">
                  <c:v>5366</c:v>
                </c:pt>
                <c:pt idx="4">
                  <c:v>4876</c:v>
                </c:pt>
                <c:pt idx="5">
                  <c:v>67990</c:v>
                </c:pt>
                <c:pt idx="6">
                  <c:v>5284</c:v>
                </c:pt>
                <c:pt idx="7">
                  <c:v>7088</c:v>
                </c:pt>
                <c:pt idx="8">
                  <c:v>685</c:v>
                </c:pt>
                <c:pt idx="9">
                  <c:v>5219</c:v>
                </c:pt>
                <c:pt idx="10">
                  <c:v>1059</c:v>
                </c:pt>
                <c:pt idx="11">
                  <c:v>7207</c:v>
                </c:pt>
                <c:pt idx="12">
                  <c:v>600</c:v>
                </c:pt>
                <c:pt idx="13">
                  <c:v>4750</c:v>
                </c:pt>
                <c:pt idx="14">
                  <c:v>5490</c:v>
                </c:pt>
                <c:pt idx="15">
                  <c:v>9922</c:v>
                </c:pt>
                <c:pt idx="16">
                  <c:v>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4-45C5-B441-18B7B58E8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71%</c:v>
                </c:pt>
                <c:pt idx="8">
                  <c:v>29%</c:v>
                </c:pt>
                <c:pt idx="9">
                  <c:v>0%</c:v>
                </c:pt>
                <c:pt idx="10">
                  <c:v>25%</c:v>
                </c:pt>
                <c:pt idx="11">
                  <c:v>71%</c:v>
                </c:pt>
                <c:pt idx="12">
                  <c:v>0%</c:v>
                </c:pt>
                <c:pt idx="13">
                  <c:v>96%</c:v>
                </c:pt>
                <c:pt idx="14">
                  <c:v>96%</c:v>
                </c:pt>
                <c:pt idx="15">
                  <c:v>88%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0.70833333333333337</c:v>
                </c:pt>
                <c:pt idx="8">
                  <c:v>0.29166666666666669</c:v>
                </c:pt>
                <c:pt idx="9">
                  <c:v>0</c:v>
                </c:pt>
                <c:pt idx="10">
                  <c:v>0.25</c:v>
                </c:pt>
                <c:pt idx="11">
                  <c:v>0.70833333333333337</c:v>
                </c:pt>
                <c:pt idx="12">
                  <c:v>0</c:v>
                </c:pt>
                <c:pt idx="13">
                  <c:v>0.95833333333333337</c:v>
                </c:pt>
                <c:pt idx="14">
                  <c:v>0.95833333333333337</c:v>
                </c:pt>
                <c:pt idx="15">
                  <c:v>0.875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3-4712-A81F-2051C1A1EF3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3-4712-A81F-2051C1A1EF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LATCH</c:v>
                </c:pt>
                <c:pt idx="12">
                  <c:v>ADAPTER</c:v>
                </c:pt>
                <c:pt idx="13">
                  <c:v>SLIDER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0.48284313725490191</c:v>
                </c:pt>
                <c:pt idx="1">
                  <c:v>0.48284313725490191</c:v>
                </c:pt>
                <c:pt idx="2">
                  <c:v>0.48284313725490191</c:v>
                </c:pt>
                <c:pt idx="3">
                  <c:v>0.48284313725490191</c:v>
                </c:pt>
                <c:pt idx="4">
                  <c:v>0.48284313725490191</c:v>
                </c:pt>
                <c:pt idx="5">
                  <c:v>0.48284313725490191</c:v>
                </c:pt>
                <c:pt idx="6">
                  <c:v>0.48284313725490191</c:v>
                </c:pt>
                <c:pt idx="7">
                  <c:v>0.48284313725490191</c:v>
                </c:pt>
                <c:pt idx="8">
                  <c:v>0.48284313725490191</c:v>
                </c:pt>
                <c:pt idx="9">
                  <c:v>0.48284313725490191</c:v>
                </c:pt>
                <c:pt idx="10">
                  <c:v>0.48284313725490191</c:v>
                </c:pt>
                <c:pt idx="11">
                  <c:v>0.48284313725490191</c:v>
                </c:pt>
                <c:pt idx="12">
                  <c:v>0.48284313725490191</c:v>
                </c:pt>
                <c:pt idx="13">
                  <c:v>0.48284313725490191</c:v>
                </c:pt>
                <c:pt idx="14">
                  <c:v>0.48284313725490191</c:v>
                </c:pt>
                <c:pt idx="15">
                  <c:v>0.48284313725490191</c:v>
                </c:pt>
                <c:pt idx="16">
                  <c:v>0.48284313725490191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B3-4712-A81F-2051C1A1E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FF-47EC-AE10-8AC596B1FE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F-47EC-AE10-8AC596B1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FF-47EC-AE10-8AC596B1FE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F-47EC-AE10-8AC596B1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4740</c:v>
                </c:pt>
                <c:pt idx="2">
                  <c:v>3150</c:v>
                </c:pt>
                <c:pt idx="3">
                  <c:v>4717</c:v>
                </c:pt>
                <c:pt idx="6">
                  <c:v>3705</c:v>
                </c:pt>
                <c:pt idx="7">
                  <c:v>11048</c:v>
                </c:pt>
                <c:pt idx="8">
                  <c:v>1206</c:v>
                </c:pt>
                <c:pt idx="10">
                  <c:v>12638</c:v>
                </c:pt>
                <c:pt idx="12">
                  <c:v>5061</c:v>
                </c:pt>
                <c:pt idx="13">
                  <c:v>5571</c:v>
                </c:pt>
                <c:pt idx="14">
                  <c:v>9172</c:v>
                </c:pt>
                <c:pt idx="15">
                  <c:v>25436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4-44C8-8095-8EE5FD43DAED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4740</c:v>
                </c:pt>
                <c:pt idx="2">
                  <c:v>3150</c:v>
                </c:pt>
                <c:pt idx="3">
                  <c:v>4717</c:v>
                </c:pt>
                <c:pt idx="4">
                  <c:v>4876</c:v>
                </c:pt>
                <c:pt idx="5">
                  <c:v>67990</c:v>
                </c:pt>
                <c:pt idx="6">
                  <c:v>3705</c:v>
                </c:pt>
                <c:pt idx="7">
                  <c:v>11048</c:v>
                </c:pt>
                <c:pt idx="8">
                  <c:v>1206</c:v>
                </c:pt>
                <c:pt idx="9">
                  <c:v>5219</c:v>
                </c:pt>
                <c:pt idx="10">
                  <c:v>12638</c:v>
                </c:pt>
                <c:pt idx="11">
                  <c:v>600</c:v>
                </c:pt>
                <c:pt idx="12">
                  <c:v>5061</c:v>
                </c:pt>
                <c:pt idx="13">
                  <c:v>5571</c:v>
                </c:pt>
                <c:pt idx="14">
                  <c:v>9172</c:v>
                </c:pt>
                <c:pt idx="15">
                  <c:v>25436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24-44C8-8095-8EE5FD43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83%</c:v>
                </c:pt>
                <c:pt idx="2">
                  <c:v>71%</c:v>
                </c:pt>
                <c:pt idx="3">
                  <c:v>92%</c:v>
                </c:pt>
                <c:pt idx="4">
                  <c:v>0%</c:v>
                </c:pt>
                <c:pt idx="5">
                  <c:v>0%</c:v>
                </c:pt>
                <c:pt idx="6">
                  <c:v>75%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88%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0.83333333333333337</c:v>
                </c:pt>
                <c:pt idx="2">
                  <c:v>0.70833333333333337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0.875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8-4D2A-8894-47527763CE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48-4D2A-8894-47527763CE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0.55208333333333337</c:v>
                </c:pt>
                <c:pt idx="1">
                  <c:v>0.55208333333333337</c:v>
                </c:pt>
                <c:pt idx="2">
                  <c:v>0.55208333333333337</c:v>
                </c:pt>
                <c:pt idx="3">
                  <c:v>0.55208333333333337</c:v>
                </c:pt>
                <c:pt idx="4">
                  <c:v>0.55208333333333337</c:v>
                </c:pt>
                <c:pt idx="5">
                  <c:v>0.55208333333333337</c:v>
                </c:pt>
                <c:pt idx="6">
                  <c:v>0.55208333333333337</c:v>
                </c:pt>
                <c:pt idx="7">
                  <c:v>0.55208333333333337</c:v>
                </c:pt>
                <c:pt idx="8">
                  <c:v>0.55208333333333337</c:v>
                </c:pt>
                <c:pt idx="9">
                  <c:v>0.55208333333333337</c:v>
                </c:pt>
                <c:pt idx="10">
                  <c:v>0.55208333333333337</c:v>
                </c:pt>
                <c:pt idx="11">
                  <c:v>0.55208333333333337</c:v>
                </c:pt>
                <c:pt idx="12">
                  <c:v>0.55208333333333337</c:v>
                </c:pt>
                <c:pt idx="13">
                  <c:v>0.55208333333333337</c:v>
                </c:pt>
                <c:pt idx="14">
                  <c:v>0.55208333333333337</c:v>
                </c:pt>
                <c:pt idx="15">
                  <c:v>0.55208333333333337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8-4D2A-8894-47527763C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4740</c:v>
                </c:pt>
                <c:pt idx="2">
                  <c:v>3150</c:v>
                </c:pt>
                <c:pt idx="3">
                  <c:v>4717</c:v>
                </c:pt>
                <c:pt idx="6">
                  <c:v>3705</c:v>
                </c:pt>
                <c:pt idx="7">
                  <c:v>11048</c:v>
                </c:pt>
                <c:pt idx="8">
                  <c:v>1206</c:v>
                </c:pt>
                <c:pt idx="10">
                  <c:v>12638</c:v>
                </c:pt>
                <c:pt idx="12">
                  <c:v>5061</c:v>
                </c:pt>
                <c:pt idx="13">
                  <c:v>5571</c:v>
                </c:pt>
                <c:pt idx="14">
                  <c:v>9172</c:v>
                </c:pt>
                <c:pt idx="15">
                  <c:v>25436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0-418A-8A36-8CBBBF54D28F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4740</c:v>
                </c:pt>
                <c:pt idx="2">
                  <c:v>3150</c:v>
                </c:pt>
                <c:pt idx="3">
                  <c:v>4717</c:v>
                </c:pt>
                <c:pt idx="4">
                  <c:v>4876</c:v>
                </c:pt>
                <c:pt idx="5">
                  <c:v>67990</c:v>
                </c:pt>
                <c:pt idx="6">
                  <c:v>3705</c:v>
                </c:pt>
                <c:pt idx="7">
                  <c:v>11048</c:v>
                </c:pt>
                <c:pt idx="8">
                  <c:v>1206</c:v>
                </c:pt>
                <c:pt idx="9">
                  <c:v>5219</c:v>
                </c:pt>
                <c:pt idx="10">
                  <c:v>12638</c:v>
                </c:pt>
                <c:pt idx="11">
                  <c:v>600</c:v>
                </c:pt>
                <c:pt idx="12">
                  <c:v>5061</c:v>
                </c:pt>
                <c:pt idx="13">
                  <c:v>5571</c:v>
                </c:pt>
                <c:pt idx="14">
                  <c:v>9172</c:v>
                </c:pt>
                <c:pt idx="15">
                  <c:v>25436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0-418A-8A36-8CBBBF54D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83%</c:v>
                </c:pt>
                <c:pt idx="2">
                  <c:v>71%</c:v>
                </c:pt>
                <c:pt idx="3">
                  <c:v>92%</c:v>
                </c:pt>
                <c:pt idx="4">
                  <c:v>0%</c:v>
                </c:pt>
                <c:pt idx="5">
                  <c:v>0%</c:v>
                </c:pt>
                <c:pt idx="6">
                  <c:v>75%</c:v>
                </c:pt>
                <c:pt idx="7">
                  <c:v>100%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88%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0.83333333333333337</c:v>
                </c:pt>
                <c:pt idx="2">
                  <c:v>0.70833333333333337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0.875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7-4B93-BC46-6A680352E48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A7-4B93-BC46-6A680352E4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LID/PLUNGER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0.55208333333333337</c:v>
                </c:pt>
                <c:pt idx="1">
                  <c:v>0.55208333333333337</c:v>
                </c:pt>
                <c:pt idx="2">
                  <c:v>0.55208333333333337</c:v>
                </c:pt>
                <c:pt idx="3">
                  <c:v>0.55208333333333337</c:v>
                </c:pt>
                <c:pt idx="4">
                  <c:v>0.55208333333333337</c:v>
                </c:pt>
                <c:pt idx="5">
                  <c:v>0.55208333333333337</c:v>
                </c:pt>
                <c:pt idx="6">
                  <c:v>0.55208333333333337</c:v>
                </c:pt>
                <c:pt idx="7">
                  <c:v>0.55208333333333337</c:v>
                </c:pt>
                <c:pt idx="8">
                  <c:v>0.55208333333333337</c:v>
                </c:pt>
                <c:pt idx="9">
                  <c:v>0.55208333333333337</c:v>
                </c:pt>
                <c:pt idx="10">
                  <c:v>0.55208333333333337</c:v>
                </c:pt>
                <c:pt idx="11">
                  <c:v>0.55208333333333337</c:v>
                </c:pt>
                <c:pt idx="12">
                  <c:v>0.55208333333333337</c:v>
                </c:pt>
                <c:pt idx="13">
                  <c:v>0.55208333333333337</c:v>
                </c:pt>
                <c:pt idx="14">
                  <c:v>0.55208333333333337</c:v>
                </c:pt>
                <c:pt idx="15">
                  <c:v>0.55208333333333337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7-4B93-BC46-6A680352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EE4-49BE-B99F-1CE695D1A1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4-49BE-B99F-1CE695D1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EE4-49BE-B99F-1CE695D1A1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E4-49BE-B99F-1CE695D1A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1134</c:v>
                </c:pt>
                <c:pt idx="3">
                  <c:v>5345</c:v>
                </c:pt>
                <c:pt idx="5">
                  <c:v>3558</c:v>
                </c:pt>
                <c:pt idx="6">
                  <c:v>5365</c:v>
                </c:pt>
                <c:pt idx="7">
                  <c:v>5013</c:v>
                </c:pt>
                <c:pt idx="8">
                  <c:v>729</c:v>
                </c:pt>
                <c:pt idx="10">
                  <c:v>17678</c:v>
                </c:pt>
                <c:pt idx="12">
                  <c:v>4992</c:v>
                </c:pt>
                <c:pt idx="13">
                  <c:v>4346</c:v>
                </c:pt>
                <c:pt idx="14">
                  <c:v>8776</c:v>
                </c:pt>
                <c:pt idx="15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9-434E-B5B4-795D461D6E98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1134</c:v>
                </c:pt>
                <c:pt idx="2">
                  <c:v>3150</c:v>
                </c:pt>
                <c:pt idx="3">
                  <c:v>5345</c:v>
                </c:pt>
                <c:pt idx="4">
                  <c:v>4876</c:v>
                </c:pt>
                <c:pt idx="5">
                  <c:v>3558</c:v>
                </c:pt>
                <c:pt idx="6">
                  <c:v>5365</c:v>
                </c:pt>
                <c:pt idx="7">
                  <c:v>5013</c:v>
                </c:pt>
                <c:pt idx="8">
                  <c:v>729</c:v>
                </c:pt>
                <c:pt idx="9">
                  <c:v>5219</c:v>
                </c:pt>
                <c:pt idx="10">
                  <c:v>17678</c:v>
                </c:pt>
                <c:pt idx="11">
                  <c:v>600</c:v>
                </c:pt>
                <c:pt idx="12">
                  <c:v>4992</c:v>
                </c:pt>
                <c:pt idx="13">
                  <c:v>4346</c:v>
                </c:pt>
                <c:pt idx="14">
                  <c:v>8776</c:v>
                </c:pt>
                <c:pt idx="15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9-434E-B5B4-795D461D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25%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71%</c:v>
                </c:pt>
                <c:pt idx="6">
                  <c:v>100%</c:v>
                </c:pt>
                <c:pt idx="7">
                  <c:v>96%</c:v>
                </c:pt>
                <c:pt idx="8">
                  <c:v>33%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88%</c:v>
                </c:pt>
                <c:pt idx="14">
                  <c:v>83%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0.70833333333333337</c:v>
                </c:pt>
                <c:pt idx="6">
                  <c:v>1</c:v>
                </c:pt>
                <c:pt idx="7">
                  <c:v>0.95833333333333337</c:v>
                </c:pt>
                <c:pt idx="8">
                  <c:v>0.33333333333333331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0.875</c:v>
                </c:pt>
                <c:pt idx="14">
                  <c:v>0.83333333333333337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5-48AE-BF1C-96338B7C3B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25-48AE-BF1C-96338B7C3B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0.52864583333333326</c:v>
                </c:pt>
                <c:pt idx="1">
                  <c:v>0.52864583333333326</c:v>
                </c:pt>
                <c:pt idx="2">
                  <c:v>0.52864583333333326</c:v>
                </c:pt>
                <c:pt idx="3">
                  <c:v>0.52864583333333326</c:v>
                </c:pt>
                <c:pt idx="4">
                  <c:v>0.52864583333333326</c:v>
                </c:pt>
                <c:pt idx="5">
                  <c:v>0.52864583333333326</c:v>
                </c:pt>
                <c:pt idx="6">
                  <c:v>0.52864583333333326</c:v>
                </c:pt>
                <c:pt idx="7">
                  <c:v>0.52864583333333326</c:v>
                </c:pt>
                <c:pt idx="8">
                  <c:v>0.52864583333333326</c:v>
                </c:pt>
                <c:pt idx="9">
                  <c:v>0.52864583333333326</c:v>
                </c:pt>
                <c:pt idx="10">
                  <c:v>0.52864583333333326</c:v>
                </c:pt>
                <c:pt idx="11">
                  <c:v>0.52864583333333326</c:v>
                </c:pt>
                <c:pt idx="12">
                  <c:v>0.52864583333333326</c:v>
                </c:pt>
                <c:pt idx="13">
                  <c:v>0.52864583333333326</c:v>
                </c:pt>
                <c:pt idx="14">
                  <c:v>0.52864583333333326</c:v>
                </c:pt>
                <c:pt idx="15">
                  <c:v>0.52864583333333326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5-48AE-BF1C-96338B7C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1">
                  <c:v>1134</c:v>
                </c:pt>
                <c:pt idx="3">
                  <c:v>5345</c:v>
                </c:pt>
                <c:pt idx="5">
                  <c:v>3558</c:v>
                </c:pt>
                <c:pt idx="6">
                  <c:v>5365</c:v>
                </c:pt>
                <c:pt idx="7">
                  <c:v>5013</c:v>
                </c:pt>
                <c:pt idx="8">
                  <c:v>729</c:v>
                </c:pt>
                <c:pt idx="10">
                  <c:v>17678</c:v>
                </c:pt>
                <c:pt idx="12">
                  <c:v>4992</c:v>
                </c:pt>
                <c:pt idx="13">
                  <c:v>4346</c:v>
                </c:pt>
                <c:pt idx="14">
                  <c:v>8776</c:v>
                </c:pt>
                <c:pt idx="15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5-4389-AFED-115ABE0B6591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1134</c:v>
                </c:pt>
                <c:pt idx="2">
                  <c:v>3150</c:v>
                </c:pt>
                <c:pt idx="3">
                  <c:v>5345</c:v>
                </c:pt>
                <c:pt idx="4">
                  <c:v>4876</c:v>
                </c:pt>
                <c:pt idx="5">
                  <c:v>3558</c:v>
                </c:pt>
                <c:pt idx="6">
                  <c:v>5365</c:v>
                </c:pt>
                <c:pt idx="7">
                  <c:v>5013</c:v>
                </c:pt>
                <c:pt idx="8">
                  <c:v>729</c:v>
                </c:pt>
                <c:pt idx="9">
                  <c:v>5219</c:v>
                </c:pt>
                <c:pt idx="10">
                  <c:v>17678</c:v>
                </c:pt>
                <c:pt idx="11">
                  <c:v>600</c:v>
                </c:pt>
                <c:pt idx="12">
                  <c:v>4992</c:v>
                </c:pt>
                <c:pt idx="13">
                  <c:v>4346</c:v>
                </c:pt>
                <c:pt idx="14">
                  <c:v>8776</c:v>
                </c:pt>
                <c:pt idx="15">
                  <c:v>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5-4389-AFED-115ABE0B6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25%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71%</c:v>
                </c:pt>
                <c:pt idx="6">
                  <c:v>100%</c:v>
                </c:pt>
                <c:pt idx="7">
                  <c:v>96%</c:v>
                </c:pt>
                <c:pt idx="8">
                  <c:v>33%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88%</c:v>
                </c:pt>
                <c:pt idx="14">
                  <c:v>83%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0.70833333333333337</c:v>
                </c:pt>
                <c:pt idx="6">
                  <c:v>1</c:v>
                </c:pt>
                <c:pt idx="7">
                  <c:v>0.95833333333333337</c:v>
                </c:pt>
                <c:pt idx="8">
                  <c:v>0.33333333333333331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0.875</c:v>
                </c:pt>
                <c:pt idx="14">
                  <c:v>0.83333333333333337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F-4E0E-8619-2D911C09DC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7F-4E0E-8619-2D911C09DC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SLIDER</c:v>
                </c:pt>
                <c:pt idx="1">
                  <c:v>SLIDER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0.52864583333333326</c:v>
                </c:pt>
                <c:pt idx="1">
                  <c:v>0.52864583333333326</c:v>
                </c:pt>
                <c:pt idx="2">
                  <c:v>0.52864583333333326</c:v>
                </c:pt>
                <c:pt idx="3">
                  <c:v>0.52864583333333326</c:v>
                </c:pt>
                <c:pt idx="4">
                  <c:v>0.52864583333333326</c:v>
                </c:pt>
                <c:pt idx="5">
                  <c:v>0.52864583333333326</c:v>
                </c:pt>
                <c:pt idx="6">
                  <c:v>0.52864583333333326</c:v>
                </c:pt>
                <c:pt idx="7">
                  <c:v>0.52864583333333326</c:v>
                </c:pt>
                <c:pt idx="8">
                  <c:v>0.52864583333333326</c:v>
                </c:pt>
                <c:pt idx="9">
                  <c:v>0.52864583333333326</c:v>
                </c:pt>
                <c:pt idx="10">
                  <c:v>0.52864583333333326</c:v>
                </c:pt>
                <c:pt idx="11">
                  <c:v>0.52864583333333326</c:v>
                </c:pt>
                <c:pt idx="12">
                  <c:v>0.52864583333333326</c:v>
                </c:pt>
                <c:pt idx="13">
                  <c:v>0.52864583333333326</c:v>
                </c:pt>
                <c:pt idx="14">
                  <c:v>0.52864583333333326</c:v>
                </c:pt>
                <c:pt idx="15">
                  <c:v>0.52864583333333326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F-4E0E-8619-2D911C09D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F07-4C3C-88C8-8CC41CFA67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07-4C3C-88C8-8CC41CFA6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F07-4C3C-88C8-8CC41CFA67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07-4C3C-88C8-8CC41CFA6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1">
                  <c:v>646</c:v>
                </c:pt>
                <c:pt idx="2">
                  <c:v>5519</c:v>
                </c:pt>
                <c:pt idx="3">
                  <c:v>5204</c:v>
                </c:pt>
                <c:pt idx="5">
                  <c:v>2547</c:v>
                </c:pt>
                <c:pt idx="6">
                  <c:v>5221</c:v>
                </c:pt>
                <c:pt idx="7">
                  <c:v>3371</c:v>
                </c:pt>
                <c:pt idx="8">
                  <c:v>1223</c:v>
                </c:pt>
                <c:pt idx="10">
                  <c:v>10494</c:v>
                </c:pt>
                <c:pt idx="12">
                  <c:v>710</c:v>
                </c:pt>
                <c:pt idx="13">
                  <c:v>5385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5-4702-8375-98A809EC0428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646</c:v>
                </c:pt>
                <c:pt idx="2">
                  <c:v>5519</c:v>
                </c:pt>
                <c:pt idx="3">
                  <c:v>5204</c:v>
                </c:pt>
                <c:pt idx="4">
                  <c:v>4876</c:v>
                </c:pt>
                <c:pt idx="5">
                  <c:v>2547</c:v>
                </c:pt>
                <c:pt idx="6">
                  <c:v>5221</c:v>
                </c:pt>
                <c:pt idx="7">
                  <c:v>3371</c:v>
                </c:pt>
                <c:pt idx="8">
                  <c:v>1223</c:v>
                </c:pt>
                <c:pt idx="9">
                  <c:v>5219</c:v>
                </c:pt>
                <c:pt idx="10">
                  <c:v>10494</c:v>
                </c:pt>
                <c:pt idx="11">
                  <c:v>600</c:v>
                </c:pt>
                <c:pt idx="12">
                  <c:v>710</c:v>
                </c:pt>
                <c:pt idx="13">
                  <c:v>5385</c:v>
                </c:pt>
                <c:pt idx="14">
                  <c:v>8776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5-4702-8375-98A809EC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42%</c:v>
                </c:pt>
                <c:pt idx="6">
                  <c:v>100%</c:v>
                </c:pt>
                <c:pt idx="7">
                  <c:v>67%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0.41666666666666669</c:v>
                </c:pt>
                <c:pt idx="6">
                  <c:v>1</c:v>
                </c:pt>
                <c:pt idx="7">
                  <c:v>0.66666666666666663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A-4C4A-97D5-69721D05EC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5A-4C4A-97D5-69721D05EC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0.45572916666666669</c:v>
                </c:pt>
                <c:pt idx="1">
                  <c:v>0.45572916666666669</c:v>
                </c:pt>
                <c:pt idx="2">
                  <c:v>0.45572916666666669</c:v>
                </c:pt>
                <c:pt idx="3">
                  <c:v>0.45572916666666669</c:v>
                </c:pt>
                <c:pt idx="4">
                  <c:v>0.45572916666666669</c:v>
                </c:pt>
                <c:pt idx="5">
                  <c:v>0.45572916666666669</c:v>
                </c:pt>
                <c:pt idx="6">
                  <c:v>0.45572916666666669</c:v>
                </c:pt>
                <c:pt idx="7">
                  <c:v>0.45572916666666669</c:v>
                </c:pt>
                <c:pt idx="8">
                  <c:v>0.45572916666666669</c:v>
                </c:pt>
                <c:pt idx="9">
                  <c:v>0.45572916666666669</c:v>
                </c:pt>
                <c:pt idx="10">
                  <c:v>0.45572916666666669</c:v>
                </c:pt>
                <c:pt idx="11">
                  <c:v>0.45572916666666669</c:v>
                </c:pt>
                <c:pt idx="12">
                  <c:v>0.45572916666666669</c:v>
                </c:pt>
                <c:pt idx="13">
                  <c:v>0.45572916666666669</c:v>
                </c:pt>
                <c:pt idx="14">
                  <c:v>0.45572916666666669</c:v>
                </c:pt>
                <c:pt idx="15">
                  <c:v>0.45572916666666669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5A-4C4A-97D5-69721D05E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1">
                  <c:v>646</c:v>
                </c:pt>
                <c:pt idx="2">
                  <c:v>5519</c:v>
                </c:pt>
                <c:pt idx="3">
                  <c:v>5204</c:v>
                </c:pt>
                <c:pt idx="5">
                  <c:v>2547</c:v>
                </c:pt>
                <c:pt idx="6">
                  <c:v>5221</c:v>
                </c:pt>
                <c:pt idx="7">
                  <c:v>3371</c:v>
                </c:pt>
                <c:pt idx="8">
                  <c:v>1223</c:v>
                </c:pt>
                <c:pt idx="10">
                  <c:v>10494</c:v>
                </c:pt>
                <c:pt idx="12">
                  <c:v>710</c:v>
                </c:pt>
                <c:pt idx="13">
                  <c:v>5385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9-40F4-9E8B-CEC99AE100EA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646</c:v>
                </c:pt>
                <c:pt idx="2">
                  <c:v>5519</c:v>
                </c:pt>
                <c:pt idx="3">
                  <c:v>5204</c:v>
                </c:pt>
                <c:pt idx="4">
                  <c:v>4876</c:v>
                </c:pt>
                <c:pt idx="5">
                  <c:v>2547</c:v>
                </c:pt>
                <c:pt idx="6">
                  <c:v>5221</c:v>
                </c:pt>
                <c:pt idx="7">
                  <c:v>3371</c:v>
                </c:pt>
                <c:pt idx="8">
                  <c:v>1223</c:v>
                </c:pt>
                <c:pt idx="9">
                  <c:v>5219</c:v>
                </c:pt>
                <c:pt idx="10">
                  <c:v>10494</c:v>
                </c:pt>
                <c:pt idx="11">
                  <c:v>600</c:v>
                </c:pt>
                <c:pt idx="12">
                  <c:v>710</c:v>
                </c:pt>
                <c:pt idx="13">
                  <c:v>5385</c:v>
                </c:pt>
                <c:pt idx="14">
                  <c:v>8776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9-40F4-9E8B-CEC99AE10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42%</c:v>
                </c:pt>
                <c:pt idx="6">
                  <c:v>100%</c:v>
                </c:pt>
                <c:pt idx="7">
                  <c:v>67%</c:v>
                </c:pt>
                <c:pt idx="8">
                  <c:v>50%</c:v>
                </c:pt>
                <c:pt idx="9">
                  <c:v>0%</c:v>
                </c:pt>
                <c:pt idx="10">
                  <c:v>88%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0.41666666666666669</c:v>
                </c:pt>
                <c:pt idx="6">
                  <c:v>1</c:v>
                </c:pt>
                <c:pt idx="7">
                  <c:v>0.66666666666666663</c:v>
                </c:pt>
                <c:pt idx="8">
                  <c:v>0.5</c:v>
                </c:pt>
                <c:pt idx="9">
                  <c:v>0</c:v>
                </c:pt>
                <c:pt idx="10">
                  <c:v>0.875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7-4EBC-A854-57CC04DE3F2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37-4EBC-A854-57CC04DE3F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0">
                  <c:v>SLIDER</c:v>
                </c:pt>
                <c:pt idx="1">
                  <c:v>FLOATING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IC GUIDE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0.45572916666666669</c:v>
                </c:pt>
                <c:pt idx="1">
                  <c:v>0.45572916666666669</c:v>
                </c:pt>
                <c:pt idx="2">
                  <c:v>0.45572916666666669</c:v>
                </c:pt>
                <c:pt idx="3">
                  <c:v>0.45572916666666669</c:v>
                </c:pt>
                <c:pt idx="4">
                  <c:v>0.45572916666666669</c:v>
                </c:pt>
                <c:pt idx="5">
                  <c:v>0.45572916666666669</c:v>
                </c:pt>
                <c:pt idx="6">
                  <c:v>0.45572916666666669</c:v>
                </c:pt>
                <c:pt idx="7">
                  <c:v>0.45572916666666669</c:v>
                </c:pt>
                <c:pt idx="8">
                  <c:v>0.45572916666666669</c:v>
                </c:pt>
                <c:pt idx="9">
                  <c:v>0.45572916666666669</c:v>
                </c:pt>
                <c:pt idx="10">
                  <c:v>0.45572916666666669</c:v>
                </c:pt>
                <c:pt idx="11">
                  <c:v>0.45572916666666669</c:v>
                </c:pt>
                <c:pt idx="12">
                  <c:v>0.45572916666666669</c:v>
                </c:pt>
                <c:pt idx="13">
                  <c:v>0.45572916666666669</c:v>
                </c:pt>
                <c:pt idx="14">
                  <c:v>0.45572916666666669</c:v>
                </c:pt>
                <c:pt idx="15">
                  <c:v>0.45572916666666669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37-4EBC-A854-57CC04DE3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ACE-4E83-9197-3C720C9837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E-4E83-9197-3C720C98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ACE-4E83-9197-3C720C9837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E-4E83-9197-3C720C98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1215</c:v>
                </c:pt>
                <c:pt idx="2">
                  <c:v>704</c:v>
                </c:pt>
                <c:pt idx="3">
                  <c:v>2562</c:v>
                </c:pt>
                <c:pt idx="5">
                  <c:v>3474</c:v>
                </c:pt>
                <c:pt idx="7">
                  <c:v>5314</c:v>
                </c:pt>
                <c:pt idx="8">
                  <c:v>1172</c:v>
                </c:pt>
                <c:pt idx="9">
                  <c:v>19700</c:v>
                </c:pt>
                <c:pt idx="10">
                  <c:v>7352</c:v>
                </c:pt>
                <c:pt idx="12">
                  <c:v>582</c:v>
                </c:pt>
                <c:pt idx="1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4-4ACD-9C3F-F9336881F448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2562</c:v>
                </c:pt>
                <c:pt idx="4">
                  <c:v>4876</c:v>
                </c:pt>
                <c:pt idx="5">
                  <c:v>3474</c:v>
                </c:pt>
                <c:pt idx="6">
                  <c:v>5221</c:v>
                </c:pt>
                <c:pt idx="7">
                  <c:v>5314</c:v>
                </c:pt>
                <c:pt idx="8">
                  <c:v>1172</c:v>
                </c:pt>
                <c:pt idx="9">
                  <c:v>19700</c:v>
                </c:pt>
                <c:pt idx="10">
                  <c:v>7352</c:v>
                </c:pt>
                <c:pt idx="11">
                  <c:v>600</c:v>
                </c:pt>
                <c:pt idx="12">
                  <c:v>582</c:v>
                </c:pt>
                <c:pt idx="13">
                  <c:v>5500</c:v>
                </c:pt>
                <c:pt idx="14">
                  <c:v>8776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4-4ACD-9C3F-F9336881F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29%</c:v>
                </c:pt>
                <c:pt idx="2">
                  <c:v>17%</c:v>
                </c:pt>
                <c:pt idx="3">
                  <c:v>58%</c:v>
                </c:pt>
                <c:pt idx="4">
                  <c:v>0%</c:v>
                </c:pt>
                <c:pt idx="5">
                  <c:v>67%</c:v>
                </c:pt>
                <c:pt idx="6">
                  <c:v>0%</c:v>
                </c:pt>
                <c:pt idx="7">
                  <c:v>100%</c:v>
                </c:pt>
                <c:pt idx="8">
                  <c:v>50%</c:v>
                </c:pt>
                <c:pt idx="9">
                  <c:v>63%</c:v>
                </c:pt>
                <c:pt idx="10">
                  <c:v>42%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0.29166666666666669</c:v>
                </c:pt>
                <c:pt idx="2">
                  <c:v>0.16666666666666666</c:v>
                </c:pt>
                <c:pt idx="3">
                  <c:v>0.58333333333333337</c:v>
                </c:pt>
                <c:pt idx="4">
                  <c:v>0</c:v>
                </c:pt>
                <c:pt idx="5">
                  <c:v>0.66666666666666663</c:v>
                </c:pt>
                <c:pt idx="6">
                  <c:v>0</c:v>
                </c:pt>
                <c:pt idx="7">
                  <c:v>1</c:v>
                </c:pt>
                <c:pt idx="8">
                  <c:v>0.5</c:v>
                </c:pt>
                <c:pt idx="9">
                  <c:v>0.625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6-4B17-B27E-3653233636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D6-4B17-B27E-3653233636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D6-4B17-B27E-365323363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1">
                  <c:v>1215</c:v>
                </c:pt>
                <c:pt idx="2">
                  <c:v>704</c:v>
                </c:pt>
                <c:pt idx="3">
                  <c:v>2562</c:v>
                </c:pt>
                <c:pt idx="5">
                  <c:v>3474</c:v>
                </c:pt>
                <c:pt idx="7">
                  <c:v>5314</c:v>
                </c:pt>
                <c:pt idx="8">
                  <c:v>1172</c:v>
                </c:pt>
                <c:pt idx="9">
                  <c:v>19700</c:v>
                </c:pt>
                <c:pt idx="10">
                  <c:v>7352</c:v>
                </c:pt>
                <c:pt idx="12">
                  <c:v>582</c:v>
                </c:pt>
                <c:pt idx="1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B-427C-A543-9AF7C15955F9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2562</c:v>
                </c:pt>
                <c:pt idx="4">
                  <c:v>4876</c:v>
                </c:pt>
                <c:pt idx="5">
                  <c:v>3474</c:v>
                </c:pt>
                <c:pt idx="6">
                  <c:v>5221</c:v>
                </c:pt>
                <c:pt idx="7">
                  <c:v>5314</c:v>
                </c:pt>
                <c:pt idx="8">
                  <c:v>1172</c:v>
                </c:pt>
                <c:pt idx="9">
                  <c:v>19700</c:v>
                </c:pt>
                <c:pt idx="10">
                  <c:v>7352</c:v>
                </c:pt>
                <c:pt idx="11">
                  <c:v>600</c:v>
                </c:pt>
                <c:pt idx="12">
                  <c:v>582</c:v>
                </c:pt>
                <c:pt idx="13">
                  <c:v>5500</c:v>
                </c:pt>
                <c:pt idx="14">
                  <c:v>8776</c:v>
                </c:pt>
                <c:pt idx="15">
                  <c:v>30500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B-427C-A543-9AF7C159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29%</c:v>
                </c:pt>
                <c:pt idx="2">
                  <c:v>17%</c:v>
                </c:pt>
                <c:pt idx="3">
                  <c:v>58%</c:v>
                </c:pt>
                <c:pt idx="4">
                  <c:v>0%</c:v>
                </c:pt>
                <c:pt idx="5">
                  <c:v>67%</c:v>
                </c:pt>
                <c:pt idx="6">
                  <c:v>0%</c:v>
                </c:pt>
                <c:pt idx="7">
                  <c:v>100%</c:v>
                </c:pt>
                <c:pt idx="8">
                  <c:v>50%</c:v>
                </c:pt>
                <c:pt idx="9">
                  <c:v>63%</c:v>
                </c:pt>
                <c:pt idx="10">
                  <c:v>42%</c:v>
                </c:pt>
                <c:pt idx="11">
                  <c:v>0%</c:v>
                </c:pt>
                <c:pt idx="12">
                  <c:v>17%</c:v>
                </c:pt>
                <c:pt idx="13">
                  <c:v>100%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0.29166666666666669</c:v>
                </c:pt>
                <c:pt idx="2">
                  <c:v>0.16666666666666666</c:v>
                </c:pt>
                <c:pt idx="3">
                  <c:v>0.58333333333333337</c:v>
                </c:pt>
                <c:pt idx="4">
                  <c:v>0</c:v>
                </c:pt>
                <c:pt idx="5">
                  <c:v>0.66666666666666663</c:v>
                </c:pt>
                <c:pt idx="6">
                  <c:v>0</c:v>
                </c:pt>
                <c:pt idx="7">
                  <c:v>1</c:v>
                </c:pt>
                <c:pt idx="8">
                  <c:v>0.5</c:v>
                </c:pt>
                <c:pt idx="9">
                  <c:v>0.625</c:v>
                </c:pt>
                <c:pt idx="10">
                  <c:v>0.41666666666666669</c:v>
                </c:pt>
                <c:pt idx="11">
                  <c:v>0</c:v>
                </c:pt>
                <c:pt idx="12">
                  <c:v>0.16666666666666666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7-40F0-84E2-E168B00AAA2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47-40F0-84E2-E168B00AAA2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7-40F0-84E2-E168B00AA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60-4068-B245-953364B302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0-4068-B245-953364B30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860-4068-B245-953364B302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60-4068-B245-953364B30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3">
                  <c:v>5349</c:v>
                </c:pt>
                <c:pt idx="5">
                  <c:v>5896</c:v>
                </c:pt>
                <c:pt idx="7">
                  <c:v>5597</c:v>
                </c:pt>
                <c:pt idx="8">
                  <c:v>130</c:v>
                </c:pt>
                <c:pt idx="9">
                  <c:v>718</c:v>
                </c:pt>
                <c:pt idx="10">
                  <c:v>34515</c:v>
                </c:pt>
                <c:pt idx="11">
                  <c:v>8769</c:v>
                </c:pt>
                <c:pt idx="13">
                  <c:v>2951</c:v>
                </c:pt>
                <c:pt idx="16">
                  <c:v>46364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E-43B7-BA81-96EDB47A3B47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5349</c:v>
                </c:pt>
                <c:pt idx="4">
                  <c:v>4876</c:v>
                </c:pt>
                <c:pt idx="5">
                  <c:v>5896</c:v>
                </c:pt>
                <c:pt idx="6">
                  <c:v>5221</c:v>
                </c:pt>
                <c:pt idx="7">
                  <c:v>5597</c:v>
                </c:pt>
                <c:pt idx="8">
                  <c:v>130</c:v>
                </c:pt>
                <c:pt idx="9">
                  <c:v>718</c:v>
                </c:pt>
                <c:pt idx="10">
                  <c:v>34515</c:v>
                </c:pt>
                <c:pt idx="11">
                  <c:v>8769</c:v>
                </c:pt>
                <c:pt idx="12">
                  <c:v>600</c:v>
                </c:pt>
                <c:pt idx="13">
                  <c:v>2951</c:v>
                </c:pt>
                <c:pt idx="14">
                  <c:v>5500</c:v>
                </c:pt>
                <c:pt idx="15">
                  <c:v>8776</c:v>
                </c:pt>
                <c:pt idx="16">
                  <c:v>46364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E-43B7-BA81-96EDB47A3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25%</c:v>
                </c:pt>
                <c:pt idx="10">
                  <c:v>100%</c:v>
                </c:pt>
                <c:pt idx="11">
                  <c:v>92%</c:v>
                </c:pt>
                <c:pt idx="12">
                  <c:v>0%</c:v>
                </c:pt>
                <c:pt idx="13">
                  <c:v>67%</c:v>
                </c:pt>
                <c:pt idx="14">
                  <c:v>0%</c:v>
                </c:pt>
                <c:pt idx="15">
                  <c:v>0%</c:v>
                </c:pt>
                <c:pt idx="16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0.25</c:v>
                </c:pt>
                <c:pt idx="10">
                  <c:v>1</c:v>
                </c:pt>
                <c:pt idx="11">
                  <c:v>0.91666666666666663</c:v>
                </c:pt>
                <c:pt idx="12">
                  <c:v>0</c:v>
                </c:pt>
                <c:pt idx="13">
                  <c:v>0.66666666666666663</c:v>
                </c:pt>
                <c:pt idx="14">
                  <c:v>0</c:v>
                </c:pt>
                <c:pt idx="15">
                  <c:v>0</c:v>
                </c:pt>
                <c:pt idx="16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A-4FBE-95C6-97A79BC886C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5A-4FBE-95C6-97A79BC886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0.40196078431372545</c:v>
                </c:pt>
                <c:pt idx="1">
                  <c:v>0.40196078431372545</c:v>
                </c:pt>
                <c:pt idx="2">
                  <c:v>0.40196078431372545</c:v>
                </c:pt>
                <c:pt idx="3">
                  <c:v>0.40196078431372545</c:v>
                </c:pt>
                <c:pt idx="4">
                  <c:v>0.40196078431372545</c:v>
                </c:pt>
                <c:pt idx="5">
                  <c:v>0.40196078431372545</c:v>
                </c:pt>
                <c:pt idx="6">
                  <c:v>0.40196078431372545</c:v>
                </c:pt>
                <c:pt idx="7">
                  <c:v>0.40196078431372545</c:v>
                </c:pt>
                <c:pt idx="8">
                  <c:v>0.40196078431372545</c:v>
                </c:pt>
                <c:pt idx="9">
                  <c:v>0.40196078431372545</c:v>
                </c:pt>
                <c:pt idx="10">
                  <c:v>0.40196078431372545</c:v>
                </c:pt>
                <c:pt idx="11">
                  <c:v>0.40196078431372545</c:v>
                </c:pt>
                <c:pt idx="12">
                  <c:v>0.40196078431372545</c:v>
                </c:pt>
                <c:pt idx="13">
                  <c:v>0.40196078431372545</c:v>
                </c:pt>
                <c:pt idx="14">
                  <c:v>0.40196078431372545</c:v>
                </c:pt>
                <c:pt idx="15">
                  <c:v>0.40196078431372545</c:v>
                </c:pt>
                <c:pt idx="16">
                  <c:v>0.40196078431372545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A-4FBE-95C6-97A79BC88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3">
                  <c:v>5349</c:v>
                </c:pt>
                <c:pt idx="5">
                  <c:v>5896</c:v>
                </c:pt>
                <c:pt idx="7">
                  <c:v>5597</c:v>
                </c:pt>
                <c:pt idx="8">
                  <c:v>130</c:v>
                </c:pt>
                <c:pt idx="9">
                  <c:v>718</c:v>
                </c:pt>
                <c:pt idx="10">
                  <c:v>34515</c:v>
                </c:pt>
                <c:pt idx="11">
                  <c:v>8769</c:v>
                </c:pt>
                <c:pt idx="13">
                  <c:v>2951</c:v>
                </c:pt>
                <c:pt idx="16">
                  <c:v>46364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7-4F66-8B04-5EC55090C1B6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5349</c:v>
                </c:pt>
                <c:pt idx="4">
                  <c:v>4876</c:v>
                </c:pt>
                <c:pt idx="5">
                  <c:v>5896</c:v>
                </c:pt>
                <c:pt idx="6">
                  <c:v>5221</c:v>
                </c:pt>
                <c:pt idx="7">
                  <c:v>5597</c:v>
                </c:pt>
                <c:pt idx="8">
                  <c:v>130</c:v>
                </c:pt>
                <c:pt idx="9">
                  <c:v>718</c:v>
                </c:pt>
                <c:pt idx="10">
                  <c:v>34515</c:v>
                </c:pt>
                <c:pt idx="11">
                  <c:v>8769</c:v>
                </c:pt>
                <c:pt idx="12">
                  <c:v>600</c:v>
                </c:pt>
                <c:pt idx="13">
                  <c:v>2951</c:v>
                </c:pt>
                <c:pt idx="14">
                  <c:v>5500</c:v>
                </c:pt>
                <c:pt idx="15">
                  <c:v>8776</c:v>
                </c:pt>
                <c:pt idx="16">
                  <c:v>46364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17-4F66-8B04-5EC55090C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17%</c:v>
                </c:pt>
                <c:pt idx="9">
                  <c:v>25%</c:v>
                </c:pt>
                <c:pt idx="10">
                  <c:v>100%</c:v>
                </c:pt>
                <c:pt idx="11">
                  <c:v>92%</c:v>
                </c:pt>
                <c:pt idx="12">
                  <c:v>0%</c:v>
                </c:pt>
                <c:pt idx="13">
                  <c:v>67%</c:v>
                </c:pt>
                <c:pt idx="14">
                  <c:v>0%</c:v>
                </c:pt>
                <c:pt idx="15">
                  <c:v>0%</c:v>
                </c:pt>
                <c:pt idx="16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0.16666666666666666</c:v>
                </c:pt>
                <c:pt idx="9">
                  <c:v>0.25</c:v>
                </c:pt>
                <c:pt idx="10">
                  <c:v>1</c:v>
                </c:pt>
                <c:pt idx="11">
                  <c:v>0.91666666666666663</c:v>
                </c:pt>
                <c:pt idx="12">
                  <c:v>0</c:v>
                </c:pt>
                <c:pt idx="13">
                  <c:v>0.66666666666666663</c:v>
                </c:pt>
                <c:pt idx="14">
                  <c:v>0</c:v>
                </c:pt>
                <c:pt idx="15">
                  <c:v>0</c:v>
                </c:pt>
                <c:pt idx="16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0-4E71-A66E-040CB44F196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E0-4E71-A66E-040CB44F19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0.40196078431372545</c:v>
                </c:pt>
                <c:pt idx="1">
                  <c:v>0.40196078431372545</c:v>
                </c:pt>
                <c:pt idx="2">
                  <c:v>0.40196078431372545</c:v>
                </c:pt>
                <c:pt idx="3">
                  <c:v>0.40196078431372545</c:v>
                </c:pt>
                <c:pt idx="4">
                  <c:v>0.40196078431372545</c:v>
                </c:pt>
                <c:pt idx="5">
                  <c:v>0.40196078431372545</c:v>
                </c:pt>
                <c:pt idx="6">
                  <c:v>0.40196078431372545</c:v>
                </c:pt>
                <c:pt idx="7">
                  <c:v>0.40196078431372545</c:v>
                </c:pt>
                <c:pt idx="8">
                  <c:v>0.40196078431372545</c:v>
                </c:pt>
                <c:pt idx="9">
                  <c:v>0.40196078431372545</c:v>
                </c:pt>
                <c:pt idx="10">
                  <c:v>0.40196078431372545</c:v>
                </c:pt>
                <c:pt idx="11">
                  <c:v>0.40196078431372545</c:v>
                </c:pt>
                <c:pt idx="12">
                  <c:v>0.40196078431372545</c:v>
                </c:pt>
                <c:pt idx="13">
                  <c:v>0.40196078431372545</c:v>
                </c:pt>
                <c:pt idx="14">
                  <c:v>0.40196078431372545</c:v>
                </c:pt>
                <c:pt idx="15">
                  <c:v>0.40196078431372545</c:v>
                </c:pt>
                <c:pt idx="16">
                  <c:v>0.40196078431372545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0-4E71-A66E-040CB44F1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EC9-4EAA-85E9-6556F95D9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9-4EAA-85E9-6556F95D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EC9-4EAA-85E9-6556F95D94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9-4EAA-85E9-6556F95D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3">
                  <c:v>2492</c:v>
                </c:pt>
                <c:pt idx="5">
                  <c:v>5955</c:v>
                </c:pt>
                <c:pt idx="7">
                  <c:v>5686</c:v>
                </c:pt>
                <c:pt idx="9">
                  <c:v>36330</c:v>
                </c:pt>
                <c:pt idx="10">
                  <c:v>13462</c:v>
                </c:pt>
                <c:pt idx="12">
                  <c:v>5425</c:v>
                </c:pt>
                <c:pt idx="15">
                  <c:v>63832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9-4AE3-9981-A4E9725CC182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2492</c:v>
                </c:pt>
                <c:pt idx="4">
                  <c:v>4876</c:v>
                </c:pt>
                <c:pt idx="5">
                  <c:v>5955</c:v>
                </c:pt>
                <c:pt idx="6">
                  <c:v>5221</c:v>
                </c:pt>
                <c:pt idx="7">
                  <c:v>5686</c:v>
                </c:pt>
                <c:pt idx="8">
                  <c:v>718</c:v>
                </c:pt>
                <c:pt idx="9">
                  <c:v>36330</c:v>
                </c:pt>
                <c:pt idx="10">
                  <c:v>13462</c:v>
                </c:pt>
                <c:pt idx="11">
                  <c:v>600</c:v>
                </c:pt>
                <c:pt idx="12">
                  <c:v>5425</c:v>
                </c:pt>
                <c:pt idx="13">
                  <c:v>5500</c:v>
                </c:pt>
                <c:pt idx="14">
                  <c:v>8776</c:v>
                </c:pt>
                <c:pt idx="15">
                  <c:v>63832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9-4AE3-9981-A4E9725C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5-44BF-949C-951DA4F1CD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E5-44BF-949C-951DA4F1CD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0.39583333333333331</c:v>
                </c:pt>
                <c:pt idx="1">
                  <c:v>0.39583333333333331</c:v>
                </c:pt>
                <c:pt idx="2">
                  <c:v>0.39583333333333331</c:v>
                </c:pt>
                <c:pt idx="3">
                  <c:v>0.39583333333333331</c:v>
                </c:pt>
                <c:pt idx="4">
                  <c:v>0.39583333333333331</c:v>
                </c:pt>
                <c:pt idx="5">
                  <c:v>0.39583333333333331</c:v>
                </c:pt>
                <c:pt idx="6">
                  <c:v>0.39583333333333331</c:v>
                </c:pt>
                <c:pt idx="7">
                  <c:v>0.39583333333333331</c:v>
                </c:pt>
                <c:pt idx="8">
                  <c:v>0.39583333333333331</c:v>
                </c:pt>
                <c:pt idx="9">
                  <c:v>0.39583333333333331</c:v>
                </c:pt>
                <c:pt idx="10">
                  <c:v>0.39583333333333331</c:v>
                </c:pt>
                <c:pt idx="11">
                  <c:v>0.39583333333333331</c:v>
                </c:pt>
                <c:pt idx="12">
                  <c:v>0.39583333333333331</c:v>
                </c:pt>
                <c:pt idx="13">
                  <c:v>0.39583333333333331</c:v>
                </c:pt>
                <c:pt idx="14">
                  <c:v>0.39583333333333331</c:v>
                </c:pt>
                <c:pt idx="15">
                  <c:v>0.39583333333333331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5-44BF-949C-951DA4F1C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3">
                  <c:v>2492</c:v>
                </c:pt>
                <c:pt idx="5">
                  <c:v>5955</c:v>
                </c:pt>
                <c:pt idx="7">
                  <c:v>5686</c:v>
                </c:pt>
                <c:pt idx="9">
                  <c:v>36330</c:v>
                </c:pt>
                <c:pt idx="10">
                  <c:v>13462</c:v>
                </c:pt>
                <c:pt idx="12">
                  <c:v>5425</c:v>
                </c:pt>
                <c:pt idx="15">
                  <c:v>63832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3-41D2-B91A-2A8B5DC04CC5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704</c:v>
                </c:pt>
                <c:pt idx="3">
                  <c:v>2492</c:v>
                </c:pt>
                <c:pt idx="4">
                  <c:v>4876</c:v>
                </c:pt>
                <c:pt idx="5">
                  <c:v>5955</c:v>
                </c:pt>
                <c:pt idx="6">
                  <c:v>5221</c:v>
                </c:pt>
                <c:pt idx="7">
                  <c:v>5686</c:v>
                </c:pt>
                <c:pt idx="8">
                  <c:v>718</c:v>
                </c:pt>
                <c:pt idx="9">
                  <c:v>36330</c:v>
                </c:pt>
                <c:pt idx="10">
                  <c:v>13462</c:v>
                </c:pt>
                <c:pt idx="11">
                  <c:v>600</c:v>
                </c:pt>
                <c:pt idx="12">
                  <c:v>5425</c:v>
                </c:pt>
                <c:pt idx="13">
                  <c:v>5500</c:v>
                </c:pt>
                <c:pt idx="14">
                  <c:v>8776</c:v>
                </c:pt>
                <c:pt idx="15">
                  <c:v>63832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13-41D2-B91A-2A8B5DC04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3-4B00-8D37-15F29E677C6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53-4B00-8D37-15F29E677C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2">
                  <c:v>SLIDER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0.39583333333333331</c:v>
                </c:pt>
                <c:pt idx="1">
                  <c:v>0.39583333333333331</c:v>
                </c:pt>
                <c:pt idx="2">
                  <c:v>0.39583333333333331</c:v>
                </c:pt>
                <c:pt idx="3">
                  <c:v>0.39583333333333331</c:v>
                </c:pt>
                <c:pt idx="4">
                  <c:v>0.39583333333333331</c:v>
                </c:pt>
                <c:pt idx="5">
                  <c:v>0.39583333333333331</c:v>
                </c:pt>
                <c:pt idx="6">
                  <c:v>0.39583333333333331</c:v>
                </c:pt>
                <c:pt idx="7">
                  <c:v>0.39583333333333331</c:v>
                </c:pt>
                <c:pt idx="8">
                  <c:v>0.39583333333333331</c:v>
                </c:pt>
                <c:pt idx="9">
                  <c:v>0.39583333333333331</c:v>
                </c:pt>
                <c:pt idx="10">
                  <c:v>0.39583333333333331</c:v>
                </c:pt>
                <c:pt idx="11">
                  <c:v>0.39583333333333331</c:v>
                </c:pt>
                <c:pt idx="12">
                  <c:v>0.39583333333333331</c:v>
                </c:pt>
                <c:pt idx="13">
                  <c:v>0.39583333333333331</c:v>
                </c:pt>
                <c:pt idx="14">
                  <c:v>0.39583333333333331</c:v>
                </c:pt>
                <c:pt idx="15">
                  <c:v>0.39583333333333331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3-4B00-8D37-15F29E67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277-48BC-902F-47BDA34106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7-48BC-902F-47BDA3410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277-48BC-902F-47BDA34106C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77-48BC-902F-47BDA3410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447616</c:v>
                </c:pt>
                <c:pt idx="3">
                  <c:v>411</c:v>
                </c:pt>
                <c:pt idx="5">
                  <c:v>5813</c:v>
                </c:pt>
                <c:pt idx="7">
                  <c:v>3264</c:v>
                </c:pt>
                <c:pt idx="8">
                  <c:v>1235</c:v>
                </c:pt>
                <c:pt idx="9">
                  <c:v>34975</c:v>
                </c:pt>
                <c:pt idx="10">
                  <c:v>18112</c:v>
                </c:pt>
                <c:pt idx="12">
                  <c:v>5149</c:v>
                </c:pt>
                <c:pt idx="15">
                  <c:v>63320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3-4CC0-8234-F986FF3E4661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447616</c:v>
                </c:pt>
                <c:pt idx="3">
                  <c:v>411</c:v>
                </c:pt>
                <c:pt idx="4">
                  <c:v>4876</c:v>
                </c:pt>
                <c:pt idx="5">
                  <c:v>5813</c:v>
                </c:pt>
                <c:pt idx="6">
                  <c:v>5221</c:v>
                </c:pt>
                <c:pt idx="7">
                  <c:v>3264</c:v>
                </c:pt>
                <c:pt idx="8">
                  <c:v>1235</c:v>
                </c:pt>
                <c:pt idx="9">
                  <c:v>34975</c:v>
                </c:pt>
                <c:pt idx="10">
                  <c:v>18112</c:v>
                </c:pt>
                <c:pt idx="11">
                  <c:v>600</c:v>
                </c:pt>
                <c:pt idx="12">
                  <c:v>5149</c:v>
                </c:pt>
                <c:pt idx="13">
                  <c:v>5500</c:v>
                </c:pt>
                <c:pt idx="14">
                  <c:v>8776</c:v>
                </c:pt>
                <c:pt idx="15">
                  <c:v>63320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3-4CC0-8234-F986FF3E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13%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63%</c:v>
                </c:pt>
                <c:pt idx="8">
                  <c:v>54%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0.125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0.625</c:v>
                </c:pt>
                <c:pt idx="8">
                  <c:v>0.54166666666666663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0-4066-8578-0ACEFE48C45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C0-4066-8578-0ACEFE48C4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0.453125</c:v>
                </c:pt>
                <c:pt idx="1">
                  <c:v>0.453125</c:v>
                </c:pt>
                <c:pt idx="2">
                  <c:v>0.453125</c:v>
                </c:pt>
                <c:pt idx="3">
                  <c:v>0.453125</c:v>
                </c:pt>
                <c:pt idx="4">
                  <c:v>0.453125</c:v>
                </c:pt>
                <c:pt idx="5">
                  <c:v>0.453125</c:v>
                </c:pt>
                <c:pt idx="6">
                  <c:v>0.453125</c:v>
                </c:pt>
                <c:pt idx="7">
                  <c:v>0.453125</c:v>
                </c:pt>
                <c:pt idx="8">
                  <c:v>0.453125</c:v>
                </c:pt>
                <c:pt idx="9">
                  <c:v>0.453125</c:v>
                </c:pt>
                <c:pt idx="10">
                  <c:v>0.453125</c:v>
                </c:pt>
                <c:pt idx="11">
                  <c:v>0.453125</c:v>
                </c:pt>
                <c:pt idx="12">
                  <c:v>0.453125</c:v>
                </c:pt>
                <c:pt idx="13">
                  <c:v>0.453125</c:v>
                </c:pt>
                <c:pt idx="14">
                  <c:v>0.453125</c:v>
                </c:pt>
                <c:pt idx="15">
                  <c:v>0.453125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C0-4066-8578-0ACEFE48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2">
                  <c:v>447616</c:v>
                </c:pt>
                <c:pt idx="3">
                  <c:v>411</c:v>
                </c:pt>
                <c:pt idx="5">
                  <c:v>5813</c:v>
                </c:pt>
                <c:pt idx="7">
                  <c:v>3264</c:v>
                </c:pt>
                <c:pt idx="8">
                  <c:v>1235</c:v>
                </c:pt>
                <c:pt idx="9">
                  <c:v>34975</c:v>
                </c:pt>
                <c:pt idx="10">
                  <c:v>18112</c:v>
                </c:pt>
                <c:pt idx="12">
                  <c:v>5149</c:v>
                </c:pt>
                <c:pt idx="15">
                  <c:v>63320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5-4952-B10E-DAE8D7119834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1215</c:v>
                </c:pt>
                <c:pt idx="2">
                  <c:v>447616</c:v>
                </c:pt>
                <c:pt idx="3">
                  <c:v>411</c:v>
                </c:pt>
                <c:pt idx="4">
                  <c:v>4876</c:v>
                </c:pt>
                <c:pt idx="5">
                  <c:v>5813</c:v>
                </c:pt>
                <c:pt idx="6">
                  <c:v>5221</c:v>
                </c:pt>
                <c:pt idx="7">
                  <c:v>3264</c:v>
                </c:pt>
                <c:pt idx="8">
                  <c:v>1235</c:v>
                </c:pt>
                <c:pt idx="9">
                  <c:v>34975</c:v>
                </c:pt>
                <c:pt idx="10">
                  <c:v>18112</c:v>
                </c:pt>
                <c:pt idx="11">
                  <c:v>600</c:v>
                </c:pt>
                <c:pt idx="12">
                  <c:v>5149</c:v>
                </c:pt>
                <c:pt idx="13">
                  <c:v>5500</c:v>
                </c:pt>
                <c:pt idx="14">
                  <c:v>8776</c:v>
                </c:pt>
                <c:pt idx="15">
                  <c:v>63320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5-4952-B10E-DAE8D7119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13%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63%</c:v>
                </c:pt>
                <c:pt idx="8">
                  <c:v>54%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0.125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0.625</c:v>
                </c:pt>
                <c:pt idx="8">
                  <c:v>0.54166666666666663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0-4197-8F58-5A5BD31A818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D0-4197-8F58-5A5BD31A81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0.453125</c:v>
                </c:pt>
                <c:pt idx="1">
                  <c:v>0.453125</c:v>
                </c:pt>
                <c:pt idx="2">
                  <c:v>0.453125</c:v>
                </c:pt>
                <c:pt idx="3">
                  <c:v>0.453125</c:v>
                </c:pt>
                <c:pt idx="4">
                  <c:v>0.453125</c:v>
                </c:pt>
                <c:pt idx="5">
                  <c:v>0.453125</c:v>
                </c:pt>
                <c:pt idx="6">
                  <c:v>0.453125</c:v>
                </c:pt>
                <c:pt idx="7">
                  <c:v>0.453125</c:v>
                </c:pt>
                <c:pt idx="8">
                  <c:v>0.453125</c:v>
                </c:pt>
                <c:pt idx="9">
                  <c:v>0.453125</c:v>
                </c:pt>
                <c:pt idx="10">
                  <c:v>0.453125</c:v>
                </c:pt>
                <c:pt idx="11">
                  <c:v>0.453125</c:v>
                </c:pt>
                <c:pt idx="12">
                  <c:v>0.453125</c:v>
                </c:pt>
                <c:pt idx="13">
                  <c:v>0.453125</c:v>
                </c:pt>
                <c:pt idx="14">
                  <c:v>0.453125</c:v>
                </c:pt>
                <c:pt idx="15">
                  <c:v>0.453125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0-4197-8F58-5A5BD31A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D74-4234-9BE6-EAAE619A1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4-4234-9BE6-EAAE619A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D74-4234-9BE6-EAAE619A1B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74-4234-9BE6-EAAE619A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1">
                  <c:v>1624</c:v>
                </c:pt>
                <c:pt idx="2">
                  <c:v>509024</c:v>
                </c:pt>
                <c:pt idx="3">
                  <c:v>3600</c:v>
                </c:pt>
                <c:pt idx="5">
                  <c:v>5627</c:v>
                </c:pt>
                <c:pt idx="9">
                  <c:v>31820</c:v>
                </c:pt>
                <c:pt idx="10">
                  <c:v>13442</c:v>
                </c:pt>
                <c:pt idx="12">
                  <c:v>2769</c:v>
                </c:pt>
                <c:pt idx="15">
                  <c:v>67640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D-4D06-AD55-BBA413749D17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1624</c:v>
                </c:pt>
                <c:pt idx="2">
                  <c:v>509024</c:v>
                </c:pt>
                <c:pt idx="3">
                  <c:v>3600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1235</c:v>
                </c:pt>
                <c:pt idx="9">
                  <c:v>31820</c:v>
                </c:pt>
                <c:pt idx="10">
                  <c:v>13442</c:v>
                </c:pt>
                <c:pt idx="11">
                  <c:v>600</c:v>
                </c:pt>
                <c:pt idx="12">
                  <c:v>2769</c:v>
                </c:pt>
                <c:pt idx="13">
                  <c:v>5500</c:v>
                </c:pt>
                <c:pt idx="14">
                  <c:v>8776</c:v>
                </c:pt>
                <c:pt idx="15">
                  <c:v>67640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D-4D06-AD55-BBA41374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38%</c:v>
                </c:pt>
                <c:pt idx="2">
                  <c:v>100%</c:v>
                </c:pt>
                <c:pt idx="3">
                  <c:v>71%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50%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0.375</c:v>
                </c:pt>
                <c:pt idx="2">
                  <c:v>1</c:v>
                </c:pt>
                <c:pt idx="3">
                  <c:v>0.70833333333333337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2-4936-8BAA-E04A8BB44C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B2-4936-8BAA-E04A8BB44C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0.40625000000000006</c:v>
                </c:pt>
                <c:pt idx="1">
                  <c:v>0.40625000000000006</c:v>
                </c:pt>
                <c:pt idx="2">
                  <c:v>0.40625000000000006</c:v>
                </c:pt>
                <c:pt idx="3">
                  <c:v>0.40625000000000006</c:v>
                </c:pt>
                <c:pt idx="4">
                  <c:v>0.40625000000000006</c:v>
                </c:pt>
                <c:pt idx="5">
                  <c:v>0.40625000000000006</c:v>
                </c:pt>
                <c:pt idx="6">
                  <c:v>0.40625000000000006</c:v>
                </c:pt>
                <c:pt idx="7">
                  <c:v>0.40625000000000006</c:v>
                </c:pt>
                <c:pt idx="8">
                  <c:v>0.40625000000000006</c:v>
                </c:pt>
                <c:pt idx="9">
                  <c:v>0.40625000000000006</c:v>
                </c:pt>
                <c:pt idx="10">
                  <c:v>0.40625000000000006</c:v>
                </c:pt>
                <c:pt idx="11">
                  <c:v>0.40625000000000006</c:v>
                </c:pt>
                <c:pt idx="12">
                  <c:v>0.40625000000000006</c:v>
                </c:pt>
                <c:pt idx="13">
                  <c:v>0.40625000000000006</c:v>
                </c:pt>
                <c:pt idx="14">
                  <c:v>0.40625000000000006</c:v>
                </c:pt>
                <c:pt idx="15">
                  <c:v>0.40625000000000006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B2-4936-8BAA-E04A8BB44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1">
                  <c:v>1624</c:v>
                </c:pt>
                <c:pt idx="2">
                  <c:v>509024</c:v>
                </c:pt>
                <c:pt idx="3">
                  <c:v>3600</c:v>
                </c:pt>
                <c:pt idx="5">
                  <c:v>5627</c:v>
                </c:pt>
                <c:pt idx="9">
                  <c:v>31820</c:v>
                </c:pt>
                <c:pt idx="10">
                  <c:v>13442</c:v>
                </c:pt>
                <c:pt idx="12">
                  <c:v>2769</c:v>
                </c:pt>
                <c:pt idx="15">
                  <c:v>67640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5-4C92-BB8F-3A7B75E009BA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1624</c:v>
                </c:pt>
                <c:pt idx="2">
                  <c:v>509024</c:v>
                </c:pt>
                <c:pt idx="3">
                  <c:v>3600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1235</c:v>
                </c:pt>
                <c:pt idx="9">
                  <c:v>31820</c:v>
                </c:pt>
                <c:pt idx="10">
                  <c:v>13442</c:v>
                </c:pt>
                <c:pt idx="11">
                  <c:v>600</c:v>
                </c:pt>
                <c:pt idx="12">
                  <c:v>2769</c:v>
                </c:pt>
                <c:pt idx="13">
                  <c:v>5500</c:v>
                </c:pt>
                <c:pt idx="14">
                  <c:v>8776</c:v>
                </c:pt>
                <c:pt idx="15">
                  <c:v>67640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5-4C92-BB8F-3A7B75E00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38%</c:v>
                </c:pt>
                <c:pt idx="2">
                  <c:v>100%</c:v>
                </c:pt>
                <c:pt idx="3">
                  <c:v>71%</c:v>
                </c:pt>
                <c:pt idx="4">
                  <c:v>0%</c:v>
                </c:pt>
                <c:pt idx="5">
                  <c:v>100%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92%</c:v>
                </c:pt>
                <c:pt idx="11">
                  <c:v>0%</c:v>
                </c:pt>
                <c:pt idx="12">
                  <c:v>50%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0.375</c:v>
                </c:pt>
                <c:pt idx="2">
                  <c:v>1</c:v>
                </c:pt>
                <c:pt idx="3">
                  <c:v>0.70833333333333337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0.91666666666666663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A-4B02-967D-C66C93E1B4B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5A-4B02-967D-C66C93E1B4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0.40625000000000006</c:v>
                </c:pt>
                <c:pt idx="1">
                  <c:v>0.40625000000000006</c:v>
                </c:pt>
                <c:pt idx="2">
                  <c:v>0.40625000000000006</c:v>
                </c:pt>
                <c:pt idx="3">
                  <c:v>0.40625000000000006</c:v>
                </c:pt>
                <c:pt idx="4">
                  <c:v>0.40625000000000006</c:v>
                </c:pt>
                <c:pt idx="5">
                  <c:v>0.40625000000000006</c:v>
                </c:pt>
                <c:pt idx="6">
                  <c:v>0.40625000000000006</c:v>
                </c:pt>
                <c:pt idx="7">
                  <c:v>0.40625000000000006</c:v>
                </c:pt>
                <c:pt idx="8">
                  <c:v>0.40625000000000006</c:v>
                </c:pt>
                <c:pt idx="9">
                  <c:v>0.40625000000000006</c:v>
                </c:pt>
                <c:pt idx="10">
                  <c:v>0.40625000000000006</c:v>
                </c:pt>
                <c:pt idx="11">
                  <c:v>0.40625000000000006</c:v>
                </c:pt>
                <c:pt idx="12">
                  <c:v>0.40625000000000006</c:v>
                </c:pt>
                <c:pt idx="13">
                  <c:v>0.40625000000000006</c:v>
                </c:pt>
                <c:pt idx="14">
                  <c:v>0.40625000000000006</c:v>
                </c:pt>
                <c:pt idx="15">
                  <c:v>0.40625000000000006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A-4B02-967D-C66C93E1B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186-4E88-8EBB-B9A0F7673B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4E88-8EBB-B9A0F767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186-4E88-8EBB-B9A0F7673B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86-4E88-8EBB-B9A0F767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2">
                  <c:v>190880</c:v>
                </c:pt>
                <c:pt idx="3">
                  <c:v>4186</c:v>
                </c:pt>
                <c:pt idx="8">
                  <c:v>500</c:v>
                </c:pt>
                <c:pt idx="9">
                  <c:v>100</c:v>
                </c:pt>
                <c:pt idx="14">
                  <c:v>4016</c:v>
                </c:pt>
                <c:pt idx="16">
                  <c:v>59420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E-43A3-96D8-895A7BDE77DC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1624</c:v>
                </c:pt>
                <c:pt idx="2">
                  <c:v>190880</c:v>
                </c:pt>
                <c:pt idx="3">
                  <c:v>4186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500</c:v>
                </c:pt>
                <c:pt idx="9">
                  <c:v>200</c:v>
                </c:pt>
                <c:pt idx="10">
                  <c:v>31820</c:v>
                </c:pt>
                <c:pt idx="11">
                  <c:v>13442</c:v>
                </c:pt>
                <c:pt idx="12">
                  <c:v>600</c:v>
                </c:pt>
                <c:pt idx="13">
                  <c:v>2769</c:v>
                </c:pt>
                <c:pt idx="14">
                  <c:v>4016</c:v>
                </c:pt>
                <c:pt idx="15">
                  <c:v>8776</c:v>
                </c:pt>
                <c:pt idx="16">
                  <c:v>59420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E-43A3-96D8-895A7BDE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88%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6%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42%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6.25E-2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0.41666666666666669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B-4200-978A-FF4ABBCBCDC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8B-4200-978A-FF4ABBCBCD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0.17769607843137256</c:v>
                </c:pt>
                <c:pt idx="1">
                  <c:v>0.17769607843137256</c:v>
                </c:pt>
                <c:pt idx="2">
                  <c:v>0.17769607843137256</c:v>
                </c:pt>
                <c:pt idx="3">
                  <c:v>0.17769607843137256</c:v>
                </c:pt>
                <c:pt idx="4">
                  <c:v>0.17769607843137256</c:v>
                </c:pt>
                <c:pt idx="5">
                  <c:v>0.17769607843137256</c:v>
                </c:pt>
                <c:pt idx="6">
                  <c:v>0.17769607843137256</c:v>
                </c:pt>
                <c:pt idx="7">
                  <c:v>0.17769607843137256</c:v>
                </c:pt>
                <c:pt idx="8">
                  <c:v>0.17769607843137256</c:v>
                </c:pt>
                <c:pt idx="9">
                  <c:v>0.17769607843137256</c:v>
                </c:pt>
                <c:pt idx="10">
                  <c:v>0.17769607843137256</c:v>
                </c:pt>
                <c:pt idx="11">
                  <c:v>0.17769607843137256</c:v>
                </c:pt>
                <c:pt idx="12">
                  <c:v>0.17769607843137256</c:v>
                </c:pt>
                <c:pt idx="13">
                  <c:v>0.17769607843137256</c:v>
                </c:pt>
                <c:pt idx="14">
                  <c:v>0.17769607843137256</c:v>
                </c:pt>
                <c:pt idx="15">
                  <c:v>0.17769607843137256</c:v>
                </c:pt>
                <c:pt idx="16">
                  <c:v>0.17769607843137256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8B-4200-978A-FF4ABBCB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2">
                  <c:v>190880</c:v>
                </c:pt>
                <c:pt idx="3">
                  <c:v>4186</c:v>
                </c:pt>
                <c:pt idx="8">
                  <c:v>500</c:v>
                </c:pt>
                <c:pt idx="9">
                  <c:v>100</c:v>
                </c:pt>
                <c:pt idx="14">
                  <c:v>4016</c:v>
                </c:pt>
                <c:pt idx="16">
                  <c:v>59420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6-49DC-B8B0-FED50F8684DE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14448</c:v>
                </c:pt>
                <c:pt idx="1">
                  <c:v>1624</c:v>
                </c:pt>
                <c:pt idx="2">
                  <c:v>190880</c:v>
                </c:pt>
                <c:pt idx="3">
                  <c:v>4186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500</c:v>
                </c:pt>
                <c:pt idx="9">
                  <c:v>200</c:v>
                </c:pt>
                <c:pt idx="10">
                  <c:v>31820</c:v>
                </c:pt>
                <c:pt idx="11">
                  <c:v>13442</c:v>
                </c:pt>
                <c:pt idx="12">
                  <c:v>600</c:v>
                </c:pt>
                <c:pt idx="13">
                  <c:v>2769</c:v>
                </c:pt>
                <c:pt idx="14">
                  <c:v>4016</c:v>
                </c:pt>
                <c:pt idx="15">
                  <c:v>8776</c:v>
                </c:pt>
                <c:pt idx="16">
                  <c:v>59420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6-49DC-B8B0-FED50F868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88%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6%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42%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6.25E-2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0.41666666666666669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5-4426-89FC-29AB34204F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D5-4426-89FC-29AB34204F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LATCH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0.17769607843137256</c:v>
                </c:pt>
                <c:pt idx="1">
                  <c:v>0.17769607843137256</c:v>
                </c:pt>
                <c:pt idx="2">
                  <c:v>0.17769607843137256</c:v>
                </c:pt>
                <c:pt idx="3">
                  <c:v>0.17769607843137256</c:v>
                </c:pt>
                <c:pt idx="4">
                  <c:v>0.17769607843137256</c:v>
                </c:pt>
                <c:pt idx="5">
                  <c:v>0.17769607843137256</c:v>
                </c:pt>
                <c:pt idx="6">
                  <c:v>0.17769607843137256</c:v>
                </c:pt>
                <c:pt idx="7">
                  <c:v>0.17769607843137256</c:v>
                </c:pt>
                <c:pt idx="8">
                  <c:v>0.17769607843137256</c:v>
                </c:pt>
                <c:pt idx="9">
                  <c:v>0.17769607843137256</c:v>
                </c:pt>
                <c:pt idx="10">
                  <c:v>0.17769607843137256</c:v>
                </c:pt>
                <c:pt idx="11">
                  <c:v>0.17769607843137256</c:v>
                </c:pt>
                <c:pt idx="12">
                  <c:v>0.17769607843137256</c:v>
                </c:pt>
                <c:pt idx="13">
                  <c:v>0.17769607843137256</c:v>
                </c:pt>
                <c:pt idx="14">
                  <c:v>0.17769607843137256</c:v>
                </c:pt>
                <c:pt idx="15">
                  <c:v>0.17769607843137256</c:v>
                </c:pt>
                <c:pt idx="16">
                  <c:v>0.17769607843137256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5-4426-89FC-29AB3420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914-4FA6-B009-735240C0D0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4-4FA6-B009-735240C0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914-4FA6-B009-735240C0D0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4-4FA6-B009-735240C0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3192</c:v>
                </c:pt>
                <c:pt idx="3">
                  <c:v>4134</c:v>
                </c:pt>
                <c:pt idx="8">
                  <c:v>50</c:v>
                </c:pt>
                <c:pt idx="12">
                  <c:v>600</c:v>
                </c:pt>
                <c:pt idx="13">
                  <c:v>4056</c:v>
                </c:pt>
                <c:pt idx="15">
                  <c:v>63388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2-4E7F-A35E-88AD6D62B4EA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3192</c:v>
                </c:pt>
                <c:pt idx="1">
                  <c:v>1624</c:v>
                </c:pt>
                <c:pt idx="2">
                  <c:v>190880</c:v>
                </c:pt>
                <c:pt idx="3">
                  <c:v>4134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50</c:v>
                </c:pt>
                <c:pt idx="9">
                  <c:v>31820</c:v>
                </c:pt>
                <c:pt idx="10">
                  <c:v>13442</c:v>
                </c:pt>
                <c:pt idx="11">
                  <c:v>600</c:v>
                </c:pt>
                <c:pt idx="12">
                  <c:v>600</c:v>
                </c:pt>
                <c:pt idx="13">
                  <c:v>4056</c:v>
                </c:pt>
                <c:pt idx="14">
                  <c:v>8776</c:v>
                </c:pt>
                <c:pt idx="15">
                  <c:v>63388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2-4E7F-A35E-88AD6D62B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83%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83%</c:v>
                </c:pt>
                <c:pt idx="14">
                  <c:v>0%</c:v>
                </c:pt>
                <c:pt idx="15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0.83333333333333337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C-46BF-9DB6-59A0918E716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AC-46BF-9DB6-59A0918E71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0.22916666666666669</c:v>
                </c:pt>
                <c:pt idx="1">
                  <c:v>0.22916666666666669</c:v>
                </c:pt>
                <c:pt idx="2">
                  <c:v>0.22916666666666669</c:v>
                </c:pt>
                <c:pt idx="3">
                  <c:v>0.22916666666666669</c:v>
                </c:pt>
                <c:pt idx="4">
                  <c:v>0.22916666666666669</c:v>
                </c:pt>
                <c:pt idx="5">
                  <c:v>0.22916666666666669</c:v>
                </c:pt>
                <c:pt idx="6">
                  <c:v>0.22916666666666669</c:v>
                </c:pt>
                <c:pt idx="7">
                  <c:v>0.22916666666666669</c:v>
                </c:pt>
                <c:pt idx="8">
                  <c:v>0.22916666666666669</c:v>
                </c:pt>
                <c:pt idx="9">
                  <c:v>0.22916666666666669</c:v>
                </c:pt>
                <c:pt idx="10">
                  <c:v>0.22916666666666669</c:v>
                </c:pt>
                <c:pt idx="11">
                  <c:v>0.22916666666666669</c:v>
                </c:pt>
                <c:pt idx="12">
                  <c:v>0.22916666666666669</c:v>
                </c:pt>
                <c:pt idx="13">
                  <c:v>0.22916666666666669</c:v>
                </c:pt>
                <c:pt idx="14">
                  <c:v>0.22916666666666669</c:v>
                </c:pt>
                <c:pt idx="15">
                  <c:v>0.22916666666666669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AC-46BF-9DB6-59A0918E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3192</c:v>
                </c:pt>
                <c:pt idx="3">
                  <c:v>4134</c:v>
                </c:pt>
                <c:pt idx="8">
                  <c:v>50</c:v>
                </c:pt>
                <c:pt idx="12">
                  <c:v>600</c:v>
                </c:pt>
                <c:pt idx="13">
                  <c:v>4056</c:v>
                </c:pt>
                <c:pt idx="15">
                  <c:v>63388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4C9A-8E58-7231445A9CB1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3192</c:v>
                </c:pt>
                <c:pt idx="1">
                  <c:v>1624</c:v>
                </c:pt>
                <c:pt idx="2">
                  <c:v>190880</c:v>
                </c:pt>
                <c:pt idx="3">
                  <c:v>4134</c:v>
                </c:pt>
                <c:pt idx="4">
                  <c:v>4876</c:v>
                </c:pt>
                <c:pt idx="5">
                  <c:v>5627</c:v>
                </c:pt>
                <c:pt idx="6">
                  <c:v>5221</c:v>
                </c:pt>
                <c:pt idx="7">
                  <c:v>3264</c:v>
                </c:pt>
                <c:pt idx="8">
                  <c:v>50</c:v>
                </c:pt>
                <c:pt idx="9">
                  <c:v>31820</c:v>
                </c:pt>
                <c:pt idx="10">
                  <c:v>13442</c:v>
                </c:pt>
                <c:pt idx="11">
                  <c:v>600</c:v>
                </c:pt>
                <c:pt idx="12">
                  <c:v>600</c:v>
                </c:pt>
                <c:pt idx="13">
                  <c:v>4056</c:v>
                </c:pt>
                <c:pt idx="14">
                  <c:v>8776</c:v>
                </c:pt>
                <c:pt idx="15">
                  <c:v>63388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D-4C9A-8E58-7231445A9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83%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17%</c:v>
                </c:pt>
                <c:pt idx="13">
                  <c:v>83%</c:v>
                </c:pt>
                <c:pt idx="14">
                  <c:v>0%</c:v>
                </c:pt>
                <c:pt idx="15">
                  <c:v>96%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0.83333333333333337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0.16666666666666666</c:v>
                </c:pt>
                <c:pt idx="13">
                  <c:v>0.83333333333333337</c:v>
                </c:pt>
                <c:pt idx="14">
                  <c:v>0</c:v>
                </c:pt>
                <c:pt idx="15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1-4BF6-8336-C3E6C638443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21-4BF6-8336-C3E6C63844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0.22916666666666669</c:v>
                </c:pt>
                <c:pt idx="1">
                  <c:v>0.22916666666666669</c:v>
                </c:pt>
                <c:pt idx="2">
                  <c:v>0.22916666666666669</c:v>
                </c:pt>
                <c:pt idx="3">
                  <c:v>0.22916666666666669</c:v>
                </c:pt>
                <c:pt idx="4">
                  <c:v>0.22916666666666669</c:v>
                </c:pt>
                <c:pt idx="5">
                  <c:v>0.22916666666666669</c:v>
                </c:pt>
                <c:pt idx="6">
                  <c:v>0.22916666666666669</c:v>
                </c:pt>
                <c:pt idx="7">
                  <c:v>0.22916666666666669</c:v>
                </c:pt>
                <c:pt idx="8">
                  <c:v>0.22916666666666669</c:v>
                </c:pt>
                <c:pt idx="9">
                  <c:v>0.22916666666666669</c:v>
                </c:pt>
                <c:pt idx="10">
                  <c:v>0.22916666666666669</c:v>
                </c:pt>
                <c:pt idx="11">
                  <c:v>0.22916666666666669</c:v>
                </c:pt>
                <c:pt idx="12">
                  <c:v>0.22916666666666669</c:v>
                </c:pt>
                <c:pt idx="13">
                  <c:v>0.22916666666666669</c:v>
                </c:pt>
                <c:pt idx="14">
                  <c:v>0.22916666666666669</c:v>
                </c:pt>
                <c:pt idx="15">
                  <c:v>0.22916666666666669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21-4BF6-8336-C3E6C638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673-423B-8014-0FD5A2F45D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23B-8014-0FD5A2F45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673-423B-8014-0FD5A2F45D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73-423B-8014-0FD5A2F45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3401</c:v>
                </c:pt>
                <c:pt idx="3">
                  <c:v>4081</c:v>
                </c:pt>
                <c:pt idx="6">
                  <c:v>680</c:v>
                </c:pt>
                <c:pt idx="7">
                  <c:v>861</c:v>
                </c:pt>
                <c:pt idx="8">
                  <c:v>210</c:v>
                </c:pt>
                <c:pt idx="11">
                  <c:v>3140</c:v>
                </c:pt>
                <c:pt idx="16">
                  <c:v>69392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B-4E8C-89F6-9B3188D99D03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4081</c:v>
                </c:pt>
                <c:pt idx="4">
                  <c:v>4876</c:v>
                </c:pt>
                <c:pt idx="5">
                  <c:v>5627</c:v>
                </c:pt>
                <c:pt idx="6">
                  <c:v>680</c:v>
                </c:pt>
                <c:pt idx="7">
                  <c:v>861</c:v>
                </c:pt>
                <c:pt idx="8">
                  <c:v>210</c:v>
                </c:pt>
                <c:pt idx="9">
                  <c:v>50</c:v>
                </c:pt>
                <c:pt idx="10">
                  <c:v>31820</c:v>
                </c:pt>
                <c:pt idx="11">
                  <c:v>3140</c:v>
                </c:pt>
                <c:pt idx="12">
                  <c:v>600</c:v>
                </c:pt>
                <c:pt idx="13">
                  <c:v>600</c:v>
                </c:pt>
                <c:pt idx="14">
                  <c:v>4056</c:v>
                </c:pt>
                <c:pt idx="15">
                  <c:v>8776</c:v>
                </c:pt>
                <c:pt idx="16">
                  <c:v>69392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B-4E8C-89F6-9B3188D9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75%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17%</c:v>
                </c:pt>
                <c:pt idx="7">
                  <c:v>54%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33%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0.54166666666666663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617-B347-49A446F327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F6-4617-B347-49A446F327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0.22303921568627452</c:v>
                </c:pt>
                <c:pt idx="1">
                  <c:v>0.22303921568627452</c:v>
                </c:pt>
                <c:pt idx="2">
                  <c:v>0.22303921568627452</c:v>
                </c:pt>
                <c:pt idx="3">
                  <c:v>0.22303921568627452</c:v>
                </c:pt>
                <c:pt idx="4">
                  <c:v>0.22303921568627452</c:v>
                </c:pt>
                <c:pt idx="5">
                  <c:v>0.22303921568627452</c:v>
                </c:pt>
                <c:pt idx="6">
                  <c:v>0.22303921568627452</c:v>
                </c:pt>
                <c:pt idx="7">
                  <c:v>0.22303921568627452</c:v>
                </c:pt>
                <c:pt idx="8">
                  <c:v>0.22303921568627452</c:v>
                </c:pt>
                <c:pt idx="9">
                  <c:v>0.22303921568627452</c:v>
                </c:pt>
                <c:pt idx="10">
                  <c:v>0.22303921568627452</c:v>
                </c:pt>
                <c:pt idx="11">
                  <c:v>0.22303921568627452</c:v>
                </c:pt>
                <c:pt idx="12">
                  <c:v>0.22303921568627452</c:v>
                </c:pt>
                <c:pt idx="13">
                  <c:v>0.22303921568627452</c:v>
                </c:pt>
                <c:pt idx="14">
                  <c:v>0.22303921568627452</c:v>
                </c:pt>
                <c:pt idx="15">
                  <c:v>0.22303921568627452</c:v>
                </c:pt>
                <c:pt idx="16">
                  <c:v>0.22303921568627452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6-4617-B347-49A446F32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3401</c:v>
                </c:pt>
                <c:pt idx="3">
                  <c:v>4081</c:v>
                </c:pt>
                <c:pt idx="6">
                  <c:v>680</c:v>
                </c:pt>
                <c:pt idx="7">
                  <c:v>861</c:v>
                </c:pt>
                <c:pt idx="8">
                  <c:v>210</c:v>
                </c:pt>
                <c:pt idx="11">
                  <c:v>3140</c:v>
                </c:pt>
                <c:pt idx="16">
                  <c:v>69392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1-4E57-A216-248F9C34A122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4081</c:v>
                </c:pt>
                <c:pt idx="4">
                  <c:v>4876</c:v>
                </c:pt>
                <c:pt idx="5">
                  <c:v>5627</c:v>
                </c:pt>
                <c:pt idx="6">
                  <c:v>680</c:v>
                </c:pt>
                <c:pt idx="7">
                  <c:v>861</c:v>
                </c:pt>
                <c:pt idx="8">
                  <c:v>210</c:v>
                </c:pt>
                <c:pt idx="9">
                  <c:v>50</c:v>
                </c:pt>
                <c:pt idx="10">
                  <c:v>31820</c:v>
                </c:pt>
                <c:pt idx="11">
                  <c:v>3140</c:v>
                </c:pt>
                <c:pt idx="12">
                  <c:v>600</c:v>
                </c:pt>
                <c:pt idx="13">
                  <c:v>600</c:v>
                </c:pt>
                <c:pt idx="14">
                  <c:v>4056</c:v>
                </c:pt>
                <c:pt idx="15">
                  <c:v>8776</c:v>
                </c:pt>
                <c:pt idx="16">
                  <c:v>69392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1-4E57-A216-248F9C34A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75%</c:v>
                </c:pt>
                <c:pt idx="1">
                  <c:v>0%</c:v>
                </c:pt>
                <c:pt idx="2">
                  <c:v>0%</c:v>
                </c:pt>
                <c:pt idx="3">
                  <c:v>79%</c:v>
                </c:pt>
                <c:pt idx="4">
                  <c:v>0%</c:v>
                </c:pt>
                <c:pt idx="5">
                  <c:v>0%</c:v>
                </c:pt>
                <c:pt idx="6">
                  <c:v>17%</c:v>
                </c:pt>
                <c:pt idx="7">
                  <c:v>54%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33%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0.79166666666666663</c:v>
                </c:pt>
                <c:pt idx="4">
                  <c:v>0</c:v>
                </c:pt>
                <c:pt idx="5">
                  <c:v>0</c:v>
                </c:pt>
                <c:pt idx="6">
                  <c:v>0.16666666666666666</c:v>
                </c:pt>
                <c:pt idx="7">
                  <c:v>0.54166666666666663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E-4D29-9633-1ED6B18623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DE-4D29-9633-1ED6B18623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ADAPTER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0.22303921568627452</c:v>
                </c:pt>
                <c:pt idx="1">
                  <c:v>0.22303921568627452</c:v>
                </c:pt>
                <c:pt idx="2">
                  <c:v>0.22303921568627452</c:v>
                </c:pt>
                <c:pt idx="3">
                  <c:v>0.22303921568627452</c:v>
                </c:pt>
                <c:pt idx="4">
                  <c:v>0.22303921568627452</c:v>
                </c:pt>
                <c:pt idx="5">
                  <c:v>0.22303921568627452</c:v>
                </c:pt>
                <c:pt idx="6">
                  <c:v>0.22303921568627452</c:v>
                </c:pt>
                <c:pt idx="7">
                  <c:v>0.22303921568627452</c:v>
                </c:pt>
                <c:pt idx="8">
                  <c:v>0.22303921568627452</c:v>
                </c:pt>
                <c:pt idx="9">
                  <c:v>0.22303921568627452</c:v>
                </c:pt>
                <c:pt idx="10">
                  <c:v>0.22303921568627452</c:v>
                </c:pt>
                <c:pt idx="11">
                  <c:v>0.22303921568627452</c:v>
                </c:pt>
                <c:pt idx="12">
                  <c:v>0.22303921568627452</c:v>
                </c:pt>
                <c:pt idx="13">
                  <c:v>0.22303921568627452</c:v>
                </c:pt>
                <c:pt idx="14">
                  <c:v>0.22303921568627452</c:v>
                </c:pt>
                <c:pt idx="15">
                  <c:v>0.22303921568627452</c:v>
                </c:pt>
                <c:pt idx="16">
                  <c:v>0.22303921568627452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DE-4D29-9633-1ED6B1862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148-43B6-B772-87EA8A45AB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8-43B6-B772-87EA8A45A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148-43B6-B772-87EA8A45AB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48-43B6-B772-87EA8A45A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3">
                  <c:v>1344</c:v>
                </c:pt>
                <c:pt idx="8">
                  <c:v>385</c:v>
                </c:pt>
                <c:pt idx="13">
                  <c:v>842</c:v>
                </c:pt>
                <c:pt idx="15">
                  <c:v>28968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7-4E1C-A226-9F9F043949BE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1344</c:v>
                </c:pt>
                <c:pt idx="4">
                  <c:v>4876</c:v>
                </c:pt>
                <c:pt idx="5">
                  <c:v>5627</c:v>
                </c:pt>
                <c:pt idx="6">
                  <c:v>680</c:v>
                </c:pt>
                <c:pt idx="7">
                  <c:v>861</c:v>
                </c:pt>
                <c:pt idx="8">
                  <c:v>385</c:v>
                </c:pt>
                <c:pt idx="9">
                  <c:v>31820</c:v>
                </c:pt>
                <c:pt idx="10">
                  <c:v>3140</c:v>
                </c:pt>
                <c:pt idx="11">
                  <c:v>600</c:v>
                </c:pt>
                <c:pt idx="12">
                  <c:v>600</c:v>
                </c:pt>
                <c:pt idx="13">
                  <c:v>842</c:v>
                </c:pt>
                <c:pt idx="14">
                  <c:v>8776</c:v>
                </c:pt>
                <c:pt idx="15">
                  <c:v>28968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7-4E1C-A226-9F9F04394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33%</c:v>
                </c:pt>
                <c:pt idx="14">
                  <c:v>0%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0.33333333333333331</c:v>
                </c:pt>
                <c:pt idx="14">
                  <c:v>0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C-4DD5-A4E9-B233CEF968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9C-4DD5-A4E9-B233CEF968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7.5520833333333329E-2</c:v>
                </c:pt>
                <c:pt idx="1">
                  <c:v>7.5520833333333329E-2</c:v>
                </c:pt>
                <c:pt idx="2">
                  <c:v>7.5520833333333329E-2</c:v>
                </c:pt>
                <c:pt idx="3">
                  <c:v>7.5520833333333329E-2</c:v>
                </c:pt>
                <c:pt idx="4">
                  <c:v>7.5520833333333329E-2</c:v>
                </c:pt>
                <c:pt idx="5">
                  <c:v>7.5520833333333329E-2</c:v>
                </c:pt>
                <c:pt idx="6">
                  <c:v>7.5520833333333329E-2</c:v>
                </c:pt>
                <c:pt idx="7">
                  <c:v>7.5520833333333329E-2</c:v>
                </c:pt>
                <c:pt idx="8">
                  <c:v>7.5520833333333329E-2</c:v>
                </c:pt>
                <c:pt idx="9">
                  <c:v>7.5520833333333329E-2</c:v>
                </c:pt>
                <c:pt idx="10">
                  <c:v>7.5520833333333329E-2</c:v>
                </c:pt>
                <c:pt idx="11">
                  <c:v>7.5520833333333329E-2</c:v>
                </c:pt>
                <c:pt idx="12">
                  <c:v>7.5520833333333329E-2</c:v>
                </c:pt>
                <c:pt idx="13">
                  <c:v>7.5520833333333329E-2</c:v>
                </c:pt>
                <c:pt idx="14">
                  <c:v>7.5520833333333329E-2</c:v>
                </c:pt>
                <c:pt idx="15">
                  <c:v>7.5520833333333329E-2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C-4DD5-A4E9-B233CEF96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3">
                  <c:v>1344</c:v>
                </c:pt>
                <c:pt idx="8">
                  <c:v>385</c:v>
                </c:pt>
                <c:pt idx="13">
                  <c:v>842</c:v>
                </c:pt>
                <c:pt idx="15">
                  <c:v>28968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F-4EB2-9AD2-3AFFC0D2451E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1344</c:v>
                </c:pt>
                <c:pt idx="4">
                  <c:v>4876</c:v>
                </c:pt>
                <c:pt idx="5">
                  <c:v>5627</c:v>
                </c:pt>
                <c:pt idx="6">
                  <c:v>680</c:v>
                </c:pt>
                <c:pt idx="7">
                  <c:v>861</c:v>
                </c:pt>
                <c:pt idx="8">
                  <c:v>385</c:v>
                </c:pt>
                <c:pt idx="9">
                  <c:v>31820</c:v>
                </c:pt>
                <c:pt idx="10">
                  <c:v>3140</c:v>
                </c:pt>
                <c:pt idx="11">
                  <c:v>600</c:v>
                </c:pt>
                <c:pt idx="12">
                  <c:v>600</c:v>
                </c:pt>
                <c:pt idx="13">
                  <c:v>842</c:v>
                </c:pt>
                <c:pt idx="14">
                  <c:v>8776</c:v>
                </c:pt>
                <c:pt idx="15">
                  <c:v>28968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F-4EB2-9AD2-3AFFC0D2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21%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33%</c:v>
                </c:pt>
                <c:pt idx="14">
                  <c:v>0%</c:v>
                </c:pt>
                <c:pt idx="15">
                  <c:v>33%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0.20833333333333334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0.33333333333333331</c:v>
                </c:pt>
                <c:pt idx="14">
                  <c:v>0</c:v>
                </c:pt>
                <c:pt idx="1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9-46CC-8544-9F7F0BB3E0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B9-46CC-8544-9F7F0BB3E0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ADAPTER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7.5520833333333329E-2</c:v>
                </c:pt>
                <c:pt idx="1">
                  <c:v>7.5520833333333329E-2</c:v>
                </c:pt>
                <c:pt idx="2">
                  <c:v>7.5520833333333329E-2</c:v>
                </c:pt>
                <c:pt idx="3">
                  <c:v>7.5520833333333329E-2</c:v>
                </c:pt>
                <c:pt idx="4">
                  <c:v>7.5520833333333329E-2</c:v>
                </c:pt>
                <c:pt idx="5">
                  <c:v>7.5520833333333329E-2</c:v>
                </c:pt>
                <c:pt idx="6">
                  <c:v>7.5520833333333329E-2</c:v>
                </c:pt>
                <c:pt idx="7">
                  <c:v>7.5520833333333329E-2</c:v>
                </c:pt>
                <c:pt idx="8">
                  <c:v>7.5520833333333329E-2</c:v>
                </c:pt>
                <c:pt idx="9">
                  <c:v>7.5520833333333329E-2</c:v>
                </c:pt>
                <c:pt idx="10">
                  <c:v>7.5520833333333329E-2</c:v>
                </c:pt>
                <c:pt idx="11">
                  <c:v>7.5520833333333329E-2</c:v>
                </c:pt>
                <c:pt idx="12">
                  <c:v>7.5520833333333329E-2</c:v>
                </c:pt>
                <c:pt idx="13">
                  <c:v>7.5520833333333329E-2</c:v>
                </c:pt>
                <c:pt idx="14">
                  <c:v>7.5520833333333329E-2</c:v>
                </c:pt>
                <c:pt idx="15">
                  <c:v>7.5520833333333329E-2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9-46CC-8544-9F7F0BB3E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505-4D9C-867A-E044118BFE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5-4D9C-867A-E044118B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05-4D9C-867A-E044118BFE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05-4D9C-867A-E044118B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3">
                  <c:v>2695</c:v>
                </c:pt>
                <c:pt idx="5">
                  <c:v>7995</c:v>
                </c:pt>
                <c:pt idx="8">
                  <c:v>275</c:v>
                </c:pt>
                <c:pt idx="10">
                  <c:v>8796</c:v>
                </c:pt>
                <c:pt idx="11">
                  <c:v>1657</c:v>
                </c:pt>
                <c:pt idx="15">
                  <c:v>33256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D-4AD1-ADAB-741FE7CA53D6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2695</c:v>
                </c:pt>
                <c:pt idx="4">
                  <c:v>4876</c:v>
                </c:pt>
                <c:pt idx="5">
                  <c:v>7995</c:v>
                </c:pt>
                <c:pt idx="6">
                  <c:v>680</c:v>
                </c:pt>
                <c:pt idx="7">
                  <c:v>861</c:v>
                </c:pt>
                <c:pt idx="8">
                  <c:v>275</c:v>
                </c:pt>
                <c:pt idx="9">
                  <c:v>31820</c:v>
                </c:pt>
                <c:pt idx="10">
                  <c:v>8796</c:v>
                </c:pt>
                <c:pt idx="11">
                  <c:v>1657</c:v>
                </c:pt>
                <c:pt idx="12">
                  <c:v>600</c:v>
                </c:pt>
                <c:pt idx="13">
                  <c:v>842</c:v>
                </c:pt>
                <c:pt idx="14">
                  <c:v>8776</c:v>
                </c:pt>
                <c:pt idx="15">
                  <c:v>33256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D-4AD1-ADAB-741FE7CA5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0%</c:v>
                </c:pt>
                <c:pt idx="10">
                  <c:v>50%</c:v>
                </c:pt>
                <c:pt idx="11">
                  <c:v>38%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0.5</c:v>
                </c:pt>
                <c:pt idx="11">
                  <c:v>0.375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8-4B22-8C92-A98F4970626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B8-4B22-8C92-A98F497062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0.1640625</c:v>
                </c:pt>
                <c:pt idx="1">
                  <c:v>0.1640625</c:v>
                </c:pt>
                <c:pt idx="2">
                  <c:v>0.1640625</c:v>
                </c:pt>
                <c:pt idx="3">
                  <c:v>0.1640625</c:v>
                </c:pt>
                <c:pt idx="4">
                  <c:v>0.1640625</c:v>
                </c:pt>
                <c:pt idx="5">
                  <c:v>0.1640625</c:v>
                </c:pt>
                <c:pt idx="6">
                  <c:v>0.1640625</c:v>
                </c:pt>
                <c:pt idx="7">
                  <c:v>0.1640625</c:v>
                </c:pt>
                <c:pt idx="8">
                  <c:v>0.1640625</c:v>
                </c:pt>
                <c:pt idx="9">
                  <c:v>0.1640625</c:v>
                </c:pt>
                <c:pt idx="10">
                  <c:v>0.1640625</c:v>
                </c:pt>
                <c:pt idx="11">
                  <c:v>0.1640625</c:v>
                </c:pt>
                <c:pt idx="12">
                  <c:v>0.1640625</c:v>
                </c:pt>
                <c:pt idx="13">
                  <c:v>0.1640625</c:v>
                </c:pt>
                <c:pt idx="14">
                  <c:v>0.1640625</c:v>
                </c:pt>
                <c:pt idx="15">
                  <c:v>0.1640625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8-4B22-8C92-A98F49706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3">
                  <c:v>2695</c:v>
                </c:pt>
                <c:pt idx="5">
                  <c:v>7995</c:v>
                </c:pt>
                <c:pt idx="8">
                  <c:v>275</c:v>
                </c:pt>
                <c:pt idx="10">
                  <c:v>8796</c:v>
                </c:pt>
                <c:pt idx="11">
                  <c:v>1657</c:v>
                </c:pt>
                <c:pt idx="15">
                  <c:v>33256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4-4172-AE0C-5042E4312C77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1624</c:v>
                </c:pt>
                <c:pt idx="2">
                  <c:v>190880</c:v>
                </c:pt>
                <c:pt idx="3">
                  <c:v>2695</c:v>
                </c:pt>
                <c:pt idx="4">
                  <c:v>4876</c:v>
                </c:pt>
                <c:pt idx="5">
                  <c:v>7995</c:v>
                </c:pt>
                <c:pt idx="6">
                  <c:v>680</c:v>
                </c:pt>
                <c:pt idx="7">
                  <c:v>861</c:v>
                </c:pt>
                <c:pt idx="8">
                  <c:v>275</c:v>
                </c:pt>
                <c:pt idx="9">
                  <c:v>31820</c:v>
                </c:pt>
                <c:pt idx="10">
                  <c:v>8796</c:v>
                </c:pt>
                <c:pt idx="11">
                  <c:v>1657</c:v>
                </c:pt>
                <c:pt idx="12">
                  <c:v>600</c:v>
                </c:pt>
                <c:pt idx="13">
                  <c:v>842</c:v>
                </c:pt>
                <c:pt idx="14">
                  <c:v>8776</c:v>
                </c:pt>
                <c:pt idx="15">
                  <c:v>33256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4-4172-AE0C-5042E4312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0%</c:v>
                </c:pt>
                <c:pt idx="8">
                  <c:v>25%</c:v>
                </c:pt>
                <c:pt idx="9">
                  <c:v>0%</c:v>
                </c:pt>
                <c:pt idx="10">
                  <c:v>50%</c:v>
                </c:pt>
                <c:pt idx="11">
                  <c:v>38%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0.5</c:v>
                </c:pt>
                <c:pt idx="11">
                  <c:v>0.375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7-4467-8D15-94C67AC105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E7-4467-8D15-94C67AC105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0.1640625</c:v>
                </c:pt>
                <c:pt idx="1">
                  <c:v>0.1640625</c:v>
                </c:pt>
                <c:pt idx="2">
                  <c:v>0.1640625</c:v>
                </c:pt>
                <c:pt idx="3">
                  <c:v>0.1640625</c:v>
                </c:pt>
                <c:pt idx="4">
                  <c:v>0.1640625</c:v>
                </c:pt>
                <c:pt idx="5">
                  <c:v>0.1640625</c:v>
                </c:pt>
                <c:pt idx="6">
                  <c:v>0.1640625</c:v>
                </c:pt>
                <c:pt idx="7">
                  <c:v>0.1640625</c:v>
                </c:pt>
                <c:pt idx="8">
                  <c:v>0.1640625</c:v>
                </c:pt>
                <c:pt idx="9">
                  <c:v>0.1640625</c:v>
                </c:pt>
                <c:pt idx="10">
                  <c:v>0.1640625</c:v>
                </c:pt>
                <c:pt idx="11">
                  <c:v>0.1640625</c:v>
                </c:pt>
                <c:pt idx="12">
                  <c:v>0.1640625</c:v>
                </c:pt>
                <c:pt idx="13">
                  <c:v>0.1640625</c:v>
                </c:pt>
                <c:pt idx="14">
                  <c:v>0.1640625</c:v>
                </c:pt>
                <c:pt idx="15">
                  <c:v>0.1640625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E7-4467-8D15-94C67AC10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D7E-4B5A-AF6C-138E9AA72E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E-4B5A-AF6C-138E9AA72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D7E-4B5A-AF6C-138E9AA72E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7E-4B5A-AF6C-138E9AA72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1633</c:v>
                </c:pt>
                <c:pt idx="2">
                  <c:v>2416</c:v>
                </c:pt>
                <c:pt idx="3">
                  <c:v>2818</c:v>
                </c:pt>
                <c:pt idx="5">
                  <c:v>10959</c:v>
                </c:pt>
                <c:pt idx="7">
                  <c:v>3300</c:v>
                </c:pt>
                <c:pt idx="10">
                  <c:v>9536</c:v>
                </c:pt>
                <c:pt idx="11">
                  <c:v>9918</c:v>
                </c:pt>
                <c:pt idx="14">
                  <c:v>582</c:v>
                </c:pt>
                <c:pt idx="15">
                  <c:v>34460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B-4E27-A9FA-5CF55AC95EBD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1633</c:v>
                </c:pt>
                <c:pt idx="2">
                  <c:v>2416</c:v>
                </c:pt>
                <c:pt idx="3">
                  <c:v>2818</c:v>
                </c:pt>
                <c:pt idx="4">
                  <c:v>4876</c:v>
                </c:pt>
                <c:pt idx="5">
                  <c:v>10959</c:v>
                </c:pt>
                <c:pt idx="6">
                  <c:v>680</c:v>
                </c:pt>
                <c:pt idx="7">
                  <c:v>3300</c:v>
                </c:pt>
                <c:pt idx="8">
                  <c:v>275</c:v>
                </c:pt>
                <c:pt idx="9">
                  <c:v>31820</c:v>
                </c:pt>
                <c:pt idx="10">
                  <c:v>9536</c:v>
                </c:pt>
                <c:pt idx="11">
                  <c:v>9918</c:v>
                </c:pt>
                <c:pt idx="12">
                  <c:v>600</c:v>
                </c:pt>
                <c:pt idx="13">
                  <c:v>842</c:v>
                </c:pt>
                <c:pt idx="14">
                  <c:v>582</c:v>
                </c:pt>
                <c:pt idx="15">
                  <c:v>34460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B-4E27-A9FA-5CF55AC95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33%</c:v>
                </c:pt>
                <c:pt idx="2">
                  <c:v>33%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50%</c:v>
                </c:pt>
                <c:pt idx="12">
                  <c:v>0%</c:v>
                </c:pt>
                <c:pt idx="13">
                  <c:v>0%</c:v>
                </c:pt>
                <c:pt idx="14">
                  <c:v>17%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0.16666666666666666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9-4237-84DF-D7B48EEA43A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C9-4237-84DF-D7B48EEA43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0.22395833333333331</c:v>
                </c:pt>
                <c:pt idx="1">
                  <c:v>0.22395833333333331</c:v>
                </c:pt>
                <c:pt idx="2">
                  <c:v>0.22395833333333331</c:v>
                </c:pt>
                <c:pt idx="3">
                  <c:v>0.22395833333333331</c:v>
                </c:pt>
                <c:pt idx="4">
                  <c:v>0.22395833333333331</c:v>
                </c:pt>
                <c:pt idx="5">
                  <c:v>0.22395833333333331</c:v>
                </c:pt>
                <c:pt idx="6">
                  <c:v>0.22395833333333331</c:v>
                </c:pt>
                <c:pt idx="7">
                  <c:v>0.22395833333333331</c:v>
                </c:pt>
                <c:pt idx="8">
                  <c:v>0.22395833333333331</c:v>
                </c:pt>
                <c:pt idx="9">
                  <c:v>0.22395833333333331</c:v>
                </c:pt>
                <c:pt idx="10">
                  <c:v>0.22395833333333331</c:v>
                </c:pt>
                <c:pt idx="11">
                  <c:v>0.22395833333333331</c:v>
                </c:pt>
                <c:pt idx="12">
                  <c:v>0.22395833333333331</c:v>
                </c:pt>
                <c:pt idx="13">
                  <c:v>0.22395833333333331</c:v>
                </c:pt>
                <c:pt idx="14">
                  <c:v>0.22395833333333331</c:v>
                </c:pt>
                <c:pt idx="15">
                  <c:v>0.22395833333333331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9-4237-84DF-D7B48EEA4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1633</c:v>
                </c:pt>
                <c:pt idx="2">
                  <c:v>2416</c:v>
                </c:pt>
                <c:pt idx="3">
                  <c:v>2818</c:v>
                </c:pt>
                <c:pt idx="5">
                  <c:v>10959</c:v>
                </c:pt>
                <c:pt idx="7">
                  <c:v>3300</c:v>
                </c:pt>
                <c:pt idx="10">
                  <c:v>9536</c:v>
                </c:pt>
                <c:pt idx="11">
                  <c:v>9918</c:v>
                </c:pt>
                <c:pt idx="14">
                  <c:v>582</c:v>
                </c:pt>
                <c:pt idx="15">
                  <c:v>34460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3-4613-9A7A-D34C6FB33F93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1633</c:v>
                </c:pt>
                <c:pt idx="2">
                  <c:v>2416</c:v>
                </c:pt>
                <c:pt idx="3">
                  <c:v>2818</c:v>
                </c:pt>
                <c:pt idx="4">
                  <c:v>4876</c:v>
                </c:pt>
                <c:pt idx="5">
                  <c:v>10959</c:v>
                </c:pt>
                <c:pt idx="6">
                  <c:v>680</c:v>
                </c:pt>
                <c:pt idx="7">
                  <c:v>3300</c:v>
                </c:pt>
                <c:pt idx="8">
                  <c:v>275</c:v>
                </c:pt>
                <c:pt idx="9">
                  <c:v>31820</c:v>
                </c:pt>
                <c:pt idx="10">
                  <c:v>9536</c:v>
                </c:pt>
                <c:pt idx="11">
                  <c:v>9918</c:v>
                </c:pt>
                <c:pt idx="12">
                  <c:v>600</c:v>
                </c:pt>
                <c:pt idx="13">
                  <c:v>842</c:v>
                </c:pt>
                <c:pt idx="14">
                  <c:v>582</c:v>
                </c:pt>
                <c:pt idx="15">
                  <c:v>34460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3-4613-9A7A-D34C6FB33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33%</c:v>
                </c:pt>
                <c:pt idx="2">
                  <c:v>33%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50%</c:v>
                </c:pt>
                <c:pt idx="12">
                  <c:v>0%</c:v>
                </c:pt>
                <c:pt idx="13">
                  <c:v>0%</c:v>
                </c:pt>
                <c:pt idx="14">
                  <c:v>17%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0</c:v>
                </c:pt>
                <c:pt idx="13">
                  <c:v>0</c:v>
                </c:pt>
                <c:pt idx="14">
                  <c:v>0.16666666666666666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B-456C-BE25-61123CB877C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6B-456C-BE25-61123CB877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0.22395833333333331</c:v>
                </c:pt>
                <c:pt idx="1">
                  <c:v>0.22395833333333331</c:v>
                </c:pt>
                <c:pt idx="2">
                  <c:v>0.22395833333333331</c:v>
                </c:pt>
                <c:pt idx="3">
                  <c:v>0.22395833333333331</c:v>
                </c:pt>
                <c:pt idx="4">
                  <c:v>0.22395833333333331</c:v>
                </c:pt>
                <c:pt idx="5">
                  <c:v>0.22395833333333331</c:v>
                </c:pt>
                <c:pt idx="6">
                  <c:v>0.22395833333333331</c:v>
                </c:pt>
                <c:pt idx="7">
                  <c:v>0.22395833333333331</c:v>
                </c:pt>
                <c:pt idx="8">
                  <c:v>0.22395833333333331</c:v>
                </c:pt>
                <c:pt idx="9">
                  <c:v>0.22395833333333331</c:v>
                </c:pt>
                <c:pt idx="10">
                  <c:v>0.22395833333333331</c:v>
                </c:pt>
                <c:pt idx="11">
                  <c:v>0.22395833333333331</c:v>
                </c:pt>
                <c:pt idx="12">
                  <c:v>0.22395833333333331</c:v>
                </c:pt>
                <c:pt idx="13">
                  <c:v>0.22395833333333331</c:v>
                </c:pt>
                <c:pt idx="14">
                  <c:v>0.22395833333333331</c:v>
                </c:pt>
                <c:pt idx="15">
                  <c:v>0.22395833333333331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6B-456C-BE25-61123CB87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84-4FD8-A082-05699B5FB0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4-4FD8-A082-05699B5F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684-4FD8-A082-05699B5FB0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84-4FD8-A082-05699B5FB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5441</c:v>
                </c:pt>
                <c:pt idx="2">
                  <c:v>8858</c:v>
                </c:pt>
                <c:pt idx="3">
                  <c:v>1363</c:v>
                </c:pt>
                <c:pt idx="5">
                  <c:v>19650</c:v>
                </c:pt>
                <c:pt idx="6">
                  <c:v>5135</c:v>
                </c:pt>
                <c:pt idx="7">
                  <c:v>22068</c:v>
                </c:pt>
                <c:pt idx="10">
                  <c:v>5660</c:v>
                </c:pt>
                <c:pt idx="11">
                  <c:v>17475</c:v>
                </c:pt>
                <c:pt idx="14">
                  <c:v>5215</c:v>
                </c:pt>
                <c:pt idx="15">
                  <c:v>34384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4-4E98-9AAB-CC40E064A42D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5441</c:v>
                </c:pt>
                <c:pt idx="2">
                  <c:v>8858</c:v>
                </c:pt>
                <c:pt idx="3">
                  <c:v>1363</c:v>
                </c:pt>
                <c:pt idx="4">
                  <c:v>4876</c:v>
                </c:pt>
                <c:pt idx="5">
                  <c:v>19650</c:v>
                </c:pt>
                <c:pt idx="6">
                  <c:v>5135</c:v>
                </c:pt>
                <c:pt idx="7">
                  <c:v>22068</c:v>
                </c:pt>
                <c:pt idx="8">
                  <c:v>275</c:v>
                </c:pt>
                <c:pt idx="9">
                  <c:v>31820</c:v>
                </c:pt>
                <c:pt idx="10">
                  <c:v>5660</c:v>
                </c:pt>
                <c:pt idx="11">
                  <c:v>17475</c:v>
                </c:pt>
                <c:pt idx="12">
                  <c:v>600</c:v>
                </c:pt>
                <c:pt idx="13">
                  <c:v>842</c:v>
                </c:pt>
                <c:pt idx="14">
                  <c:v>5215</c:v>
                </c:pt>
                <c:pt idx="15">
                  <c:v>34384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4-4E98-9AAB-CC40E064A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25%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33%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9-4030-AFFB-CBE6F66111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89-4030-AFFB-CBE6F66111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89-4030-AFFB-CBE6F661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5441</c:v>
                </c:pt>
                <c:pt idx="2">
                  <c:v>8858</c:v>
                </c:pt>
                <c:pt idx="3">
                  <c:v>1363</c:v>
                </c:pt>
                <c:pt idx="5">
                  <c:v>19650</c:v>
                </c:pt>
                <c:pt idx="6">
                  <c:v>5135</c:v>
                </c:pt>
                <c:pt idx="7">
                  <c:v>22068</c:v>
                </c:pt>
                <c:pt idx="10">
                  <c:v>5660</c:v>
                </c:pt>
                <c:pt idx="11">
                  <c:v>17475</c:v>
                </c:pt>
                <c:pt idx="14">
                  <c:v>5215</c:v>
                </c:pt>
                <c:pt idx="15">
                  <c:v>34384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4-4811-AFA4-626FF93076FF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5441</c:v>
                </c:pt>
                <c:pt idx="2">
                  <c:v>8858</c:v>
                </c:pt>
                <c:pt idx="3">
                  <c:v>1363</c:v>
                </c:pt>
                <c:pt idx="4">
                  <c:v>4876</c:v>
                </c:pt>
                <c:pt idx="5">
                  <c:v>19650</c:v>
                </c:pt>
                <c:pt idx="6">
                  <c:v>5135</c:v>
                </c:pt>
                <c:pt idx="7">
                  <c:v>22068</c:v>
                </c:pt>
                <c:pt idx="8">
                  <c:v>275</c:v>
                </c:pt>
                <c:pt idx="9">
                  <c:v>31820</c:v>
                </c:pt>
                <c:pt idx="10">
                  <c:v>5660</c:v>
                </c:pt>
                <c:pt idx="11">
                  <c:v>17475</c:v>
                </c:pt>
                <c:pt idx="12">
                  <c:v>600</c:v>
                </c:pt>
                <c:pt idx="13">
                  <c:v>842</c:v>
                </c:pt>
                <c:pt idx="14">
                  <c:v>5215</c:v>
                </c:pt>
                <c:pt idx="15">
                  <c:v>34384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4-4811-AFA4-626FF930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25%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33%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9-4A5A-88CA-F42E51648E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49-4A5A-88CA-F42E51648E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BASE</c:v>
                </c:pt>
                <c:pt idx="13">
                  <c:v>STOPPPER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0.50520833333333326</c:v>
                </c:pt>
                <c:pt idx="1">
                  <c:v>0.50520833333333326</c:v>
                </c:pt>
                <c:pt idx="2">
                  <c:v>0.50520833333333326</c:v>
                </c:pt>
                <c:pt idx="3">
                  <c:v>0.50520833333333326</c:v>
                </c:pt>
                <c:pt idx="4">
                  <c:v>0.50520833333333326</c:v>
                </c:pt>
                <c:pt idx="5">
                  <c:v>0.50520833333333326</c:v>
                </c:pt>
                <c:pt idx="6">
                  <c:v>0.50520833333333326</c:v>
                </c:pt>
                <c:pt idx="7">
                  <c:v>0.50520833333333326</c:v>
                </c:pt>
                <c:pt idx="8">
                  <c:v>0.50520833333333326</c:v>
                </c:pt>
                <c:pt idx="9">
                  <c:v>0.50520833333333326</c:v>
                </c:pt>
                <c:pt idx="10">
                  <c:v>0.50520833333333326</c:v>
                </c:pt>
                <c:pt idx="11">
                  <c:v>0.50520833333333326</c:v>
                </c:pt>
                <c:pt idx="12">
                  <c:v>0.50520833333333326</c:v>
                </c:pt>
                <c:pt idx="13">
                  <c:v>0.50520833333333326</c:v>
                </c:pt>
                <c:pt idx="14">
                  <c:v>0.50520833333333326</c:v>
                </c:pt>
                <c:pt idx="15">
                  <c:v>0.50520833333333326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49-4A5A-88CA-F42E51648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355-4996-90C4-0E2AB20640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5-4996-90C4-0E2AB206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55-4996-90C4-0E2AB20640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5-4996-90C4-0E2AB206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5677</c:v>
                </c:pt>
                <c:pt idx="2">
                  <c:v>9242</c:v>
                </c:pt>
                <c:pt idx="3">
                  <c:v>3398</c:v>
                </c:pt>
                <c:pt idx="5">
                  <c:v>21906</c:v>
                </c:pt>
                <c:pt idx="6">
                  <c:v>5549</c:v>
                </c:pt>
                <c:pt idx="7">
                  <c:v>15216</c:v>
                </c:pt>
                <c:pt idx="10">
                  <c:v>12138</c:v>
                </c:pt>
                <c:pt idx="11">
                  <c:v>18603</c:v>
                </c:pt>
                <c:pt idx="12">
                  <c:v>3150</c:v>
                </c:pt>
                <c:pt idx="13">
                  <c:v>576</c:v>
                </c:pt>
                <c:pt idx="14">
                  <c:v>5575</c:v>
                </c:pt>
                <c:pt idx="15">
                  <c:v>70208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6-4FB2-80A5-ADC1CB6A176D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5677</c:v>
                </c:pt>
                <c:pt idx="2">
                  <c:v>9242</c:v>
                </c:pt>
                <c:pt idx="3">
                  <c:v>3398</c:v>
                </c:pt>
                <c:pt idx="4">
                  <c:v>4876</c:v>
                </c:pt>
                <c:pt idx="5">
                  <c:v>21906</c:v>
                </c:pt>
                <c:pt idx="6">
                  <c:v>5549</c:v>
                </c:pt>
                <c:pt idx="7">
                  <c:v>15216</c:v>
                </c:pt>
                <c:pt idx="8">
                  <c:v>275</c:v>
                </c:pt>
                <c:pt idx="9">
                  <c:v>31820</c:v>
                </c:pt>
                <c:pt idx="10">
                  <c:v>12138</c:v>
                </c:pt>
                <c:pt idx="11">
                  <c:v>18603</c:v>
                </c:pt>
                <c:pt idx="12">
                  <c:v>3150</c:v>
                </c:pt>
                <c:pt idx="13">
                  <c:v>576</c:v>
                </c:pt>
                <c:pt idx="14">
                  <c:v>5575</c:v>
                </c:pt>
                <c:pt idx="15">
                  <c:v>70208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6-4FB2-80A5-ADC1CB6A1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75%</c:v>
                </c:pt>
                <c:pt idx="13">
                  <c:v>33%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0.75</c:v>
                </c:pt>
                <c:pt idx="13">
                  <c:v>0.33333333333333331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2-4D58-B686-5514AA2D32A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02-4D58-B686-5514AA2D32A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0.65364583333333337</c:v>
                </c:pt>
                <c:pt idx="1">
                  <c:v>0.65364583333333337</c:v>
                </c:pt>
                <c:pt idx="2">
                  <c:v>0.65364583333333337</c:v>
                </c:pt>
                <c:pt idx="3">
                  <c:v>0.65364583333333337</c:v>
                </c:pt>
                <c:pt idx="4">
                  <c:v>0.65364583333333337</c:v>
                </c:pt>
                <c:pt idx="5">
                  <c:v>0.65364583333333337</c:v>
                </c:pt>
                <c:pt idx="6">
                  <c:v>0.65364583333333337</c:v>
                </c:pt>
                <c:pt idx="7">
                  <c:v>0.65364583333333337</c:v>
                </c:pt>
                <c:pt idx="8">
                  <c:v>0.65364583333333337</c:v>
                </c:pt>
                <c:pt idx="9">
                  <c:v>0.65364583333333337</c:v>
                </c:pt>
                <c:pt idx="10">
                  <c:v>0.65364583333333337</c:v>
                </c:pt>
                <c:pt idx="11">
                  <c:v>0.65364583333333337</c:v>
                </c:pt>
                <c:pt idx="12">
                  <c:v>0.65364583333333337</c:v>
                </c:pt>
                <c:pt idx="13">
                  <c:v>0.65364583333333337</c:v>
                </c:pt>
                <c:pt idx="14">
                  <c:v>0.65364583333333337</c:v>
                </c:pt>
                <c:pt idx="15">
                  <c:v>0.65364583333333337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02-4D58-B686-5514AA2D3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5677</c:v>
                </c:pt>
                <c:pt idx="2">
                  <c:v>9242</c:v>
                </c:pt>
                <c:pt idx="3">
                  <c:v>3398</c:v>
                </c:pt>
                <c:pt idx="5">
                  <c:v>21906</c:v>
                </c:pt>
                <c:pt idx="6">
                  <c:v>5549</c:v>
                </c:pt>
                <c:pt idx="7">
                  <c:v>15216</c:v>
                </c:pt>
                <c:pt idx="10">
                  <c:v>12138</c:v>
                </c:pt>
                <c:pt idx="11">
                  <c:v>18603</c:v>
                </c:pt>
                <c:pt idx="12">
                  <c:v>3150</c:v>
                </c:pt>
                <c:pt idx="13">
                  <c:v>576</c:v>
                </c:pt>
                <c:pt idx="14">
                  <c:v>5575</c:v>
                </c:pt>
                <c:pt idx="15">
                  <c:v>70208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3-4A30-8FB0-2F3CB23273A6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5677</c:v>
                </c:pt>
                <c:pt idx="2">
                  <c:v>9242</c:v>
                </c:pt>
                <c:pt idx="3">
                  <c:v>3398</c:v>
                </c:pt>
                <c:pt idx="4">
                  <c:v>4876</c:v>
                </c:pt>
                <c:pt idx="5">
                  <c:v>21906</c:v>
                </c:pt>
                <c:pt idx="6">
                  <c:v>5549</c:v>
                </c:pt>
                <c:pt idx="7">
                  <c:v>15216</c:v>
                </c:pt>
                <c:pt idx="8">
                  <c:v>275</c:v>
                </c:pt>
                <c:pt idx="9">
                  <c:v>31820</c:v>
                </c:pt>
                <c:pt idx="10">
                  <c:v>12138</c:v>
                </c:pt>
                <c:pt idx="11">
                  <c:v>18603</c:v>
                </c:pt>
                <c:pt idx="12">
                  <c:v>3150</c:v>
                </c:pt>
                <c:pt idx="13">
                  <c:v>576</c:v>
                </c:pt>
                <c:pt idx="14">
                  <c:v>5575</c:v>
                </c:pt>
                <c:pt idx="15">
                  <c:v>70208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3-4A30-8FB0-2F3CB2327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75%</c:v>
                </c:pt>
                <c:pt idx="13">
                  <c:v>33%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0.75</c:v>
                </c:pt>
                <c:pt idx="13">
                  <c:v>0.33333333333333331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5-4A35-9C48-88CAC944397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85-4A35-9C48-88CAC94439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0.65364583333333337</c:v>
                </c:pt>
                <c:pt idx="1">
                  <c:v>0.65364583333333337</c:v>
                </c:pt>
                <c:pt idx="2">
                  <c:v>0.65364583333333337</c:v>
                </c:pt>
                <c:pt idx="3">
                  <c:v>0.65364583333333337</c:v>
                </c:pt>
                <c:pt idx="4">
                  <c:v>0.65364583333333337</c:v>
                </c:pt>
                <c:pt idx="5">
                  <c:v>0.65364583333333337</c:v>
                </c:pt>
                <c:pt idx="6">
                  <c:v>0.65364583333333337</c:v>
                </c:pt>
                <c:pt idx="7">
                  <c:v>0.65364583333333337</c:v>
                </c:pt>
                <c:pt idx="8">
                  <c:v>0.65364583333333337</c:v>
                </c:pt>
                <c:pt idx="9">
                  <c:v>0.65364583333333337</c:v>
                </c:pt>
                <c:pt idx="10">
                  <c:v>0.65364583333333337</c:v>
                </c:pt>
                <c:pt idx="11">
                  <c:v>0.65364583333333337</c:v>
                </c:pt>
                <c:pt idx="12">
                  <c:v>0.65364583333333337</c:v>
                </c:pt>
                <c:pt idx="13">
                  <c:v>0.65364583333333337</c:v>
                </c:pt>
                <c:pt idx="14">
                  <c:v>0.65364583333333337</c:v>
                </c:pt>
                <c:pt idx="15">
                  <c:v>0.65364583333333337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85-4A35-9C48-88CAC9443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C7E-4A8C-B834-8B4DFB4BCA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7E-4A8C-B834-8B4DFB4BC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C7E-4A8C-B834-8B4DFB4BCA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7E-4A8C-B834-8B4DFB4BC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5958</c:v>
                </c:pt>
                <c:pt idx="2">
                  <c:v>9102</c:v>
                </c:pt>
                <c:pt idx="3">
                  <c:v>4807</c:v>
                </c:pt>
                <c:pt idx="5">
                  <c:v>22581</c:v>
                </c:pt>
                <c:pt idx="6">
                  <c:v>5689</c:v>
                </c:pt>
                <c:pt idx="10">
                  <c:v>18972</c:v>
                </c:pt>
                <c:pt idx="11">
                  <c:v>19137</c:v>
                </c:pt>
                <c:pt idx="13">
                  <c:v>5613</c:v>
                </c:pt>
                <c:pt idx="14">
                  <c:v>2206</c:v>
                </c:pt>
                <c:pt idx="15">
                  <c:v>69780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5-476F-A93F-4EE9104C4C57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5958</c:v>
                </c:pt>
                <c:pt idx="2">
                  <c:v>9102</c:v>
                </c:pt>
                <c:pt idx="3">
                  <c:v>4807</c:v>
                </c:pt>
                <c:pt idx="4">
                  <c:v>4876</c:v>
                </c:pt>
                <c:pt idx="5">
                  <c:v>22581</c:v>
                </c:pt>
                <c:pt idx="6">
                  <c:v>5689</c:v>
                </c:pt>
                <c:pt idx="7">
                  <c:v>15216</c:v>
                </c:pt>
                <c:pt idx="8">
                  <c:v>275</c:v>
                </c:pt>
                <c:pt idx="9">
                  <c:v>31820</c:v>
                </c:pt>
                <c:pt idx="10">
                  <c:v>18972</c:v>
                </c:pt>
                <c:pt idx="11">
                  <c:v>19137</c:v>
                </c:pt>
                <c:pt idx="12">
                  <c:v>3150</c:v>
                </c:pt>
                <c:pt idx="13">
                  <c:v>5613</c:v>
                </c:pt>
                <c:pt idx="14">
                  <c:v>2206</c:v>
                </c:pt>
                <c:pt idx="15">
                  <c:v>69780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5-476F-A93F-4EE9104C4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88%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46%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0.875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0.45833333333333331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2-4872-BA8F-4CE733791E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B2-4872-BA8F-4CE733791E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0.58072916666666663</c:v>
                </c:pt>
                <c:pt idx="1">
                  <c:v>0.58072916666666663</c:v>
                </c:pt>
                <c:pt idx="2">
                  <c:v>0.58072916666666663</c:v>
                </c:pt>
                <c:pt idx="3">
                  <c:v>0.58072916666666663</c:v>
                </c:pt>
                <c:pt idx="4">
                  <c:v>0.58072916666666663</c:v>
                </c:pt>
                <c:pt idx="5">
                  <c:v>0.58072916666666663</c:v>
                </c:pt>
                <c:pt idx="6">
                  <c:v>0.58072916666666663</c:v>
                </c:pt>
                <c:pt idx="7">
                  <c:v>0.58072916666666663</c:v>
                </c:pt>
                <c:pt idx="8">
                  <c:v>0.58072916666666663</c:v>
                </c:pt>
                <c:pt idx="9">
                  <c:v>0.58072916666666663</c:v>
                </c:pt>
                <c:pt idx="10">
                  <c:v>0.58072916666666663</c:v>
                </c:pt>
                <c:pt idx="11">
                  <c:v>0.58072916666666663</c:v>
                </c:pt>
                <c:pt idx="12">
                  <c:v>0.58072916666666663</c:v>
                </c:pt>
                <c:pt idx="13">
                  <c:v>0.58072916666666663</c:v>
                </c:pt>
                <c:pt idx="14">
                  <c:v>0.58072916666666663</c:v>
                </c:pt>
                <c:pt idx="15">
                  <c:v>0.58072916666666663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B2-4872-BA8F-4CE733791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5958</c:v>
                </c:pt>
                <c:pt idx="2">
                  <c:v>9102</c:v>
                </c:pt>
                <c:pt idx="3">
                  <c:v>4807</c:v>
                </c:pt>
                <c:pt idx="5">
                  <c:v>22581</c:v>
                </c:pt>
                <c:pt idx="6">
                  <c:v>5689</c:v>
                </c:pt>
                <c:pt idx="10">
                  <c:v>18972</c:v>
                </c:pt>
                <c:pt idx="11">
                  <c:v>19137</c:v>
                </c:pt>
                <c:pt idx="13">
                  <c:v>5613</c:v>
                </c:pt>
                <c:pt idx="14">
                  <c:v>2206</c:v>
                </c:pt>
                <c:pt idx="15">
                  <c:v>69780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4-4868-9679-153DB545B3C7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5958</c:v>
                </c:pt>
                <c:pt idx="2">
                  <c:v>9102</c:v>
                </c:pt>
                <c:pt idx="3">
                  <c:v>4807</c:v>
                </c:pt>
                <c:pt idx="4">
                  <c:v>4876</c:v>
                </c:pt>
                <c:pt idx="5">
                  <c:v>22581</c:v>
                </c:pt>
                <c:pt idx="6">
                  <c:v>5689</c:v>
                </c:pt>
                <c:pt idx="7">
                  <c:v>15216</c:v>
                </c:pt>
                <c:pt idx="8">
                  <c:v>275</c:v>
                </c:pt>
                <c:pt idx="9">
                  <c:v>31820</c:v>
                </c:pt>
                <c:pt idx="10">
                  <c:v>18972</c:v>
                </c:pt>
                <c:pt idx="11">
                  <c:v>19137</c:v>
                </c:pt>
                <c:pt idx="12">
                  <c:v>3150</c:v>
                </c:pt>
                <c:pt idx="13">
                  <c:v>5613</c:v>
                </c:pt>
                <c:pt idx="14">
                  <c:v>2206</c:v>
                </c:pt>
                <c:pt idx="15">
                  <c:v>69780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4-4868-9679-153DB545B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88%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96%</c:v>
                </c:pt>
                <c:pt idx="14">
                  <c:v>46%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0.875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0.95833333333333337</c:v>
                </c:pt>
                <c:pt idx="14">
                  <c:v>0.45833333333333331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0-4D5D-ACFE-7754CFFBC9F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30-4D5D-ACFE-7754CFFBC9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0.58072916666666663</c:v>
                </c:pt>
                <c:pt idx="1">
                  <c:v>0.58072916666666663</c:v>
                </c:pt>
                <c:pt idx="2">
                  <c:v>0.58072916666666663</c:v>
                </c:pt>
                <c:pt idx="3">
                  <c:v>0.58072916666666663</c:v>
                </c:pt>
                <c:pt idx="4">
                  <c:v>0.58072916666666663</c:v>
                </c:pt>
                <c:pt idx="5">
                  <c:v>0.58072916666666663</c:v>
                </c:pt>
                <c:pt idx="6">
                  <c:v>0.58072916666666663</c:v>
                </c:pt>
                <c:pt idx="7">
                  <c:v>0.58072916666666663</c:v>
                </c:pt>
                <c:pt idx="8">
                  <c:v>0.58072916666666663</c:v>
                </c:pt>
                <c:pt idx="9">
                  <c:v>0.58072916666666663</c:v>
                </c:pt>
                <c:pt idx="10">
                  <c:v>0.58072916666666663</c:v>
                </c:pt>
                <c:pt idx="11">
                  <c:v>0.58072916666666663</c:v>
                </c:pt>
                <c:pt idx="12">
                  <c:v>0.58072916666666663</c:v>
                </c:pt>
                <c:pt idx="13">
                  <c:v>0.58072916666666663</c:v>
                </c:pt>
                <c:pt idx="14">
                  <c:v>0.58072916666666663</c:v>
                </c:pt>
                <c:pt idx="15">
                  <c:v>0.58072916666666663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0-4D5D-ACFE-7754CFFBC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469-4123-A99D-EAFAE5F35B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9-4123-A99D-EAFAE5F3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469-4123-A99D-EAFAE5F35B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69-4123-A99D-EAFAE5F3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3">
                  <c:v>5146</c:v>
                </c:pt>
                <c:pt idx="5">
                  <c:v>18921</c:v>
                </c:pt>
                <c:pt idx="6">
                  <c:v>5232</c:v>
                </c:pt>
                <c:pt idx="7">
                  <c:v>4842</c:v>
                </c:pt>
                <c:pt idx="8">
                  <c:v>926</c:v>
                </c:pt>
                <c:pt idx="10">
                  <c:v>18052</c:v>
                </c:pt>
                <c:pt idx="11">
                  <c:v>17427</c:v>
                </c:pt>
                <c:pt idx="14">
                  <c:v>3456</c:v>
                </c:pt>
                <c:pt idx="15">
                  <c:v>63952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C-42FA-9E4F-74C8D23DA8A5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5958</c:v>
                </c:pt>
                <c:pt idx="2">
                  <c:v>9102</c:v>
                </c:pt>
                <c:pt idx="3">
                  <c:v>5146</c:v>
                </c:pt>
                <c:pt idx="4">
                  <c:v>4876</c:v>
                </c:pt>
                <c:pt idx="5">
                  <c:v>18921</c:v>
                </c:pt>
                <c:pt idx="6">
                  <c:v>5232</c:v>
                </c:pt>
                <c:pt idx="7">
                  <c:v>4842</c:v>
                </c:pt>
                <c:pt idx="8">
                  <c:v>926</c:v>
                </c:pt>
                <c:pt idx="9">
                  <c:v>31820</c:v>
                </c:pt>
                <c:pt idx="10">
                  <c:v>18052</c:v>
                </c:pt>
                <c:pt idx="11">
                  <c:v>17427</c:v>
                </c:pt>
                <c:pt idx="12">
                  <c:v>3150</c:v>
                </c:pt>
                <c:pt idx="13">
                  <c:v>5613</c:v>
                </c:pt>
                <c:pt idx="14">
                  <c:v>3456</c:v>
                </c:pt>
                <c:pt idx="15">
                  <c:v>63952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C-42FA-9E4F-74C8D23DA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46%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0.45833333333333331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0.70833333333333337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7-49AE-909A-374C5ED6333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97-49AE-909A-374C5ED6333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0.50260416666666663</c:v>
                </c:pt>
                <c:pt idx="1">
                  <c:v>0.50260416666666663</c:v>
                </c:pt>
                <c:pt idx="2">
                  <c:v>0.50260416666666663</c:v>
                </c:pt>
                <c:pt idx="3">
                  <c:v>0.50260416666666663</c:v>
                </c:pt>
                <c:pt idx="4">
                  <c:v>0.50260416666666663</c:v>
                </c:pt>
                <c:pt idx="5">
                  <c:v>0.50260416666666663</c:v>
                </c:pt>
                <c:pt idx="6">
                  <c:v>0.50260416666666663</c:v>
                </c:pt>
                <c:pt idx="7">
                  <c:v>0.50260416666666663</c:v>
                </c:pt>
                <c:pt idx="8">
                  <c:v>0.50260416666666663</c:v>
                </c:pt>
                <c:pt idx="9">
                  <c:v>0.50260416666666663</c:v>
                </c:pt>
                <c:pt idx="10">
                  <c:v>0.50260416666666663</c:v>
                </c:pt>
                <c:pt idx="11">
                  <c:v>0.50260416666666663</c:v>
                </c:pt>
                <c:pt idx="12">
                  <c:v>0.50260416666666663</c:v>
                </c:pt>
                <c:pt idx="13">
                  <c:v>0.50260416666666663</c:v>
                </c:pt>
                <c:pt idx="14">
                  <c:v>0.50260416666666663</c:v>
                </c:pt>
                <c:pt idx="15">
                  <c:v>0.50260416666666663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7-49AE-909A-374C5ED63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3">
                  <c:v>5146</c:v>
                </c:pt>
                <c:pt idx="5">
                  <c:v>18921</c:v>
                </c:pt>
                <c:pt idx="6">
                  <c:v>5232</c:v>
                </c:pt>
                <c:pt idx="7">
                  <c:v>4842</c:v>
                </c:pt>
                <c:pt idx="8">
                  <c:v>926</c:v>
                </c:pt>
                <c:pt idx="10">
                  <c:v>18052</c:v>
                </c:pt>
                <c:pt idx="11">
                  <c:v>17427</c:v>
                </c:pt>
                <c:pt idx="14">
                  <c:v>3456</c:v>
                </c:pt>
                <c:pt idx="15">
                  <c:v>63952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D-4022-BFCD-2A1E0B3F587C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5958</c:v>
                </c:pt>
                <c:pt idx="2">
                  <c:v>9102</c:v>
                </c:pt>
                <c:pt idx="3">
                  <c:v>5146</c:v>
                </c:pt>
                <c:pt idx="4">
                  <c:v>4876</c:v>
                </c:pt>
                <c:pt idx="5">
                  <c:v>18921</c:v>
                </c:pt>
                <c:pt idx="6">
                  <c:v>5232</c:v>
                </c:pt>
                <c:pt idx="7">
                  <c:v>4842</c:v>
                </c:pt>
                <c:pt idx="8">
                  <c:v>926</c:v>
                </c:pt>
                <c:pt idx="9">
                  <c:v>31820</c:v>
                </c:pt>
                <c:pt idx="10">
                  <c:v>18052</c:v>
                </c:pt>
                <c:pt idx="11">
                  <c:v>17427</c:v>
                </c:pt>
                <c:pt idx="12">
                  <c:v>3150</c:v>
                </c:pt>
                <c:pt idx="13">
                  <c:v>5613</c:v>
                </c:pt>
                <c:pt idx="14">
                  <c:v>3456</c:v>
                </c:pt>
                <c:pt idx="15">
                  <c:v>63952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D-4022-BFCD-2A1E0B3F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46%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0%</c:v>
                </c:pt>
                <c:pt idx="14">
                  <c:v>71%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0.45833333333333331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0.70833333333333337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A-40A4-A9BA-B5B2B0B3CF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FA-40A4-A9BA-B5B2B0B3CF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F/A</c:v>
                </c:pt>
                <c:pt idx="1">
                  <c:v>ADAPTER</c:v>
                </c:pt>
                <c:pt idx="2">
                  <c:v>HOUSING</c:v>
                </c:pt>
                <c:pt idx="3">
                  <c:v>STOPPPER</c:v>
                </c:pt>
                <c:pt idx="4">
                  <c:v>COVER</c:v>
                </c:pt>
                <c:pt idx="5">
                  <c:v>COVER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0.50260416666666663</c:v>
                </c:pt>
                <c:pt idx="1">
                  <c:v>0.50260416666666663</c:v>
                </c:pt>
                <c:pt idx="2">
                  <c:v>0.50260416666666663</c:v>
                </c:pt>
                <c:pt idx="3">
                  <c:v>0.50260416666666663</c:v>
                </c:pt>
                <c:pt idx="4">
                  <c:v>0.50260416666666663</c:v>
                </c:pt>
                <c:pt idx="5">
                  <c:v>0.50260416666666663</c:v>
                </c:pt>
                <c:pt idx="6">
                  <c:v>0.50260416666666663</c:v>
                </c:pt>
                <c:pt idx="7">
                  <c:v>0.50260416666666663</c:v>
                </c:pt>
                <c:pt idx="8">
                  <c:v>0.50260416666666663</c:v>
                </c:pt>
                <c:pt idx="9">
                  <c:v>0.50260416666666663</c:v>
                </c:pt>
                <c:pt idx="10">
                  <c:v>0.50260416666666663</c:v>
                </c:pt>
                <c:pt idx="11">
                  <c:v>0.50260416666666663</c:v>
                </c:pt>
                <c:pt idx="12">
                  <c:v>0.50260416666666663</c:v>
                </c:pt>
                <c:pt idx="13">
                  <c:v>0.50260416666666663</c:v>
                </c:pt>
                <c:pt idx="14">
                  <c:v>0.50260416666666663</c:v>
                </c:pt>
                <c:pt idx="15">
                  <c:v>0.50260416666666663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FA-40A4-A9BA-B5B2B0B3C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22E-417E-9E70-BBE0B9457C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E-417E-9E70-BBE0B9457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22E-417E-9E70-BBE0B9457CC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E-417E-9E70-BBE0B9457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1">
                  <c:v>2592</c:v>
                </c:pt>
                <c:pt idx="3">
                  <c:v>5399</c:v>
                </c:pt>
                <c:pt idx="4">
                  <c:v>8494</c:v>
                </c:pt>
                <c:pt idx="5">
                  <c:v>5150</c:v>
                </c:pt>
                <c:pt idx="6">
                  <c:v>5555</c:v>
                </c:pt>
                <c:pt idx="7">
                  <c:v>4415</c:v>
                </c:pt>
                <c:pt idx="9">
                  <c:v>1015</c:v>
                </c:pt>
                <c:pt idx="10">
                  <c:v>19140</c:v>
                </c:pt>
                <c:pt idx="11">
                  <c:v>11982</c:v>
                </c:pt>
                <c:pt idx="14">
                  <c:v>4708</c:v>
                </c:pt>
                <c:pt idx="15">
                  <c:v>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3-4565-961F-A9BC0D14A028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2592</c:v>
                </c:pt>
                <c:pt idx="2">
                  <c:v>9102</c:v>
                </c:pt>
                <c:pt idx="3">
                  <c:v>5399</c:v>
                </c:pt>
                <c:pt idx="4">
                  <c:v>8494</c:v>
                </c:pt>
                <c:pt idx="5">
                  <c:v>5150</c:v>
                </c:pt>
                <c:pt idx="6">
                  <c:v>5555</c:v>
                </c:pt>
                <c:pt idx="7">
                  <c:v>4415</c:v>
                </c:pt>
                <c:pt idx="8">
                  <c:v>926</c:v>
                </c:pt>
                <c:pt idx="9">
                  <c:v>1015</c:v>
                </c:pt>
                <c:pt idx="10">
                  <c:v>19140</c:v>
                </c:pt>
                <c:pt idx="11">
                  <c:v>11982</c:v>
                </c:pt>
                <c:pt idx="12">
                  <c:v>3150</c:v>
                </c:pt>
                <c:pt idx="13">
                  <c:v>5613</c:v>
                </c:pt>
                <c:pt idx="14">
                  <c:v>4708</c:v>
                </c:pt>
                <c:pt idx="15">
                  <c:v>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3-4565-961F-A9BC0D14A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0%</c:v>
                </c:pt>
                <c:pt idx="3">
                  <c:v>100%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75%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</c:v>
                </c:pt>
                <c:pt idx="3">
                  <c:v>1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0.75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E-43BB-9EF2-D7B86FA068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EE-43BB-9EF2-D7B86FA068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0.55989583333333326</c:v>
                </c:pt>
                <c:pt idx="1">
                  <c:v>0.55989583333333326</c:v>
                </c:pt>
                <c:pt idx="2">
                  <c:v>0.55989583333333326</c:v>
                </c:pt>
                <c:pt idx="3">
                  <c:v>0.55989583333333326</c:v>
                </c:pt>
                <c:pt idx="4">
                  <c:v>0.55989583333333326</c:v>
                </c:pt>
                <c:pt idx="5">
                  <c:v>0.55989583333333326</c:v>
                </c:pt>
                <c:pt idx="6">
                  <c:v>0.55989583333333326</c:v>
                </c:pt>
                <c:pt idx="7">
                  <c:v>0.55989583333333326</c:v>
                </c:pt>
                <c:pt idx="8">
                  <c:v>0.55989583333333326</c:v>
                </c:pt>
                <c:pt idx="9">
                  <c:v>0.55989583333333326</c:v>
                </c:pt>
                <c:pt idx="10">
                  <c:v>0.55989583333333326</c:v>
                </c:pt>
                <c:pt idx="11">
                  <c:v>0.55989583333333326</c:v>
                </c:pt>
                <c:pt idx="12">
                  <c:v>0.55989583333333326</c:v>
                </c:pt>
                <c:pt idx="13">
                  <c:v>0.55989583333333326</c:v>
                </c:pt>
                <c:pt idx="14">
                  <c:v>0.55989583333333326</c:v>
                </c:pt>
                <c:pt idx="15">
                  <c:v>0.55989583333333326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EE-43BB-9EF2-D7B86FA06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1">
                  <c:v>2592</c:v>
                </c:pt>
                <c:pt idx="3">
                  <c:v>5399</c:v>
                </c:pt>
                <c:pt idx="4">
                  <c:v>8494</c:v>
                </c:pt>
                <c:pt idx="5">
                  <c:v>5150</c:v>
                </c:pt>
                <c:pt idx="6">
                  <c:v>5555</c:v>
                </c:pt>
                <c:pt idx="7">
                  <c:v>4415</c:v>
                </c:pt>
                <c:pt idx="9">
                  <c:v>1015</c:v>
                </c:pt>
                <c:pt idx="10">
                  <c:v>19140</c:v>
                </c:pt>
                <c:pt idx="11">
                  <c:v>11982</c:v>
                </c:pt>
                <c:pt idx="14">
                  <c:v>4708</c:v>
                </c:pt>
                <c:pt idx="15">
                  <c:v>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4FF2-97FF-96DD66B83EE3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2592</c:v>
                </c:pt>
                <c:pt idx="2">
                  <c:v>9102</c:v>
                </c:pt>
                <c:pt idx="3">
                  <c:v>5399</c:v>
                </c:pt>
                <c:pt idx="4">
                  <c:v>8494</c:v>
                </c:pt>
                <c:pt idx="5">
                  <c:v>5150</c:v>
                </c:pt>
                <c:pt idx="6">
                  <c:v>5555</c:v>
                </c:pt>
                <c:pt idx="7">
                  <c:v>4415</c:v>
                </c:pt>
                <c:pt idx="8">
                  <c:v>926</c:v>
                </c:pt>
                <c:pt idx="9">
                  <c:v>1015</c:v>
                </c:pt>
                <c:pt idx="10">
                  <c:v>19140</c:v>
                </c:pt>
                <c:pt idx="11">
                  <c:v>11982</c:v>
                </c:pt>
                <c:pt idx="12">
                  <c:v>3150</c:v>
                </c:pt>
                <c:pt idx="13">
                  <c:v>5613</c:v>
                </c:pt>
                <c:pt idx="14">
                  <c:v>4708</c:v>
                </c:pt>
                <c:pt idx="15">
                  <c:v>70200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0-4FF2-97FF-96DD66B83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0%</c:v>
                </c:pt>
                <c:pt idx="3">
                  <c:v>100%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83%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75%</c:v>
                </c:pt>
                <c:pt idx="12">
                  <c:v>0%</c:v>
                </c:pt>
                <c:pt idx="13">
                  <c:v>0%</c:v>
                </c:pt>
                <c:pt idx="14">
                  <c:v>88%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</c:v>
                </c:pt>
                <c:pt idx="3">
                  <c:v>1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0.75</c:v>
                </c:pt>
                <c:pt idx="12">
                  <c:v>0</c:v>
                </c:pt>
                <c:pt idx="13">
                  <c:v>0</c:v>
                </c:pt>
                <c:pt idx="14">
                  <c:v>0.875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5-45F5-A45C-070325AB71E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05-45F5-A45C-070325AB71E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HOUSING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LATCH</c:v>
                </c:pt>
                <c:pt idx="11">
                  <c:v>INNER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0.55989583333333326</c:v>
                </c:pt>
                <c:pt idx="1">
                  <c:v>0.55989583333333326</c:v>
                </c:pt>
                <c:pt idx="2">
                  <c:v>0.55989583333333326</c:v>
                </c:pt>
                <c:pt idx="3">
                  <c:v>0.55989583333333326</c:v>
                </c:pt>
                <c:pt idx="4">
                  <c:v>0.55989583333333326</c:v>
                </c:pt>
                <c:pt idx="5">
                  <c:v>0.55989583333333326</c:v>
                </c:pt>
                <c:pt idx="6">
                  <c:v>0.55989583333333326</c:v>
                </c:pt>
                <c:pt idx="7">
                  <c:v>0.55989583333333326</c:v>
                </c:pt>
                <c:pt idx="8">
                  <c:v>0.55989583333333326</c:v>
                </c:pt>
                <c:pt idx="9">
                  <c:v>0.55989583333333326</c:v>
                </c:pt>
                <c:pt idx="10">
                  <c:v>0.55989583333333326</c:v>
                </c:pt>
                <c:pt idx="11">
                  <c:v>0.55989583333333326</c:v>
                </c:pt>
                <c:pt idx="12">
                  <c:v>0.55989583333333326</c:v>
                </c:pt>
                <c:pt idx="13">
                  <c:v>0.55989583333333326</c:v>
                </c:pt>
                <c:pt idx="14">
                  <c:v>0.55989583333333326</c:v>
                </c:pt>
                <c:pt idx="15">
                  <c:v>0.55989583333333326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5-45F5-A45C-070325AB7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E4-447E-8344-535EB7C2D1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4-447E-8344-535EB7C2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8E4-447E-8344-535EB7C2D1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E4-447E-8344-535EB7C2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'30'!$L$6:$L$22</c:f>
              <c:numCache>
                <c:formatCode>_(* #,##0_);_(* \(#,##0\);_(* "-"_);_(@_)</c:formatCode>
                <c:ptCount val="17"/>
                <c:pt idx="1">
                  <c:v>4850</c:v>
                </c:pt>
                <c:pt idx="2">
                  <c:v>1050</c:v>
                </c:pt>
                <c:pt idx="3">
                  <c:v>903</c:v>
                </c:pt>
                <c:pt idx="4">
                  <c:v>5363</c:v>
                </c:pt>
                <c:pt idx="5">
                  <c:v>15176</c:v>
                </c:pt>
                <c:pt idx="6">
                  <c:v>4152</c:v>
                </c:pt>
                <c:pt idx="7">
                  <c:v>942</c:v>
                </c:pt>
                <c:pt idx="8">
                  <c:v>5372</c:v>
                </c:pt>
                <c:pt idx="11">
                  <c:v>19144</c:v>
                </c:pt>
                <c:pt idx="12">
                  <c:v>9540</c:v>
                </c:pt>
                <c:pt idx="13">
                  <c:v>4864</c:v>
                </c:pt>
                <c:pt idx="15">
                  <c:v>4157</c:v>
                </c:pt>
                <c:pt idx="16">
                  <c:v>69756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4-4FCB-B850-674017D00255}"/>
            </c:ext>
          </c:extLst>
        </c:ser>
        <c:ser>
          <c:idx val="1"/>
          <c:order val="1"/>
          <c:tx>
            <c:v>계획</c:v>
          </c:tx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4850</c:v>
                </c:pt>
                <c:pt idx="2">
                  <c:v>1050</c:v>
                </c:pt>
                <c:pt idx="3">
                  <c:v>903</c:v>
                </c:pt>
                <c:pt idx="4">
                  <c:v>5363</c:v>
                </c:pt>
                <c:pt idx="5">
                  <c:v>15176</c:v>
                </c:pt>
                <c:pt idx="6">
                  <c:v>4152</c:v>
                </c:pt>
                <c:pt idx="7">
                  <c:v>942</c:v>
                </c:pt>
                <c:pt idx="8">
                  <c:v>5372</c:v>
                </c:pt>
                <c:pt idx="9">
                  <c:v>926</c:v>
                </c:pt>
                <c:pt idx="10">
                  <c:v>1015</c:v>
                </c:pt>
                <c:pt idx="11">
                  <c:v>19144</c:v>
                </c:pt>
                <c:pt idx="12">
                  <c:v>9540</c:v>
                </c:pt>
                <c:pt idx="13">
                  <c:v>4864</c:v>
                </c:pt>
                <c:pt idx="14">
                  <c:v>3150</c:v>
                </c:pt>
                <c:pt idx="15">
                  <c:v>4157</c:v>
                </c:pt>
                <c:pt idx="16">
                  <c:v>69756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4-4FCB-B850-674017D00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'30'!$AD$6:$AD$22</c:f>
              <c:strCache>
                <c:ptCount val="17"/>
                <c:pt idx="0">
                  <c:v>0%</c:v>
                </c:pt>
                <c:pt idx="1">
                  <c:v>79%</c:v>
                </c:pt>
                <c:pt idx="2">
                  <c:v>25%</c:v>
                </c:pt>
                <c:pt idx="3">
                  <c:v>21%</c:v>
                </c:pt>
                <c:pt idx="4">
                  <c:v>100%</c:v>
                </c:pt>
                <c:pt idx="5">
                  <c:v>100%</c:v>
                </c:pt>
                <c:pt idx="6">
                  <c:v>79%</c:v>
                </c:pt>
                <c:pt idx="7">
                  <c:v>21%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96%</c:v>
                </c:pt>
                <c:pt idx="14">
                  <c:v>0%</c:v>
                </c:pt>
                <c:pt idx="15">
                  <c:v>83%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'30'!$AD$6:$AD$22</c:f>
              <c:numCache>
                <c:formatCode>0%</c:formatCode>
                <c:ptCount val="17"/>
                <c:pt idx="0">
                  <c:v>0</c:v>
                </c:pt>
                <c:pt idx="1">
                  <c:v>0.79166666666666663</c:v>
                </c:pt>
                <c:pt idx="2">
                  <c:v>0.25</c:v>
                </c:pt>
                <c:pt idx="3">
                  <c:v>0.20833333333333334</c:v>
                </c:pt>
                <c:pt idx="4">
                  <c:v>1</c:v>
                </c:pt>
                <c:pt idx="5">
                  <c:v>1</c:v>
                </c:pt>
                <c:pt idx="6">
                  <c:v>0.79166666666666663</c:v>
                </c:pt>
                <c:pt idx="7">
                  <c:v>0.20833333333333334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0</c:v>
                </c:pt>
                <c:pt idx="15">
                  <c:v>0.83333333333333337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F-4B2F-88EE-2DE9C0F8192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6F-4B2F-88EE-2DE9C0F819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'30'!$AE$6:$AE$22</c:f>
              <c:numCache>
                <c:formatCode>0%</c:formatCode>
                <c:ptCount val="17"/>
                <c:pt idx="0">
                  <c:v>0.5759803921568627</c:v>
                </c:pt>
                <c:pt idx="1">
                  <c:v>0.5759803921568627</c:v>
                </c:pt>
                <c:pt idx="2">
                  <c:v>0.5759803921568627</c:v>
                </c:pt>
                <c:pt idx="3">
                  <c:v>0.5759803921568627</c:v>
                </c:pt>
                <c:pt idx="4">
                  <c:v>0.5759803921568627</c:v>
                </c:pt>
                <c:pt idx="5">
                  <c:v>0.5759803921568627</c:v>
                </c:pt>
                <c:pt idx="6">
                  <c:v>0.5759803921568627</c:v>
                </c:pt>
                <c:pt idx="7">
                  <c:v>0.5759803921568627</c:v>
                </c:pt>
                <c:pt idx="8">
                  <c:v>0.5759803921568627</c:v>
                </c:pt>
                <c:pt idx="9">
                  <c:v>0.5759803921568627</c:v>
                </c:pt>
                <c:pt idx="10">
                  <c:v>0.5759803921568627</c:v>
                </c:pt>
                <c:pt idx="11">
                  <c:v>0.5759803921568627</c:v>
                </c:pt>
                <c:pt idx="12">
                  <c:v>0.5759803921568627</c:v>
                </c:pt>
                <c:pt idx="13">
                  <c:v>0.5759803921568627</c:v>
                </c:pt>
                <c:pt idx="14">
                  <c:v>0.5759803921568627</c:v>
                </c:pt>
                <c:pt idx="15">
                  <c:v>0.5759803921568627</c:v>
                </c:pt>
                <c:pt idx="16">
                  <c:v>0.5759803921568627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F-4B2F-88EE-2DE9C0F8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'30'!$L$6:$L$22</c:f>
              <c:numCache>
                <c:formatCode>_(* #,##0_);_(* \(#,##0\);_(* "-"_);_(@_)</c:formatCode>
                <c:ptCount val="17"/>
                <c:pt idx="1">
                  <c:v>4850</c:v>
                </c:pt>
                <c:pt idx="2">
                  <c:v>1050</c:v>
                </c:pt>
                <c:pt idx="3">
                  <c:v>903</c:v>
                </c:pt>
                <c:pt idx="4">
                  <c:v>5363</c:v>
                </c:pt>
                <c:pt idx="5">
                  <c:v>15176</c:v>
                </c:pt>
                <c:pt idx="6">
                  <c:v>4152</c:v>
                </c:pt>
                <c:pt idx="7">
                  <c:v>942</c:v>
                </c:pt>
                <c:pt idx="8">
                  <c:v>5372</c:v>
                </c:pt>
                <c:pt idx="11">
                  <c:v>19144</c:v>
                </c:pt>
                <c:pt idx="12">
                  <c:v>9540</c:v>
                </c:pt>
                <c:pt idx="13">
                  <c:v>4864</c:v>
                </c:pt>
                <c:pt idx="15">
                  <c:v>4157</c:v>
                </c:pt>
                <c:pt idx="16">
                  <c:v>69756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C-481E-8A60-2203442F0713}"/>
            </c:ext>
          </c:extLst>
        </c:ser>
        <c:ser>
          <c:idx val="1"/>
          <c:order val="1"/>
          <c:tx>
            <c:v>계획</c:v>
          </c:tx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4850</c:v>
                </c:pt>
                <c:pt idx="2">
                  <c:v>1050</c:v>
                </c:pt>
                <c:pt idx="3">
                  <c:v>903</c:v>
                </c:pt>
                <c:pt idx="4">
                  <c:v>5363</c:v>
                </c:pt>
                <c:pt idx="5">
                  <c:v>15176</c:v>
                </c:pt>
                <c:pt idx="6">
                  <c:v>4152</c:v>
                </c:pt>
                <c:pt idx="7">
                  <c:v>942</c:v>
                </c:pt>
                <c:pt idx="8">
                  <c:v>5372</c:v>
                </c:pt>
                <c:pt idx="9">
                  <c:v>926</c:v>
                </c:pt>
                <c:pt idx="10">
                  <c:v>1015</c:v>
                </c:pt>
                <c:pt idx="11">
                  <c:v>19144</c:v>
                </c:pt>
                <c:pt idx="12">
                  <c:v>9540</c:v>
                </c:pt>
                <c:pt idx="13">
                  <c:v>4864</c:v>
                </c:pt>
                <c:pt idx="14">
                  <c:v>3150</c:v>
                </c:pt>
                <c:pt idx="15">
                  <c:v>4157</c:v>
                </c:pt>
                <c:pt idx="16">
                  <c:v>69756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C-481E-8A60-2203442F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'30'!$AD$6:$AD$22</c:f>
              <c:strCache>
                <c:ptCount val="17"/>
                <c:pt idx="0">
                  <c:v>0%</c:v>
                </c:pt>
                <c:pt idx="1">
                  <c:v>79%</c:v>
                </c:pt>
                <c:pt idx="2">
                  <c:v>25%</c:v>
                </c:pt>
                <c:pt idx="3">
                  <c:v>21%</c:v>
                </c:pt>
                <c:pt idx="4">
                  <c:v>100%</c:v>
                </c:pt>
                <c:pt idx="5">
                  <c:v>100%</c:v>
                </c:pt>
                <c:pt idx="6">
                  <c:v>79%</c:v>
                </c:pt>
                <c:pt idx="7">
                  <c:v>21%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96%</c:v>
                </c:pt>
                <c:pt idx="14">
                  <c:v>0%</c:v>
                </c:pt>
                <c:pt idx="15">
                  <c:v>83%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'30'!$AD$6:$AD$22</c:f>
              <c:numCache>
                <c:formatCode>0%</c:formatCode>
                <c:ptCount val="17"/>
                <c:pt idx="0">
                  <c:v>0</c:v>
                </c:pt>
                <c:pt idx="1">
                  <c:v>0.79166666666666663</c:v>
                </c:pt>
                <c:pt idx="2">
                  <c:v>0.25</c:v>
                </c:pt>
                <c:pt idx="3">
                  <c:v>0.20833333333333334</c:v>
                </c:pt>
                <c:pt idx="4">
                  <c:v>1</c:v>
                </c:pt>
                <c:pt idx="5">
                  <c:v>1</c:v>
                </c:pt>
                <c:pt idx="6">
                  <c:v>0.79166666666666663</c:v>
                </c:pt>
                <c:pt idx="7">
                  <c:v>0.20833333333333334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0</c:v>
                </c:pt>
                <c:pt idx="15">
                  <c:v>0.83333333333333337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E-4B59-A2E7-DA93A607AB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FE-4B59-A2E7-DA93A607AB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M2 CONN</c:v>
                </c:pt>
                <c:pt idx="3">
                  <c:v>BASE</c:v>
                </c:pt>
                <c:pt idx="4">
                  <c:v>STOPPPER</c:v>
                </c:pt>
                <c:pt idx="5">
                  <c:v>CAM</c:v>
                </c:pt>
                <c:pt idx="6">
                  <c:v>STOPPPER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'30'!$AE$6:$AE$22</c:f>
              <c:numCache>
                <c:formatCode>0%</c:formatCode>
                <c:ptCount val="17"/>
                <c:pt idx="0">
                  <c:v>0.5759803921568627</c:v>
                </c:pt>
                <c:pt idx="1">
                  <c:v>0.5759803921568627</c:v>
                </c:pt>
                <c:pt idx="2">
                  <c:v>0.5759803921568627</c:v>
                </c:pt>
                <c:pt idx="3">
                  <c:v>0.5759803921568627</c:v>
                </c:pt>
                <c:pt idx="4">
                  <c:v>0.5759803921568627</c:v>
                </c:pt>
                <c:pt idx="5">
                  <c:v>0.5759803921568627</c:v>
                </c:pt>
                <c:pt idx="6">
                  <c:v>0.5759803921568627</c:v>
                </c:pt>
                <c:pt idx="7">
                  <c:v>0.5759803921568627</c:v>
                </c:pt>
                <c:pt idx="8">
                  <c:v>0.5759803921568627</c:v>
                </c:pt>
                <c:pt idx="9">
                  <c:v>0.5759803921568627</c:v>
                </c:pt>
                <c:pt idx="10">
                  <c:v>0.5759803921568627</c:v>
                </c:pt>
                <c:pt idx="11">
                  <c:v>0.5759803921568627</c:v>
                </c:pt>
                <c:pt idx="12">
                  <c:v>0.5759803921568627</c:v>
                </c:pt>
                <c:pt idx="13">
                  <c:v>0.5759803921568627</c:v>
                </c:pt>
                <c:pt idx="14">
                  <c:v>0.5759803921568627</c:v>
                </c:pt>
                <c:pt idx="15">
                  <c:v>0.5759803921568627</c:v>
                </c:pt>
                <c:pt idx="16">
                  <c:v>0.5759803921568627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E-4B59-A2E7-DA93A607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489-4F5E-98F1-D0469EBB47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9-4F5E-98F1-D0469EBB4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89-4F5E-98F1-D0469EBB47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89-4F5E-98F1-D0469EBB4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1">
                  <c:v>5792</c:v>
                </c:pt>
                <c:pt idx="2">
                  <c:v>0</c:v>
                </c:pt>
                <c:pt idx="3">
                  <c:v>4916</c:v>
                </c:pt>
                <c:pt idx="4">
                  <c:v>14578</c:v>
                </c:pt>
                <c:pt idx="5">
                  <c:v>4675</c:v>
                </c:pt>
                <c:pt idx="6">
                  <c:v>4639</c:v>
                </c:pt>
                <c:pt idx="7">
                  <c:v>2321</c:v>
                </c:pt>
                <c:pt idx="10">
                  <c:v>19176</c:v>
                </c:pt>
                <c:pt idx="11">
                  <c:v>12128</c:v>
                </c:pt>
                <c:pt idx="12">
                  <c:v>5380</c:v>
                </c:pt>
                <c:pt idx="13">
                  <c:v>2379</c:v>
                </c:pt>
                <c:pt idx="14">
                  <c:v>4736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1-4E86-BE81-9D9B8D9FECD2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5792</c:v>
                </c:pt>
                <c:pt idx="2">
                  <c:v>903</c:v>
                </c:pt>
                <c:pt idx="3">
                  <c:v>4916</c:v>
                </c:pt>
                <c:pt idx="4">
                  <c:v>14578</c:v>
                </c:pt>
                <c:pt idx="5">
                  <c:v>4675</c:v>
                </c:pt>
                <c:pt idx="6">
                  <c:v>4639</c:v>
                </c:pt>
                <c:pt idx="7">
                  <c:v>2321</c:v>
                </c:pt>
                <c:pt idx="8">
                  <c:v>926</c:v>
                </c:pt>
                <c:pt idx="9">
                  <c:v>1015</c:v>
                </c:pt>
                <c:pt idx="10">
                  <c:v>19176</c:v>
                </c:pt>
                <c:pt idx="11">
                  <c:v>12128</c:v>
                </c:pt>
                <c:pt idx="12">
                  <c:v>5380</c:v>
                </c:pt>
                <c:pt idx="13">
                  <c:v>2379</c:v>
                </c:pt>
                <c:pt idx="14">
                  <c:v>4736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1-4E86-BE81-9D9B8D9F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96%</c:v>
                </c:pt>
                <c:pt idx="2">
                  <c:v>0%</c:v>
                </c:pt>
                <c:pt idx="3">
                  <c:v>92%</c:v>
                </c:pt>
                <c:pt idx="4">
                  <c:v>100%</c:v>
                </c:pt>
                <c:pt idx="5">
                  <c:v>88%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50%</c:v>
                </c:pt>
                <c:pt idx="14">
                  <c:v>92%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0.95833333333333337</c:v>
                </c:pt>
                <c:pt idx="2">
                  <c:v>0</c:v>
                </c:pt>
                <c:pt idx="3">
                  <c:v>0.91666666666666663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0.91666666666666663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8-402E-AFF4-6553F8C888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8-402E-AFF4-6553F8C888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0.65624999999999989</c:v>
                </c:pt>
                <c:pt idx="1">
                  <c:v>0.65624999999999989</c:v>
                </c:pt>
                <c:pt idx="2">
                  <c:v>0.65624999999999989</c:v>
                </c:pt>
                <c:pt idx="3">
                  <c:v>0.65624999999999989</c:v>
                </c:pt>
                <c:pt idx="4">
                  <c:v>0.65624999999999989</c:v>
                </c:pt>
                <c:pt idx="5">
                  <c:v>0.65624999999999989</c:v>
                </c:pt>
                <c:pt idx="6">
                  <c:v>0.65624999999999989</c:v>
                </c:pt>
                <c:pt idx="7">
                  <c:v>0.65624999999999989</c:v>
                </c:pt>
                <c:pt idx="8">
                  <c:v>0.65624999999999989</c:v>
                </c:pt>
                <c:pt idx="9">
                  <c:v>0.65624999999999989</c:v>
                </c:pt>
                <c:pt idx="10">
                  <c:v>0.65624999999999989</c:v>
                </c:pt>
                <c:pt idx="11">
                  <c:v>0.65624999999999989</c:v>
                </c:pt>
                <c:pt idx="12">
                  <c:v>0.65624999999999989</c:v>
                </c:pt>
                <c:pt idx="13">
                  <c:v>0.65624999999999989</c:v>
                </c:pt>
                <c:pt idx="14">
                  <c:v>0.65624999999999989</c:v>
                </c:pt>
                <c:pt idx="15">
                  <c:v>0.65624999999999989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8-402E-AFF4-6553F8C8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1">
                  <c:v>5792</c:v>
                </c:pt>
                <c:pt idx="2">
                  <c:v>0</c:v>
                </c:pt>
                <c:pt idx="3">
                  <c:v>4916</c:v>
                </c:pt>
                <c:pt idx="4">
                  <c:v>14578</c:v>
                </c:pt>
                <c:pt idx="5">
                  <c:v>4675</c:v>
                </c:pt>
                <c:pt idx="6">
                  <c:v>4639</c:v>
                </c:pt>
                <c:pt idx="7">
                  <c:v>2321</c:v>
                </c:pt>
                <c:pt idx="10">
                  <c:v>19176</c:v>
                </c:pt>
                <c:pt idx="11">
                  <c:v>12128</c:v>
                </c:pt>
                <c:pt idx="12">
                  <c:v>5380</c:v>
                </c:pt>
                <c:pt idx="13">
                  <c:v>2379</c:v>
                </c:pt>
                <c:pt idx="14">
                  <c:v>4736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4-41C4-9D0C-295FEF3A2252}"/>
            </c:ext>
          </c:extLst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5792</c:v>
                </c:pt>
                <c:pt idx="2">
                  <c:v>903</c:v>
                </c:pt>
                <c:pt idx="3">
                  <c:v>4916</c:v>
                </c:pt>
                <c:pt idx="4">
                  <c:v>14578</c:v>
                </c:pt>
                <c:pt idx="5">
                  <c:v>4675</c:v>
                </c:pt>
                <c:pt idx="6">
                  <c:v>4639</c:v>
                </c:pt>
                <c:pt idx="7">
                  <c:v>2321</c:v>
                </c:pt>
                <c:pt idx="8">
                  <c:v>926</c:v>
                </c:pt>
                <c:pt idx="9">
                  <c:v>1015</c:v>
                </c:pt>
                <c:pt idx="10">
                  <c:v>19176</c:v>
                </c:pt>
                <c:pt idx="11">
                  <c:v>12128</c:v>
                </c:pt>
                <c:pt idx="12">
                  <c:v>5380</c:v>
                </c:pt>
                <c:pt idx="13">
                  <c:v>2379</c:v>
                </c:pt>
                <c:pt idx="14">
                  <c:v>4736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4-41C4-9D0C-295FEF3A2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6"/>
                <c:pt idx="0">
                  <c:v>0%</c:v>
                </c:pt>
                <c:pt idx="1">
                  <c:v>96%</c:v>
                </c:pt>
                <c:pt idx="2">
                  <c:v>0%</c:v>
                </c:pt>
                <c:pt idx="3">
                  <c:v>92%</c:v>
                </c:pt>
                <c:pt idx="4">
                  <c:v>100%</c:v>
                </c:pt>
                <c:pt idx="5">
                  <c:v>88%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50%</c:v>
                </c:pt>
                <c:pt idx="14">
                  <c:v>92%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0.95833333333333337</c:v>
                </c:pt>
                <c:pt idx="2">
                  <c:v>0</c:v>
                </c:pt>
                <c:pt idx="3">
                  <c:v>0.91666666666666663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0.91666666666666663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C-4E4E-8000-07E33BECE7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BC-4E4E-8000-07E33BECE7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0.65624999999999989</c:v>
                </c:pt>
                <c:pt idx="1">
                  <c:v>0.65624999999999989</c:v>
                </c:pt>
                <c:pt idx="2">
                  <c:v>0.65624999999999989</c:v>
                </c:pt>
                <c:pt idx="3">
                  <c:v>0.65624999999999989</c:v>
                </c:pt>
                <c:pt idx="4">
                  <c:v>0.65624999999999989</c:v>
                </c:pt>
                <c:pt idx="5">
                  <c:v>0.65624999999999989</c:v>
                </c:pt>
                <c:pt idx="6">
                  <c:v>0.65624999999999989</c:v>
                </c:pt>
                <c:pt idx="7">
                  <c:v>0.65624999999999989</c:v>
                </c:pt>
                <c:pt idx="8">
                  <c:v>0.65624999999999989</c:v>
                </c:pt>
                <c:pt idx="9">
                  <c:v>0.65624999999999989</c:v>
                </c:pt>
                <c:pt idx="10">
                  <c:v>0.65624999999999989</c:v>
                </c:pt>
                <c:pt idx="11">
                  <c:v>0.65624999999999989</c:v>
                </c:pt>
                <c:pt idx="12">
                  <c:v>0.65624999999999989</c:v>
                </c:pt>
                <c:pt idx="13">
                  <c:v>0.65624999999999989</c:v>
                </c:pt>
                <c:pt idx="14">
                  <c:v>0.65624999999999989</c:v>
                </c:pt>
                <c:pt idx="15">
                  <c:v>0.65624999999999989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C-4E4E-8000-07E33BECE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12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66-43CF-85B7-64195A0971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6-43CF-85B7-64195A09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66-43CF-85B7-64195A0971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6-43CF-85B7-64195A09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12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0.48284313725490191</c:v>
                </c:pt>
                <c:pt idx="1">
                  <c:v>0.55208333333333337</c:v>
                </c:pt>
                <c:pt idx="2">
                  <c:v>0.52864583333333326</c:v>
                </c:pt>
                <c:pt idx="3">
                  <c:v>0.45572916666666669</c:v>
                </c:pt>
                <c:pt idx="6">
                  <c:v>0.33854166666666669</c:v>
                </c:pt>
                <c:pt idx="7">
                  <c:v>0.40196078431372545</c:v>
                </c:pt>
                <c:pt idx="8">
                  <c:v>0.39583333333333331</c:v>
                </c:pt>
                <c:pt idx="9">
                  <c:v>0.453125</c:v>
                </c:pt>
                <c:pt idx="10">
                  <c:v>0.40625000000000006</c:v>
                </c:pt>
                <c:pt idx="13">
                  <c:v>0.17769607843137256</c:v>
                </c:pt>
                <c:pt idx="14">
                  <c:v>0.22916666666666669</c:v>
                </c:pt>
                <c:pt idx="15">
                  <c:v>0.22303921568627452</c:v>
                </c:pt>
                <c:pt idx="16">
                  <c:v>7.5520833333333329E-2</c:v>
                </c:pt>
                <c:pt idx="20">
                  <c:v>0.1640625</c:v>
                </c:pt>
                <c:pt idx="21">
                  <c:v>0.22395833333333331</c:v>
                </c:pt>
                <c:pt idx="22">
                  <c:v>0.50520833333333326</c:v>
                </c:pt>
                <c:pt idx="23">
                  <c:v>0.65364583333333337</c:v>
                </c:pt>
                <c:pt idx="24">
                  <c:v>0.58072916666666663</c:v>
                </c:pt>
                <c:pt idx="27">
                  <c:v>0.50260416666666663</c:v>
                </c:pt>
                <c:pt idx="28">
                  <c:v>0.55989583333333326</c:v>
                </c:pt>
                <c:pt idx="29">
                  <c:v>0.5759803921568627</c:v>
                </c:pt>
                <c:pt idx="30">
                  <c:v>0.65624999999999989</c:v>
                </c:pt>
                <c:pt idx="31">
                  <c:v>0.29492805186590759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12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4.569892473118279E-2</c:v>
                </c:pt>
                <c:pt idx="1">
                  <c:v>0.24462365591397847</c:v>
                </c:pt>
                <c:pt idx="2">
                  <c:v>0.29166666666666669</c:v>
                </c:pt>
                <c:pt idx="3">
                  <c:v>0.5268817204301075</c:v>
                </c:pt>
                <c:pt idx="4">
                  <c:v>8.6021505376344079E-2</c:v>
                </c:pt>
                <c:pt idx="5">
                  <c:v>0.43413978494623651</c:v>
                </c:pt>
                <c:pt idx="6">
                  <c:v>0.32258064516129031</c:v>
                </c:pt>
                <c:pt idx="7">
                  <c:v>0.41129032258064524</c:v>
                </c:pt>
                <c:pt idx="8">
                  <c:v>0.15658602150537632</c:v>
                </c:pt>
                <c:pt idx="9">
                  <c:v>0.15725806451612903</c:v>
                </c:pt>
                <c:pt idx="10">
                  <c:v>0.49193548387096775</c:v>
                </c:pt>
                <c:pt idx="11">
                  <c:v>0.23790322580645162</c:v>
                </c:pt>
                <c:pt idx="12">
                  <c:v>0.30107526881720431</c:v>
                </c:pt>
                <c:pt idx="13">
                  <c:v>0.26478494623655913</c:v>
                </c:pt>
                <c:pt idx="14">
                  <c:v>0.27553763440860213</c:v>
                </c:pt>
                <c:pt idx="15">
                  <c:v>0.53091397849462374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2.xml"/><Relationship Id="rId1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DD12FF-F404-4663-B563-D190BF51E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48576A-A68F-49F6-B7C2-DE767D87B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F1C53B1-FA1C-46C8-B2EE-DF613910B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0179AC-8984-4CE9-B443-2BEB040A9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60763D7-AE45-4630-8D50-4BF57B236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C753A2D-D7F2-4A90-A0FD-1F335B4C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D9AA8D-B131-4DBC-8C8E-14F9580D7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4892F0-1241-48E1-AFD4-80C604859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83ECF36-787A-4020-A5E2-D50ED1646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132662D-CAF0-455C-BD65-AB3785BD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A4AE641-E88C-48B3-883C-EDD35C5E0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A69C4C7-FDEC-4BE2-B556-2CB9A0E23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E6415D8-BC62-4BEB-BF1A-F7D9FB88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362ABD4-6D85-4F5F-BEC3-82C60C0FA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70D995-E85E-4B9F-BDA0-2D99A9451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6662B1-552B-4F34-8886-43671C07C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9C04D38-7B2F-453E-B536-4CBA3633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846F7EB-EB98-44F6-879D-949BFA5C6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CC0A5A-540A-41FE-872D-486E48E8A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E04F416-F613-4A50-AF62-26C5995D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1373744-8546-4AAB-938F-AA722EA2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DC90EE-33AB-4725-A3E8-9ACD80916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C85C07-7C00-4816-AFA9-896A353EA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88511B-6452-43B6-8EF1-3BD33CC5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E090E5A-2BBB-463A-83D4-4ED563C3F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78AEBE3-40B9-4179-B958-E619BD830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1F3A0A-C521-4BD8-B2F2-82B5D420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4E69CB5-6037-49B0-8B92-BF693364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B60339-A53B-438C-91D8-59483F1FB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E741071-B0EF-4712-B7F3-AFA409865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D9F340C-D6CD-425E-9007-CDCD9B26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3A6D71-3077-4E57-9D1C-F1918156D5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A1C74F6-A75C-4D63-9C08-7F9EBA2C9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D6BD4A5-3671-4F62-B4C2-6705D310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4E2DB6E-C2D6-4D64-8B9E-8A88C4E42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C3C42A-5971-453F-80B2-EC6DB4EC6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915253-D956-46BF-9F7D-52CC1872D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F86DB83-9241-4265-A3FF-4FD4E757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0AF2984-544D-4750-BD1A-AD7DB2AF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EEAD0D-D1D3-406E-BB72-3136D10C0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EAEC11F-0992-4C80-B2EA-262780D9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11D165C-38E2-4BF7-B399-E17EA23BD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2ED9467-E039-443C-87A2-E38280624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5A9977-4269-4125-9241-32D189794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39373B4-2399-40CF-9F7C-E60000BC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E61CC5E-36A2-44FF-B15A-F8841F910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8B5BC09-6257-4017-9865-DDD4764AA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500F29D-FBFB-435A-9580-BE53F4F1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A15F4B3-7FD3-476D-AFEA-3B955365B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35085B6-B577-43DA-8018-0774480FD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A213CB1-3323-45A8-B885-284902C28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2E1C3E-A02E-49DA-984F-EBA2B105D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822C03D-2843-4C2A-B225-D67C69788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0FD88D5-0400-46C0-8B39-7DE8EA702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1A2FDEA-7879-4874-B691-4E086869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DE512AD-A5B6-493A-9B0C-B6E20F031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38BF6E-628E-4361-9ED8-14008A80A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C2193F-442F-40AC-9DDB-0FE6FD843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6F3B43D-AA61-4F85-AB4C-51E960B4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EE61FAF-C0A8-44D5-968E-5FE776DBB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2B95D2D-B2A9-4E8E-B337-C4E909B3A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E5B56EB-D6A8-4212-810F-A45CB02B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9DCA96-B0E8-4713-A3A3-F1EA04E04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271E78E-C711-4019-ACAB-D81520EFA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8506423-E8E0-4807-A056-890B699B7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B3C8F34-41BE-4031-B9FD-DF783308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8F8EF12-09DA-4645-9613-587E9FFE3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17F6C11-59A2-4D04-871F-F28A70143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B0176A6-5638-4E8C-803A-308BB2B2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17E2987-A9CC-4D7F-90BD-083BAC7EA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01B320-A5DB-419E-AD70-F4E90C338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8B8D926-5759-4886-B60B-127BCF835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BB058ED-3445-4812-AA06-A381DB96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2144F48-CC02-4B5E-A426-E733201E7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099178D-EED0-4D4A-890E-9BFF1427B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25B4E84-AF71-47A5-A2EB-86729B0E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88C8D2D-75F8-48A5-80C5-C50A40B0D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0AC88FC-C222-41F9-87F6-6351412AF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3C61DDA-11F8-49F7-9365-B729FAE2C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F2D6230-EE54-404A-B695-BBA957F6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EEE8E0A-B2BA-4CFC-97F6-EA1AFB589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D76B9D5-52ED-40E8-8E3E-2CB11AB5D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12A619D-3CFB-4EFA-BCB0-62CF6B13F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1A99894-342C-4A87-9D93-D2B589ED6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60DA8AF-DD73-4E38-BE52-A885CE558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FCDF373-D473-4E93-9CCD-03CC6E0C3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FA55827-DAA6-4DDD-9451-E9AB5CBF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EF6EE86-4AF0-4951-9B47-5C69F94E1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5BB6424-D6F9-40AD-B520-E3CCF9FFF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C7914B5-7F78-43C3-A250-9AB76136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C03CAEC-8F8E-4536-A7F9-4D55BB0F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850BC3-AE92-47EA-B7C5-B10B171E3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2A0025-2B4F-4D33-99FB-A8B202BEF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091B098-8437-40D7-A649-FBC0555C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EC0A6E-2776-4D5F-BF50-F92CDB5B7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A3CC047-0F76-4084-B3F1-FF514B8BF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0D9AFB8-A230-4A79-B7C0-77FB810D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8265298-25A7-4F83-B6A9-857C30A82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9701199-10DD-4912-8421-155D69E14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89E8038-A9FF-4F52-BBB7-9967A14CD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212CFC6-FE81-4D65-AC4A-CB6985756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C28F132-7D91-4D0A-850E-29A88FD69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59AA5BC-97DE-479E-A9AB-CDFF22550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FD6AAD6-6377-412C-848E-3C156609B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9EF0418-167D-4E05-B009-0755BE8B3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5C6836-FA8A-4E6B-9FE0-7A63EBDB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1B42AB4-BEE8-4E35-8C91-2481B45E9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F024444-DC2D-46F8-8446-D891D5EE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172C9A-78D5-43FC-BC23-535B6C587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BA5E9D6-B441-4774-AD72-28A6A75D7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8451C96-6980-4173-A389-D8D6BFDD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673512F-03F8-4BB0-88D3-7C3FD4342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D398E6-2234-4BB6-83D3-BCE50F4A2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18B067F-893C-4ABF-8122-0DD847D97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5DE2E47-C608-4D74-B443-5EE68C1F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94AE464-0720-4F61-AF7D-2E6667202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1CC33C2-C632-4608-91C3-8CA41FB19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A7EA94A-A5A4-4104-A08D-2C4DD794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F310B01-16C1-48AD-9910-16629B525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36AD5B1-29D9-4913-BD86-ACD574421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D96682E-21B1-4260-B43C-63858C0B0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BC5356A-F012-441B-9A32-E0DDB73B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3C3CE18-441D-4D50-8C97-81B0BAC6C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7F36D0D-7966-4365-89A4-C0BEAE994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9705085-11C4-4F84-B781-7960FC7C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D79202B-9275-4FA4-BF5A-F0DB7B1C1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959984A-66B5-4157-B3F0-B47E55D53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5E19CD5-8954-4E35-8C46-EB0CC822E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1D16C04-0A4B-41AB-BCF4-B909C144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4B7BA8D-3F2C-4700-9B48-0D647EA57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3FA3C37-89AE-4494-B260-347308E8E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BA276D7-D697-4700-9B44-C9E4EC11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3120A8F-30C2-488A-8DBF-406D83C13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C5371F-6F31-4A09-B1A4-51266EBE9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C89173F-EB56-47CA-BE75-A01740D8C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5DB7F5D-CD9F-4DBE-A13C-866AC5EF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337CD1D-A6FD-4E1C-BD4E-CA2235504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7FCB98A-102C-4F06-8832-CBE9DEFF7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FFF71C4-C565-4434-AB23-46B6CB2A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67FFFCB-21D5-434A-9A67-BDB282DF9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A8E26AA-218E-4270-B069-59388981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292A7EB-3E61-4722-91BC-9BCA567B7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00E2C89-C7F3-48B6-AD1F-214E45C6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A0ABD80-135A-4FCF-BA24-79FDBB192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7A92F2B-8BE4-45A4-882D-50C671871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985F2B5-BF03-448C-8708-81C37EED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E1E1AD-5C98-47EB-96E1-F0E3BDD29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CF0F69-A4C7-4AD5-8542-28CC6A1F3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68D19E5-1DA1-4EC7-9716-419E14E43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202A208-2F66-430D-A457-22F50ACE9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11DB49E-2C34-4341-B7BA-0A2B16698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AFE55BC-9968-4C6F-B35B-BE90E750A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39D8F79-BC6C-416B-8CBD-00FBD7C0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DE677E0-75FF-4FB6-B2C1-D9AB9CF13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66AE-4068-4F08-921E-B18C11824F88}">
  <dimension ref="A1:AF88"/>
  <sheetViews>
    <sheetView view="pageBreakPreview" zoomScale="70" zoomScaleNormal="72" zoomScaleSheetLayoutView="70" workbookViewId="0">
      <selection activeCell="T18" sqref="T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174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0.48284313725490191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161</v>
      </c>
      <c r="F7" s="12" t="s">
        <v>136</v>
      </c>
      <c r="G7" s="12">
        <v>2</v>
      </c>
      <c r="H7" s="13">
        <v>24</v>
      </c>
      <c r="I7" s="31">
        <v>18000</v>
      </c>
      <c r="J7" s="14">
        <v>5180</v>
      </c>
      <c r="K7" s="15">
        <f>L7+7736+12588+5180</f>
        <v>25504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0.48284313725490191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153</v>
      </c>
      <c r="F8" s="30" t="s">
        <v>154</v>
      </c>
      <c r="G8" s="33">
        <v>1</v>
      </c>
      <c r="H8" s="35">
        <v>24</v>
      </c>
      <c r="I8" s="7">
        <v>50500</v>
      </c>
      <c r="J8" s="5">
        <v>5236</v>
      </c>
      <c r="K8" s="15">
        <f>L8+4349+2445+5035+5245+5660+1855+3016+5569+5311+5560+5494+2802+2448+5266</f>
        <v>65291</v>
      </c>
      <c r="L8" s="15">
        <f>2463+2773</f>
        <v>5236</v>
      </c>
      <c r="M8" s="15">
        <f t="shared" si="0"/>
        <v>5236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0.48284313725490191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5366</v>
      </c>
      <c r="K9" s="15">
        <f>L9+1962+4980</f>
        <v>12308</v>
      </c>
      <c r="L9" s="15">
        <f>2759+2607</f>
        <v>5366</v>
      </c>
      <c r="M9" s="15">
        <f t="shared" si="0"/>
        <v>5366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0.48284313725490191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0.48284313725490191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151</v>
      </c>
      <c r="E11" s="53" t="s">
        <v>152</v>
      </c>
      <c r="F11" s="30" t="s">
        <v>144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0.48284313725490191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5284</v>
      </c>
      <c r="K12" s="15">
        <f>L12+3727+2350+5102</f>
        <v>16463</v>
      </c>
      <c r="L12" s="15">
        <f>2689+2595</f>
        <v>5284</v>
      </c>
      <c r="M12" s="15">
        <f t="shared" si="0"/>
        <v>5284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0.48284313725490191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147</v>
      </c>
      <c r="E13" s="53" t="s">
        <v>164</v>
      </c>
      <c r="F13" s="30" t="s">
        <v>149</v>
      </c>
      <c r="G13" s="33">
        <v>2</v>
      </c>
      <c r="H13" s="35">
        <v>24</v>
      </c>
      <c r="I13" s="7">
        <v>18000</v>
      </c>
      <c r="J13" s="14">
        <v>7088</v>
      </c>
      <c r="K13" s="15">
        <f>L13+3678+1851+3101+1908+1088</f>
        <v>18714</v>
      </c>
      <c r="L13" s="15">
        <f>3124*2+420*2</f>
        <v>7088</v>
      </c>
      <c r="M13" s="15">
        <f t="shared" si="0"/>
        <v>7088</v>
      </c>
      <c r="N13" s="15">
        <v>0</v>
      </c>
      <c r="O13" s="58">
        <f t="shared" si="1"/>
        <v>0</v>
      </c>
      <c r="P13" s="39">
        <f t="shared" si="2"/>
        <v>17</v>
      </c>
      <c r="Q13" s="40">
        <f t="shared" si="3"/>
        <v>7</v>
      </c>
      <c r="R13" s="7"/>
      <c r="S13" s="6">
        <v>7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0.70833333333333337</v>
      </c>
      <c r="AD13" s="10">
        <f t="shared" si="6"/>
        <v>0.70833333333333337</v>
      </c>
      <c r="AE13" s="36">
        <f t="shared" si="7"/>
        <v>0.48284313725490191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685</v>
      </c>
      <c r="K14" s="15">
        <f>L14</f>
        <v>685</v>
      </c>
      <c r="L14" s="15">
        <v>685</v>
      </c>
      <c r="M14" s="15">
        <f t="shared" si="0"/>
        <v>685</v>
      </c>
      <c r="N14" s="15">
        <v>0</v>
      </c>
      <c r="O14" s="58">
        <f t="shared" si="1"/>
        <v>0</v>
      </c>
      <c r="P14" s="39">
        <f t="shared" si="2"/>
        <v>7</v>
      </c>
      <c r="Q14" s="40">
        <f t="shared" si="3"/>
        <v>17</v>
      </c>
      <c r="R14" s="7"/>
      <c r="S14" s="6"/>
      <c r="T14" s="16">
        <v>4</v>
      </c>
      <c r="U14" s="16"/>
      <c r="V14" s="17">
        <v>13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6">
        <f t="shared" si="7"/>
        <v>0.48284313725490191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166</v>
      </c>
      <c r="E15" s="53" t="s">
        <v>167</v>
      </c>
      <c r="F15" s="12">
        <v>8301</v>
      </c>
      <c r="G15" s="12">
        <v>1</v>
      </c>
      <c r="H15" s="13">
        <v>24</v>
      </c>
      <c r="I15" s="31">
        <v>6000</v>
      </c>
      <c r="J15" s="14">
        <v>5219</v>
      </c>
      <c r="K15" s="15">
        <f>L15+2269+5219</f>
        <v>7488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0.48284313725490191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170</v>
      </c>
      <c r="E16" s="53" t="s">
        <v>169</v>
      </c>
      <c r="F16" s="30" t="s">
        <v>171</v>
      </c>
      <c r="G16" s="12">
        <v>1</v>
      </c>
      <c r="H16" s="13">
        <v>24</v>
      </c>
      <c r="I16" s="7">
        <v>4500</v>
      </c>
      <c r="J16" s="14">
        <v>1059</v>
      </c>
      <c r="K16" s="15">
        <f>L16+5493</f>
        <v>6552</v>
      </c>
      <c r="L16" s="15">
        <f>1059</f>
        <v>1059</v>
      </c>
      <c r="M16" s="15">
        <f t="shared" si="0"/>
        <v>1059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6">
        <f t="shared" si="7"/>
        <v>0.48284313725490191</v>
      </c>
      <c r="AF16" s="84">
        <f t="shared" si="8"/>
        <v>11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148</v>
      </c>
      <c r="E17" s="53" t="s">
        <v>175</v>
      </c>
      <c r="F17" s="30" t="s">
        <v>141</v>
      </c>
      <c r="G17" s="12">
        <v>1</v>
      </c>
      <c r="H17" s="13">
        <v>24</v>
      </c>
      <c r="I17" s="7">
        <v>100000</v>
      </c>
      <c r="J17" s="14">
        <v>7207</v>
      </c>
      <c r="K17" s="15">
        <f>L17</f>
        <v>7207</v>
      </c>
      <c r="L17" s="15">
        <f>4658+2549</f>
        <v>7207</v>
      </c>
      <c r="M17" s="15">
        <f t="shared" ref="M17" si="9">L17-N17</f>
        <v>7207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17</v>
      </c>
      <c r="Q17" s="40">
        <f t="shared" ref="Q17" si="12">SUM(R17:AA17)</f>
        <v>7</v>
      </c>
      <c r="R17" s="7"/>
      <c r="S17" s="6"/>
      <c r="T17" s="16">
        <v>7</v>
      </c>
      <c r="U17" s="16"/>
      <c r="V17" s="17"/>
      <c r="W17" s="5"/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0.70833333333333337</v>
      </c>
      <c r="AD17" s="10">
        <f t="shared" ref="AD17" si="15">AC17*AB17*(1-O17)</f>
        <v>0.70833333333333337</v>
      </c>
      <c r="AE17" s="36">
        <f t="shared" si="7"/>
        <v>0.48284313725490191</v>
      </c>
      <c r="AF17" s="84">
        <f t="shared" ref="AF17" si="16">A17</f>
        <v>11</v>
      </c>
    </row>
    <row r="18" spans="1:32" ht="30" customHeight="1">
      <c r="A18" s="95">
        <v>12</v>
      </c>
      <c r="B18" s="11" t="s">
        <v>163</v>
      </c>
      <c r="C18" s="34" t="s">
        <v>121</v>
      </c>
      <c r="D18" s="52" t="s">
        <v>125</v>
      </c>
      <c r="E18" s="53" t="s">
        <v>155</v>
      </c>
      <c r="F18" s="30" t="s">
        <v>136</v>
      </c>
      <c r="G18" s="12">
        <v>1</v>
      </c>
      <c r="H18" s="13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0.48284313725490191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131</v>
      </c>
      <c r="E19" s="53" t="s">
        <v>172</v>
      </c>
      <c r="F19" s="30" t="s">
        <v>156</v>
      </c>
      <c r="G19" s="33">
        <v>1</v>
      </c>
      <c r="H19" s="35">
        <v>24</v>
      </c>
      <c r="I19" s="7">
        <v>1000</v>
      </c>
      <c r="J19" s="14">
        <v>4750</v>
      </c>
      <c r="K19" s="15">
        <f>L19</f>
        <v>4750</v>
      </c>
      <c r="L19" s="15">
        <f>2445+2305</f>
        <v>4750</v>
      </c>
      <c r="M19" s="15">
        <f t="shared" si="0"/>
        <v>4750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0.48284313725490191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140</v>
      </c>
      <c r="E20" s="53" t="s">
        <v>157</v>
      </c>
      <c r="F20" s="30" t="s">
        <v>127</v>
      </c>
      <c r="G20" s="33">
        <v>1</v>
      </c>
      <c r="H20" s="35">
        <v>24</v>
      </c>
      <c r="I20" s="7">
        <v>7000</v>
      </c>
      <c r="J20" s="14">
        <v>5490</v>
      </c>
      <c r="K20" s="15">
        <f>L20</f>
        <v>5490</v>
      </c>
      <c r="L20" s="15">
        <f>2532+2958</f>
        <v>5490</v>
      </c>
      <c r="M20" s="15">
        <f t="shared" si="0"/>
        <v>5490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/>
      <c r="T20" s="16">
        <v>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0.48284313725490191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119</v>
      </c>
      <c r="D21" s="52" t="s">
        <v>115</v>
      </c>
      <c r="E21" s="53" t="s">
        <v>176</v>
      </c>
      <c r="F21" s="30" t="s">
        <v>149</v>
      </c>
      <c r="G21" s="12">
        <v>2</v>
      </c>
      <c r="H21" s="13">
        <v>24</v>
      </c>
      <c r="I21" s="7">
        <v>15000</v>
      </c>
      <c r="J21" s="14">
        <v>9922</v>
      </c>
      <c r="K21" s="15">
        <f>L21</f>
        <v>9922</v>
      </c>
      <c r="L21" s="15">
        <f>2387*2+2574*2</f>
        <v>9922</v>
      </c>
      <c r="M21" s="15">
        <f t="shared" si="0"/>
        <v>9922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0.48284313725490191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165</v>
      </c>
      <c r="F22" s="12" t="s">
        <v>114</v>
      </c>
      <c r="G22" s="12">
        <v>3</v>
      </c>
      <c r="H22" s="35">
        <v>20</v>
      </c>
      <c r="I22" s="7">
        <v>100000</v>
      </c>
      <c r="J22" s="14">
        <v>25647</v>
      </c>
      <c r="K22" s="15">
        <f>L22+30675+23163+14664</f>
        <v>94149</v>
      </c>
      <c r="L22" s="15">
        <f>8549*3</f>
        <v>25647</v>
      </c>
      <c r="M22" s="15">
        <f t="shared" si="0"/>
        <v>25647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0.48284313725490191</v>
      </c>
      <c r="AF22" s="84">
        <f t="shared" si="8"/>
        <v>16</v>
      </c>
    </row>
    <row r="23" spans="1:32" ht="31.5" customHeight="1" thickBot="1">
      <c r="A23" s="422" t="s">
        <v>34</v>
      </c>
      <c r="B23" s="423"/>
      <c r="C23" s="423"/>
      <c r="D23" s="423"/>
      <c r="E23" s="423"/>
      <c r="F23" s="423"/>
      <c r="G23" s="423"/>
      <c r="H23" s="424"/>
      <c r="I23" s="22">
        <f t="shared" ref="I23:N23" si="17">SUM(I6:I22)</f>
        <v>543000</v>
      </c>
      <c r="J23" s="19">
        <f t="shared" si="17"/>
        <v>176047</v>
      </c>
      <c r="K23" s="20">
        <f t="shared" si="17"/>
        <v>449461</v>
      </c>
      <c r="L23" s="21">
        <f t="shared" si="17"/>
        <v>77734</v>
      </c>
      <c r="M23" s="20">
        <f t="shared" si="17"/>
        <v>77734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197</v>
      </c>
      <c r="Q23" s="43">
        <f t="shared" si="18"/>
        <v>211</v>
      </c>
      <c r="R23" s="23">
        <f t="shared" si="18"/>
        <v>24</v>
      </c>
      <c r="S23" s="24">
        <f t="shared" si="18"/>
        <v>10</v>
      </c>
      <c r="T23" s="24">
        <f t="shared" si="18"/>
        <v>13</v>
      </c>
      <c r="U23" s="24">
        <f t="shared" si="18"/>
        <v>0</v>
      </c>
      <c r="V23" s="25">
        <f t="shared" si="18"/>
        <v>26</v>
      </c>
      <c r="W23" s="26">
        <f t="shared" si="18"/>
        <v>90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48</v>
      </c>
      <c r="AB23" s="28">
        <f>AVERAGE(AB6:AB22)</f>
        <v>0.6470588235294118</v>
      </c>
      <c r="AC23" s="4">
        <f>AVERAGE(AC6:AC22)</f>
        <v>0.48284313725490191</v>
      </c>
      <c r="AD23" s="4">
        <f>AVERAGE(AD6:AD22)</f>
        <v>0.48284313725490191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5" t="s">
        <v>45</v>
      </c>
      <c r="B50" s="425"/>
      <c r="C50" s="425"/>
      <c r="D50" s="425"/>
      <c r="E50" s="425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6" t="s">
        <v>178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8"/>
      <c r="N51" s="429" t="s">
        <v>185</v>
      </c>
      <c r="O51" s="430"/>
      <c r="P51" s="430"/>
      <c r="Q51" s="430"/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32" t="s">
        <v>2</v>
      </c>
      <c r="B52" s="433"/>
      <c r="C52" s="131" t="s">
        <v>46</v>
      </c>
      <c r="D52" s="131" t="s">
        <v>47</v>
      </c>
      <c r="E52" s="131" t="s">
        <v>107</v>
      </c>
      <c r="F52" s="434" t="s">
        <v>106</v>
      </c>
      <c r="G52" s="435"/>
      <c r="H52" s="435"/>
      <c r="I52" s="435"/>
      <c r="J52" s="435"/>
      <c r="K52" s="435"/>
      <c r="L52" s="435"/>
      <c r="M52" s="436"/>
      <c r="N52" s="67" t="s">
        <v>110</v>
      </c>
      <c r="O52" s="131" t="s">
        <v>46</v>
      </c>
      <c r="P52" s="434" t="s">
        <v>47</v>
      </c>
      <c r="Q52" s="437"/>
      <c r="R52" s="434" t="s">
        <v>38</v>
      </c>
      <c r="S52" s="435"/>
      <c r="T52" s="435"/>
      <c r="U52" s="437"/>
      <c r="V52" s="434" t="s">
        <v>48</v>
      </c>
      <c r="W52" s="435"/>
      <c r="X52" s="435"/>
      <c r="Y52" s="435"/>
      <c r="Z52" s="435"/>
      <c r="AA52" s="435"/>
      <c r="AB52" s="435"/>
      <c r="AC52" s="435"/>
      <c r="AD52" s="436"/>
    </row>
    <row r="53" spans="1:32" ht="27" customHeight="1">
      <c r="A53" s="448" t="s">
        <v>121</v>
      </c>
      <c r="B53" s="449"/>
      <c r="C53" s="133" t="s">
        <v>135</v>
      </c>
      <c r="D53" s="133"/>
      <c r="E53" s="134" t="s">
        <v>164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126" t="s">
        <v>119</v>
      </c>
      <c r="O53" s="124" t="s">
        <v>139</v>
      </c>
      <c r="P53" s="453" t="s">
        <v>186</v>
      </c>
      <c r="Q53" s="454"/>
      <c r="R53" s="453" t="s">
        <v>187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118</v>
      </c>
      <c r="B54" s="449"/>
      <c r="C54" s="130" t="s">
        <v>179</v>
      </c>
      <c r="D54" s="130" t="s">
        <v>180</v>
      </c>
      <c r="E54" s="127" t="s">
        <v>181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26" t="s">
        <v>112</v>
      </c>
      <c r="O54" s="124" t="s">
        <v>142</v>
      </c>
      <c r="P54" s="453" t="s">
        <v>115</v>
      </c>
      <c r="Q54" s="454"/>
      <c r="R54" s="453" t="s">
        <v>188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58" t="s">
        <v>118</v>
      </c>
      <c r="B55" s="459"/>
      <c r="C55" s="127" t="s">
        <v>182</v>
      </c>
      <c r="D55" s="127" t="s">
        <v>183</v>
      </c>
      <c r="E55" s="127" t="s">
        <v>184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126" t="s">
        <v>192</v>
      </c>
      <c r="O55" s="124" t="s">
        <v>193</v>
      </c>
      <c r="P55" s="453"/>
      <c r="Q55" s="454"/>
      <c r="R55" s="453" t="s">
        <v>191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112</v>
      </c>
      <c r="B56" s="449"/>
      <c r="C56" s="130" t="s">
        <v>134</v>
      </c>
      <c r="D56" s="130" t="s">
        <v>140</v>
      </c>
      <c r="E56" s="127" t="s">
        <v>157</v>
      </c>
      <c r="F56" s="450" t="s">
        <v>130</v>
      </c>
      <c r="G56" s="451"/>
      <c r="H56" s="451"/>
      <c r="I56" s="451"/>
      <c r="J56" s="451"/>
      <c r="K56" s="451"/>
      <c r="L56" s="451"/>
      <c r="M56" s="452"/>
      <c r="N56" s="126" t="s">
        <v>119</v>
      </c>
      <c r="O56" s="124" t="s">
        <v>196</v>
      </c>
      <c r="P56" s="453" t="s">
        <v>183</v>
      </c>
      <c r="Q56" s="454"/>
      <c r="R56" s="453" t="s">
        <v>194</v>
      </c>
      <c r="S56" s="455"/>
      <c r="T56" s="455"/>
      <c r="U56" s="454"/>
      <c r="V56" s="456" t="s">
        <v>195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119</v>
      </c>
      <c r="B57" s="449"/>
      <c r="C57" s="130" t="s">
        <v>143</v>
      </c>
      <c r="D57" s="130" t="s">
        <v>115</v>
      </c>
      <c r="E57" s="127" t="s">
        <v>176</v>
      </c>
      <c r="F57" s="450" t="s">
        <v>160</v>
      </c>
      <c r="G57" s="451"/>
      <c r="H57" s="451"/>
      <c r="I57" s="451"/>
      <c r="J57" s="451"/>
      <c r="K57" s="451"/>
      <c r="L57" s="451"/>
      <c r="M57" s="452"/>
      <c r="N57" s="126"/>
      <c r="O57" s="124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112</v>
      </c>
      <c r="B58" s="449"/>
      <c r="C58" s="130" t="s">
        <v>190</v>
      </c>
      <c r="D58" s="130" t="s">
        <v>115</v>
      </c>
      <c r="E58" s="127" t="s">
        <v>189</v>
      </c>
      <c r="F58" s="450" t="s">
        <v>130</v>
      </c>
      <c r="G58" s="451"/>
      <c r="H58" s="451"/>
      <c r="I58" s="451"/>
      <c r="J58" s="451"/>
      <c r="K58" s="451"/>
      <c r="L58" s="451"/>
      <c r="M58" s="452"/>
      <c r="N58" s="126"/>
      <c r="O58" s="124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48"/>
      <c r="B59" s="449"/>
      <c r="C59" s="130"/>
      <c r="D59" s="130"/>
      <c r="E59" s="127"/>
      <c r="F59" s="450"/>
      <c r="G59" s="451"/>
      <c r="H59" s="451"/>
      <c r="I59" s="451"/>
      <c r="J59" s="451"/>
      <c r="K59" s="451"/>
      <c r="L59" s="451"/>
      <c r="M59" s="452"/>
      <c r="N59" s="126"/>
      <c r="O59" s="124"/>
      <c r="P59" s="453"/>
      <c r="Q59" s="454"/>
      <c r="R59" s="453"/>
      <c r="S59" s="455"/>
      <c r="T59" s="455"/>
      <c r="U59" s="454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58"/>
      <c r="B60" s="459"/>
      <c r="C60" s="127"/>
      <c r="D60" s="127"/>
      <c r="E60" s="127"/>
      <c r="F60" s="450"/>
      <c r="G60" s="451"/>
      <c r="H60" s="451"/>
      <c r="I60" s="451"/>
      <c r="J60" s="451"/>
      <c r="K60" s="451"/>
      <c r="L60" s="451"/>
      <c r="M60" s="452"/>
      <c r="N60" s="126"/>
      <c r="O60" s="124"/>
      <c r="P60" s="453"/>
      <c r="Q60" s="454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</row>
    <row r="61" spans="1:32" ht="27" customHeight="1">
      <c r="A61" s="448"/>
      <c r="B61" s="449"/>
      <c r="C61" s="130"/>
      <c r="D61" s="130"/>
      <c r="E61" s="127"/>
      <c r="F61" s="450"/>
      <c r="G61" s="451"/>
      <c r="H61" s="451"/>
      <c r="I61" s="451"/>
      <c r="J61" s="451"/>
      <c r="K61" s="451"/>
      <c r="L61" s="451"/>
      <c r="M61" s="452"/>
      <c r="N61" s="126"/>
      <c r="O61" s="124"/>
      <c r="P61" s="459"/>
      <c r="Q61" s="459"/>
      <c r="R61" s="459"/>
      <c r="S61" s="459"/>
      <c r="T61" s="459"/>
      <c r="U61" s="459"/>
      <c r="V61" s="456"/>
      <c r="W61" s="456"/>
      <c r="X61" s="456"/>
      <c r="Y61" s="456"/>
      <c r="Z61" s="456"/>
      <c r="AA61" s="456"/>
      <c r="AB61" s="456"/>
      <c r="AC61" s="456"/>
      <c r="AD61" s="457"/>
      <c r="AF61" s="84">
        <f>8*3000</f>
        <v>24000</v>
      </c>
    </row>
    <row r="62" spans="1:32" ht="27" customHeight="1" thickBot="1">
      <c r="A62" s="460"/>
      <c r="B62" s="461"/>
      <c r="C62" s="128"/>
      <c r="D62" s="129"/>
      <c r="E62" s="129"/>
      <c r="F62" s="462"/>
      <c r="G62" s="463"/>
      <c r="H62" s="463"/>
      <c r="I62" s="463"/>
      <c r="J62" s="463"/>
      <c r="K62" s="463"/>
      <c r="L62" s="463"/>
      <c r="M62" s="464"/>
      <c r="N62" s="111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197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125" t="s">
        <v>2</v>
      </c>
      <c r="D64" s="125" t="s">
        <v>37</v>
      </c>
      <c r="E64" s="125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125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4" t="s">
        <v>119</v>
      </c>
      <c r="D65" s="120"/>
      <c r="E65" s="123" t="s">
        <v>131</v>
      </c>
      <c r="F65" s="477" t="s">
        <v>198</v>
      </c>
      <c r="G65" s="478"/>
      <c r="H65" s="478"/>
      <c r="I65" s="478"/>
      <c r="J65" s="479"/>
      <c r="K65" s="480" t="s">
        <v>132</v>
      </c>
      <c r="L65" s="480"/>
      <c r="M65" s="51" t="s">
        <v>137</v>
      </c>
      <c r="N65" s="481" t="s">
        <v>129</v>
      </c>
      <c r="O65" s="481"/>
      <c r="P65" s="482">
        <v>50</v>
      </c>
      <c r="Q65" s="482"/>
      <c r="R65" s="456" t="s">
        <v>199</v>
      </c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2</v>
      </c>
      <c r="B66" s="476"/>
      <c r="C66" s="104"/>
      <c r="D66" s="120"/>
      <c r="E66" s="123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3</v>
      </c>
      <c r="B67" s="476"/>
      <c r="C67" s="104"/>
      <c r="D67" s="120"/>
      <c r="E67" s="123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4</v>
      </c>
      <c r="B68" s="476"/>
      <c r="C68" s="104"/>
      <c r="D68" s="120"/>
      <c r="E68" s="123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5</v>
      </c>
      <c r="B69" s="476"/>
      <c r="C69" s="104"/>
      <c r="D69" s="120"/>
      <c r="E69" s="123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6</v>
      </c>
      <c r="B70" s="476"/>
      <c r="C70" s="104"/>
      <c r="D70" s="120"/>
      <c r="E70" s="123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7</v>
      </c>
      <c r="B71" s="476"/>
      <c r="C71" s="104"/>
      <c r="D71" s="120"/>
      <c r="E71" s="123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8</v>
      </c>
      <c r="B72" s="476"/>
      <c r="C72" s="104"/>
      <c r="D72" s="120"/>
      <c r="E72" s="123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9</v>
      </c>
      <c r="B73" s="476"/>
      <c r="C73" s="104"/>
      <c r="D73" s="120"/>
      <c r="E73" s="123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5.5" customHeight="1">
      <c r="A74" s="475">
        <v>10</v>
      </c>
      <c r="B74" s="476"/>
      <c r="C74" s="104"/>
      <c r="D74" s="120"/>
      <c r="E74" s="123"/>
      <c r="F74" s="484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80"/>
      <c r="AC74" s="480"/>
      <c r="AD74" s="483"/>
      <c r="AF74" s="50"/>
    </row>
    <row r="75" spans="1:32" ht="26.25" customHeight="1" thickBot="1">
      <c r="A75" s="485" t="s">
        <v>200</v>
      </c>
      <c r="B75" s="485"/>
      <c r="C75" s="485"/>
      <c r="D75" s="485"/>
      <c r="E75" s="48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6" t="s">
        <v>133</v>
      </c>
      <c r="B76" s="487"/>
      <c r="C76" s="122" t="s">
        <v>2</v>
      </c>
      <c r="D76" s="122" t="s">
        <v>37</v>
      </c>
      <c r="E76" s="122" t="s">
        <v>128</v>
      </c>
      <c r="F76" s="487" t="s">
        <v>38</v>
      </c>
      <c r="G76" s="487"/>
      <c r="H76" s="487"/>
      <c r="I76" s="487"/>
      <c r="J76" s="487"/>
      <c r="K76" s="488" t="s">
        <v>58</v>
      </c>
      <c r="L76" s="489"/>
      <c r="M76" s="489"/>
      <c r="N76" s="489"/>
      <c r="O76" s="489"/>
      <c r="P76" s="489"/>
      <c r="Q76" s="489"/>
      <c r="R76" s="489"/>
      <c r="S76" s="490"/>
      <c r="T76" s="487" t="s">
        <v>49</v>
      </c>
      <c r="U76" s="487"/>
      <c r="V76" s="488" t="s">
        <v>50</v>
      </c>
      <c r="W76" s="490"/>
      <c r="X76" s="489" t="s">
        <v>51</v>
      </c>
      <c r="Y76" s="489"/>
      <c r="Z76" s="489"/>
      <c r="AA76" s="489"/>
      <c r="AB76" s="489"/>
      <c r="AC76" s="489"/>
      <c r="AD76" s="491"/>
      <c r="AF76" s="50"/>
    </row>
    <row r="77" spans="1:32" ht="33.75" customHeight="1">
      <c r="A77" s="500">
        <v>1</v>
      </c>
      <c r="B77" s="501"/>
      <c r="C77" s="121" t="s">
        <v>112</v>
      </c>
      <c r="D77" s="121"/>
      <c r="E77" s="65" t="s">
        <v>117</v>
      </c>
      <c r="F77" s="502" t="s">
        <v>116</v>
      </c>
      <c r="G77" s="503"/>
      <c r="H77" s="503"/>
      <c r="I77" s="503"/>
      <c r="J77" s="504"/>
      <c r="K77" s="505" t="s">
        <v>120</v>
      </c>
      <c r="L77" s="506"/>
      <c r="M77" s="506"/>
      <c r="N77" s="506"/>
      <c r="O77" s="506"/>
      <c r="P77" s="506"/>
      <c r="Q77" s="506"/>
      <c r="R77" s="506"/>
      <c r="S77" s="507"/>
      <c r="T77" s="508">
        <v>44118</v>
      </c>
      <c r="U77" s="509"/>
      <c r="V77" s="510"/>
      <c r="W77" s="510"/>
      <c r="X77" s="511"/>
      <c r="Y77" s="511"/>
      <c r="Z77" s="511"/>
      <c r="AA77" s="511"/>
      <c r="AB77" s="511"/>
      <c r="AC77" s="511"/>
      <c r="AD77" s="512"/>
      <c r="AF77" s="50"/>
    </row>
    <row r="78" spans="1:32" ht="30" customHeight="1">
      <c r="A78" s="492">
        <f>A77+1</f>
        <v>2</v>
      </c>
      <c r="B78" s="493"/>
      <c r="C78" s="120"/>
      <c r="D78" s="120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ref="A79:A83" si="19">A78+1</f>
        <v>3</v>
      </c>
      <c r="B79" s="493"/>
      <c r="C79" s="120"/>
      <c r="D79" s="120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9"/>
        <v>4</v>
      </c>
      <c r="B80" s="493"/>
      <c r="C80" s="120"/>
      <c r="D80" s="120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9"/>
        <v>5</v>
      </c>
      <c r="B81" s="493"/>
      <c r="C81" s="120"/>
      <c r="D81" s="120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9"/>
        <v>6</v>
      </c>
      <c r="B82" s="493"/>
      <c r="C82" s="120"/>
      <c r="D82" s="120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0" customHeight="1">
      <c r="A83" s="492">
        <f t="shared" si="19"/>
        <v>7</v>
      </c>
      <c r="B83" s="493"/>
      <c r="C83" s="120"/>
      <c r="D83" s="120"/>
      <c r="E83" s="32"/>
      <c r="F83" s="493"/>
      <c r="G83" s="493"/>
      <c r="H83" s="493"/>
      <c r="I83" s="493"/>
      <c r="J83" s="493"/>
      <c r="K83" s="494"/>
      <c r="L83" s="495"/>
      <c r="M83" s="495"/>
      <c r="N83" s="495"/>
      <c r="O83" s="495"/>
      <c r="P83" s="495"/>
      <c r="Q83" s="495"/>
      <c r="R83" s="495"/>
      <c r="S83" s="496"/>
      <c r="T83" s="497"/>
      <c r="U83" s="497"/>
      <c r="V83" s="497"/>
      <c r="W83" s="497"/>
      <c r="X83" s="498"/>
      <c r="Y83" s="498"/>
      <c r="Z83" s="498"/>
      <c r="AA83" s="498"/>
      <c r="AB83" s="498"/>
      <c r="AC83" s="498"/>
      <c r="AD83" s="499"/>
      <c r="AF83" s="50"/>
    </row>
    <row r="84" spans="1:32" ht="36" thickBot="1">
      <c r="A84" s="485" t="s">
        <v>201</v>
      </c>
      <c r="B84" s="485"/>
      <c r="C84" s="485"/>
      <c r="D84" s="485"/>
      <c r="E84" s="48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6" t="s">
        <v>111</v>
      </c>
      <c r="B85" s="487"/>
      <c r="C85" s="513" t="s">
        <v>52</v>
      </c>
      <c r="D85" s="513"/>
      <c r="E85" s="513" t="s">
        <v>53</v>
      </c>
      <c r="F85" s="513"/>
      <c r="G85" s="513"/>
      <c r="H85" s="513"/>
      <c r="I85" s="513"/>
      <c r="J85" s="513"/>
      <c r="K85" s="513" t="s">
        <v>54</v>
      </c>
      <c r="L85" s="513"/>
      <c r="M85" s="513"/>
      <c r="N85" s="513"/>
      <c r="O85" s="513"/>
      <c r="P85" s="513"/>
      <c r="Q85" s="513"/>
      <c r="R85" s="513"/>
      <c r="S85" s="513"/>
      <c r="T85" s="513" t="s">
        <v>55</v>
      </c>
      <c r="U85" s="513"/>
      <c r="V85" s="513" t="s">
        <v>56</v>
      </c>
      <c r="W85" s="513"/>
      <c r="X85" s="513"/>
      <c r="Y85" s="513" t="s">
        <v>51</v>
      </c>
      <c r="Z85" s="513"/>
      <c r="AA85" s="513"/>
      <c r="AB85" s="513"/>
      <c r="AC85" s="513"/>
      <c r="AD85" s="514"/>
      <c r="AF85" s="50"/>
    </row>
    <row r="86" spans="1:32" ht="30.75" customHeight="1">
      <c r="A86" s="500">
        <v>1</v>
      </c>
      <c r="B86" s="501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0"/>
    </row>
    <row r="87" spans="1:32" ht="30.75" customHeight="1">
      <c r="A87" s="492">
        <v>2</v>
      </c>
      <c r="B87" s="493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7"/>
      <c r="U87" s="527"/>
      <c r="V87" s="528"/>
      <c r="W87" s="528"/>
      <c r="X87" s="528"/>
      <c r="Y87" s="519"/>
      <c r="Z87" s="519"/>
      <c r="AA87" s="519"/>
      <c r="AB87" s="519"/>
      <c r="AC87" s="519"/>
      <c r="AD87" s="520"/>
      <c r="AF87" s="50"/>
    </row>
    <row r="88" spans="1:32" ht="30.75" customHeight="1" thickBot="1">
      <c r="A88" s="521">
        <v>3</v>
      </c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4"/>
      <c r="Z88" s="524"/>
      <c r="AA88" s="524"/>
      <c r="AB88" s="524"/>
      <c r="AC88" s="524"/>
      <c r="AD88" s="52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9B1A-67B7-4DC3-9B14-C49C0B387E4D}">
  <dimension ref="A1:AF87"/>
  <sheetViews>
    <sheetView view="pageBreakPreview" zoomScale="70" zoomScaleNormal="72" zoomScaleSheetLayoutView="70" workbookViewId="0">
      <selection activeCell="R57" sqref="R57:U5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202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47" t="s">
        <v>17</v>
      </c>
      <c r="L5" s="147" t="s">
        <v>18</v>
      </c>
      <c r="M5" s="147" t="s">
        <v>19</v>
      </c>
      <c r="N5" s="1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0.55208333333333337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198</v>
      </c>
      <c r="F7" s="12" t="s">
        <v>132</v>
      </c>
      <c r="G7" s="12">
        <v>1</v>
      </c>
      <c r="H7" s="13">
        <v>24</v>
      </c>
      <c r="I7" s="31">
        <v>15000</v>
      </c>
      <c r="J7" s="14">
        <v>4740</v>
      </c>
      <c r="K7" s="15">
        <f>L7</f>
        <v>4740</v>
      </c>
      <c r="L7" s="15">
        <f>1628+3112</f>
        <v>4740</v>
      </c>
      <c r="M7" s="15">
        <f t="shared" si="0"/>
        <v>4740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>
        <v>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6">
        <f t="shared" si="7"/>
        <v>0.55208333333333337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203</v>
      </c>
      <c r="E8" s="53" t="s">
        <v>204</v>
      </c>
      <c r="F8" s="30" t="s">
        <v>149</v>
      </c>
      <c r="G8" s="33" t="s">
        <v>205</v>
      </c>
      <c r="H8" s="35">
        <v>24</v>
      </c>
      <c r="I8" s="7">
        <v>2000</v>
      </c>
      <c r="J8" s="5">
        <v>3150</v>
      </c>
      <c r="K8" s="15">
        <f>L8</f>
        <v>3150</v>
      </c>
      <c r="L8" s="15">
        <f>2223+927</f>
        <v>3150</v>
      </c>
      <c r="M8" s="15">
        <f t="shared" si="0"/>
        <v>3150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/>
      <c r="T8" s="16"/>
      <c r="U8" s="16"/>
      <c r="V8" s="17"/>
      <c r="W8" s="5">
        <v>7</v>
      </c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0.55208333333333337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4717</v>
      </c>
      <c r="K9" s="15">
        <f>L9+1962+4980+5366</f>
        <v>17025</v>
      </c>
      <c r="L9" s="15">
        <f>1998+2719</f>
        <v>4717</v>
      </c>
      <c r="M9" s="15">
        <f t="shared" si="0"/>
        <v>4717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0.55208333333333337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0.55208333333333337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151</v>
      </c>
      <c r="E11" s="53" t="s">
        <v>152</v>
      </c>
      <c r="F11" s="30" t="s">
        <v>144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0.55208333333333337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3705</v>
      </c>
      <c r="K12" s="15">
        <f>L12+3727+2350+5102+5284</f>
        <v>20168</v>
      </c>
      <c r="L12" s="15">
        <f>995+2710</f>
        <v>3705</v>
      </c>
      <c r="M12" s="15">
        <f t="shared" si="0"/>
        <v>3705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0.55208333333333337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147</v>
      </c>
      <c r="E13" s="53" t="s">
        <v>164</v>
      </c>
      <c r="F13" s="30" t="s">
        <v>149</v>
      </c>
      <c r="G13" s="33">
        <v>2</v>
      </c>
      <c r="H13" s="35">
        <v>24</v>
      </c>
      <c r="I13" s="7">
        <v>18000</v>
      </c>
      <c r="J13" s="14">
        <v>11048</v>
      </c>
      <c r="K13" s="15">
        <f>L13+3678+1851+3101+1908+1088+7088</f>
        <v>29762</v>
      </c>
      <c r="L13" s="15">
        <f>2971*2+2553*2</f>
        <v>11048</v>
      </c>
      <c r="M13" s="15">
        <f t="shared" si="0"/>
        <v>11048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0.55208333333333337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1206</v>
      </c>
      <c r="K14" s="15">
        <f>L14+685</f>
        <v>1891</v>
      </c>
      <c r="L14" s="15">
        <v>1206</v>
      </c>
      <c r="M14" s="15">
        <f t="shared" si="0"/>
        <v>1206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0.55208333333333337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166</v>
      </c>
      <c r="E15" s="53" t="s">
        <v>167</v>
      </c>
      <c r="F15" s="12">
        <v>8301</v>
      </c>
      <c r="G15" s="12">
        <v>1</v>
      </c>
      <c r="H15" s="13">
        <v>24</v>
      </c>
      <c r="I15" s="31">
        <v>6000</v>
      </c>
      <c r="J15" s="14">
        <v>5219</v>
      </c>
      <c r="K15" s="15">
        <f>L15+2269+5219</f>
        <v>7488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0.55208333333333337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1</v>
      </c>
      <c r="H16" s="13">
        <v>24</v>
      </c>
      <c r="I16" s="7">
        <v>100000</v>
      </c>
      <c r="J16" s="14">
        <v>12638</v>
      </c>
      <c r="K16" s="15">
        <f>L16+7207</f>
        <v>19845</v>
      </c>
      <c r="L16" s="15">
        <f>4649*2+3340</f>
        <v>12638</v>
      </c>
      <c r="M16" s="15">
        <f t="shared" si="0"/>
        <v>12638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6">
        <f t="shared" si="7"/>
        <v>0.55208333333333337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0.55208333333333337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188</v>
      </c>
      <c r="F18" s="30" t="s">
        <v>206</v>
      </c>
      <c r="G18" s="33">
        <v>1</v>
      </c>
      <c r="H18" s="35">
        <v>24</v>
      </c>
      <c r="I18" s="7">
        <v>2000</v>
      </c>
      <c r="J18" s="14">
        <v>5061</v>
      </c>
      <c r="K18" s="15">
        <f>L18</f>
        <v>5061</v>
      </c>
      <c r="L18" s="15">
        <f>2347+2714</f>
        <v>5061</v>
      </c>
      <c r="M18" s="15">
        <f t="shared" si="0"/>
        <v>5061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0.55208333333333337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140</v>
      </c>
      <c r="E19" s="53" t="s">
        <v>157</v>
      </c>
      <c r="F19" s="30" t="s">
        <v>127</v>
      </c>
      <c r="G19" s="33">
        <v>1</v>
      </c>
      <c r="H19" s="35">
        <v>24</v>
      </c>
      <c r="I19" s="7">
        <v>7000</v>
      </c>
      <c r="J19" s="14">
        <v>5571</v>
      </c>
      <c r="K19" s="15">
        <f>L19+5490</f>
        <v>11061</v>
      </c>
      <c r="L19" s="15">
        <f>2823+2748</f>
        <v>5571</v>
      </c>
      <c r="M19" s="15">
        <f t="shared" si="0"/>
        <v>5571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0.55208333333333337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9172</v>
      </c>
      <c r="K20" s="15">
        <f>L20+9922</f>
        <v>19094</v>
      </c>
      <c r="L20" s="15">
        <f>1838*2+2748*2</f>
        <v>9172</v>
      </c>
      <c r="M20" s="15">
        <f t="shared" si="0"/>
        <v>9172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0.55208333333333337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191</v>
      </c>
      <c r="F21" s="12" t="s">
        <v>114</v>
      </c>
      <c r="G21" s="12">
        <v>4</v>
      </c>
      <c r="H21" s="35">
        <v>20</v>
      </c>
      <c r="I21" s="7">
        <v>500000</v>
      </c>
      <c r="J21" s="14">
        <v>25436</v>
      </c>
      <c r="K21" s="15">
        <f>L21</f>
        <v>25436</v>
      </c>
      <c r="L21" s="15">
        <f>6359*4</f>
        <v>25436</v>
      </c>
      <c r="M21" s="15">
        <f t="shared" si="0"/>
        <v>25436</v>
      </c>
      <c r="N21" s="15">
        <v>0</v>
      </c>
      <c r="O21" s="58">
        <f t="shared" si="1"/>
        <v>0</v>
      </c>
      <c r="P21" s="39">
        <f t="shared" si="2"/>
        <v>9</v>
      </c>
      <c r="Q21" s="40">
        <f t="shared" si="3"/>
        <v>15</v>
      </c>
      <c r="R21" s="7"/>
      <c r="S21" s="6"/>
      <c r="T21" s="16"/>
      <c r="U21" s="16"/>
      <c r="V21" s="17">
        <v>15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0.375</v>
      </c>
      <c r="AD21" s="10">
        <f t="shared" si="6"/>
        <v>0.375</v>
      </c>
      <c r="AE21" s="36">
        <f t="shared" si="7"/>
        <v>0.55208333333333337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888000</v>
      </c>
      <c r="J22" s="19">
        <f t="shared" si="9"/>
        <v>179577</v>
      </c>
      <c r="K22" s="20">
        <f t="shared" si="9"/>
        <v>339659</v>
      </c>
      <c r="L22" s="21">
        <f t="shared" si="9"/>
        <v>86444</v>
      </c>
      <c r="M22" s="20">
        <f t="shared" si="9"/>
        <v>86444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212</v>
      </c>
      <c r="Q22" s="43">
        <f t="shared" si="10"/>
        <v>172</v>
      </c>
      <c r="R22" s="23">
        <f t="shared" si="10"/>
        <v>24</v>
      </c>
      <c r="S22" s="24">
        <f t="shared" si="10"/>
        <v>18</v>
      </c>
      <c r="T22" s="24">
        <f t="shared" si="10"/>
        <v>0</v>
      </c>
      <c r="U22" s="24">
        <f t="shared" si="10"/>
        <v>0</v>
      </c>
      <c r="V22" s="25">
        <f t="shared" si="10"/>
        <v>27</v>
      </c>
      <c r="W22" s="26">
        <f t="shared" si="10"/>
        <v>79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0.6875</v>
      </c>
      <c r="AC22" s="4">
        <f>AVERAGE(AC6:AC21)</f>
        <v>0.55208333333333337</v>
      </c>
      <c r="AD22" s="4">
        <f>AVERAGE(AD6:AD21)</f>
        <v>0.55208333333333337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207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213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146" t="s">
        <v>46</v>
      </c>
      <c r="D51" s="146" t="s">
        <v>47</v>
      </c>
      <c r="E51" s="146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146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119</v>
      </c>
      <c r="B52" s="449"/>
      <c r="C52" s="145" t="s">
        <v>129</v>
      </c>
      <c r="D52" s="145" t="s">
        <v>131</v>
      </c>
      <c r="E52" s="142" t="s">
        <v>198</v>
      </c>
      <c r="F52" s="450" t="s">
        <v>208</v>
      </c>
      <c r="G52" s="451"/>
      <c r="H52" s="451"/>
      <c r="I52" s="451"/>
      <c r="J52" s="451"/>
      <c r="K52" s="451"/>
      <c r="L52" s="451"/>
      <c r="M52" s="452"/>
      <c r="N52" s="141" t="s">
        <v>118</v>
      </c>
      <c r="O52" s="139" t="s">
        <v>139</v>
      </c>
      <c r="P52" s="453" t="s">
        <v>131</v>
      </c>
      <c r="Q52" s="454"/>
      <c r="R52" s="453" t="s">
        <v>214</v>
      </c>
      <c r="S52" s="455"/>
      <c r="T52" s="455"/>
      <c r="U52" s="454"/>
      <c r="V52" s="456" t="s">
        <v>130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145" t="s">
        <v>179</v>
      </c>
      <c r="D53" s="145" t="s">
        <v>148</v>
      </c>
      <c r="E53" s="142" t="s">
        <v>175</v>
      </c>
      <c r="F53" s="450" t="s">
        <v>209</v>
      </c>
      <c r="G53" s="451"/>
      <c r="H53" s="451"/>
      <c r="I53" s="451"/>
      <c r="J53" s="451"/>
      <c r="K53" s="451"/>
      <c r="L53" s="451"/>
      <c r="M53" s="452"/>
      <c r="N53" s="141" t="s">
        <v>118</v>
      </c>
      <c r="O53" s="139" t="s">
        <v>135</v>
      </c>
      <c r="P53" s="453" t="s">
        <v>115</v>
      </c>
      <c r="Q53" s="454"/>
      <c r="R53" s="453" t="s">
        <v>215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58" t="s">
        <v>119</v>
      </c>
      <c r="B54" s="459"/>
      <c r="C54" s="142" t="s">
        <v>139</v>
      </c>
      <c r="D54" s="142" t="s">
        <v>203</v>
      </c>
      <c r="E54" s="142" t="s">
        <v>210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41" t="s">
        <v>118</v>
      </c>
      <c r="O54" s="139" t="s">
        <v>134</v>
      </c>
      <c r="P54" s="453" t="s">
        <v>217</v>
      </c>
      <c r="Q54" s="454"/>
      <c r="R54" s="453" t="s">
        <v>216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112</v>
      </c>
      <c r="B55" s="449"/>
      <c r="C55" s="145" t="s">
        <v>142</v>
      </c>
      <c r="D55" s="145" t="s">
        <v>115</v>
      </c>
      <c r="E55" s="142" t="s">
        <v>188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141"/>
      <c r="O55" s="139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119</v>
      </c>
      <c r="B56" s="449"/>
      <c r="C56" s="145" t="s">
        <v>143</v>
      </c>
      <c r="D56" s="145" t="s">
        <v>115</v>
      </c>
      <c r="E56" s="142" t="s">
        <v>176</v>
      </c>
      <c r="F56" s="450" t="s">
        <v>211</v>
      </c>
      <c r="G56" s="451"/>
      <c r="H56" s="451"/>
      <c r="I56" s="451"/>
      <c r="J56" s="451"/>
      <c r="K56" s="451"/>
      <c r="L56" s="451"/>
      <c r="M56" s="452"/>
      <c r="N56" s="141"/>
      <c r="O56" s="139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113</v>
      </c>
      <c r="B57" s="449"/>
      <c r="C57" s="145" t="s">
        <v>212</v>
      </c>
      <c r="D57" s="145"/>
      <c r="E57" s="142" t="s">
        <v>191</v>
      </c>
      <c r="F57" s="450" t="s">
        <v>130</v>
      </c>
      <c r="G57" s="451"/>
      <c r="H57" s="451"/>
      <c r="I57" s="451"/>
      <c r="J57" s="451"/>
      <c r="K57" s="451"/>
      <c r="L57" s="451"/>
      <c r="M57" s="452"/>
      <c r="N57" s="141"/>
      <c r="O57" s="139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145"/>
      <c r="D58" s="145"/>
      <c r="E58" s="142"/>
      <c r="F58" s="450"/>
      <c r="G58" s="451"/>
      <c r="H58" s="451"/>
      <c r="I58" s="451"/>
      <c r="J58" s="451"/>
      <c r="K58" s="451"/>
      <c r="L58" s="451"/>
      <c r="M58" s="452"/>
      <c r="N58" s="141"/>
      <c r="O58" s="139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142"/>
      <c r="D59" s="142"/>
      <c r="E59" s="142"/>
      <c r="F59" s="450"/>
      <c r="G59" s="451"/>
      <c r="H59" s="451"/>
      <c r="I59" s="451"/>
      <c r="J59" s="451"/>
      <c r="K59" s="451"/>
      <c r="L59" s="451"/>
      <c r="M59" s="452"/>
      <c r="N59" s="141"/>
      <c r="O59" s="139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145"/>
      <c r="D60" s="145"/>
      <c r="E60" s="142"/>
      <c r="F60" s="450"/>
      <c r="G60" s="451"/>
      <c r="H60" s="451"/>
      <c r="I60" s="451"/>
      <c r="J60" s="451"/>
      <c r="K60" s="451"/>
      <c r="L60" s="451"/>
      <c r="M60" s="452"/>
      <c r="N60" s="141"/>
      <c r="O60" s="139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143"/>
      <c r="D61" s="144"/>
      <c r="E61" s="144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218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40" t="s">
        <v>2</v>
      </c>
      <c r="D63" s="140" t="s">
        <v>37</v>
      </c>
      <c r="E63" s="140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40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119</v>
      </c>
      <c r="D64" s="135"/>
      <c r="E64" s="138" t="s">
        <v>219</v>
      </c>
      <c r="F64" s="477" t="s">
        <v>221</v>
      </c>
      <c r="G64" s="478"/>
      <c r="H64" s="478"/>
      <c r="I64" s="478"/>
      <c r="J64" s="479"/>
      <c r="K64" s="480" t="s">
        <v>223</v>
      </c>
      <c r="L64" s="480"/>
      <c r="M64" s="51" t="s">
        <v>137</v>
      </c>
      <c r="N64" s="481" t="s">
        <v>224</v>
      </c>
      <c r="O64" s="481"/>
      <c r="P64" s="482">
        <v>100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135"/>
      <c r="E65" s="138" t="s">
        <v>220</v>
      </c>
      <c r="F65" s="477" t="s">
        <v>222</v>
      </c>
      <c r="G65" s="478"/>
      <c r="H65" s="478"/>
      <c r="I65" s="478"/>
      <c r="J65" s="479"/>
      <c r="K65" s="480" t="s">
        <v>223</v>
      </c>
      <c r="L65" s="480"/>
      <c r="M65" s="51" t="s">
        <v>137</v>
      </c>
      <c r="N65" s="481" t="s">
        <v>224</v>
      </c>
      <c r="O65" s="481"/>
      <c r="P65" s="482">
        <v>50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135"/>
      <c r="E66" s="138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135"/>
      <c r="E67" s="138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135"/>
      <c r="E68" s="138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135"/>
      <c r="E69" s="138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135"/>
      <c r="E70" s="138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135"/>
      <c r="E71" s="138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135"/>
      <c r="E72" s="138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135"/>
      <c r="E73" s="138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225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137" t="s">
        <v>2</v>
      </c>
      <c r="D75" s="137" t="s">
        <v>37</v>
      </c>
      <c r="E75" s="137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136" t="s">
        <v>112</v>
      </c>
      <c r="D76" s="136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135"/>
      <c r="D77" s="135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135"/>
      <c r="D78" s="135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135"/>
      <c r="D79" s="135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135"/>
      <c r="D80" s="135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135"/>
      <c r="D81" s="135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135"/>
      <c r="D82" s="135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226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5FD-2EF1-4314-8237-A8ECA469F489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227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48" t="s">
        <v>17</v>
      </c>
      <c r="L5" s="148" t="s">
        <v>18</v>
      </c>
      <c r="M5" s="148" t="s">
        <v>19</v>
      </c>
      <c r="N5" s="1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0.52864583333333326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198</v>
      </c>
      <c r="F7" s="12" t="s">
        <v>132</v>
      </c>
      <c r="G7" s="12">
        <v>1</v>
      </c>
      <c r="H7" s="13">
        <v>24</v>
      </c>
      <c r="I7" s="31">
        <v>15000</v>
      </c>
      <c r="J7" s="14">
        <v>1134</v>
      </c>
      <c r="K7" s="15">
        <f>L7+4740</f>
        <v>5874</v>
      </c>
      <c r="L7" s="15">
        <v>1134</v>
      </c>
      <c r="M7" s="15">
        <f t="shared" si="0"/>
        <v>1134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>
        <v>18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0.52864583333333326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131</v>
      </c>
      <c r="E8" s="53" t="s">
        <v>214</v>
      </c>
      <c r="F8" s="30" t="s">
        <v>156</v>
      </c>
      <c r="G8" s="33">
        <v>1</v>
      </c>
      <c r="H8" s="35">
        <v>24</v>
      </c>
      <c r="I8" s="7">
        <v>10000</v>
      </c>
      <c r="J8" s="5">
        <v>3150</v>
      </c>
      <c r="K8" s="15">
        <f>L8</f>
        <v>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0.52864583333333326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5345</v>
      </c>
      <c r="K9" s="15">
        <f>L9+1962+4980+5366+4717</f>
        <v>22370</v>
      </c>
      <c r="L9" s="15">
        <f>2727+2618</f>
        <v>5345</v>
      </c>
      <c r="M9" s="15">
        <f t="shared" si="0"/>
        <v>5345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0.52864583333333326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0.52864583333333326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36000</v>
      </c>
      <c r="J11" s="14">
        <v>3558</v>
      </c>
      <c r="K11" s="15">
        <f>L11</f>
        <v>3558</v>
      </c>
      <c r="L11" s="15">
        <f>3001+557</f>
        <v>3558</v>
      </c>
      <c r="M11" s="15">
        <f t="shared" ref="M11" si="9">L11-N11</f>
        <v>3558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17</v>
      </c>
      <c r="Q11" s="40">
        <f t="shared" ref="Q11" si="12">SUM(R11:AA11)</f>
        <v>7</v>
      </c>
      <c r="R11" s="7"/>
      <c r="S11" s="6"/>
      <c r="T11" s="16">
        <v>7</v>
      </c>
      <c r="U11" s="16"/>
      <c r="V11" s="17"/>
      <c r="W11" s="5"/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0.70833333333333337</v>
      </c>
      <c r="AD11" s="10">
        <f t="shared" ref="AD11" si="15">AC11*AB11*(1-O11)</f>
        <v>0.70833333333333337</v>
      </c>
      <c r="AE11" s="36">
        <f t="shared" si="7"/>
        <v>0.52864583333333326</v>
      </c>
      <c r="AF11" s="84">
        <f t="shared" ref="AF11" si="16">A11</f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5365</v>
      </c>
      <c r="K12" s="15">
        <f>L12+3727+2350+5102+5284+3705</f>
        <v>25533</v>
      </c>
      <c r="L12" s="15">
        <f>2730+2635</f>
        <v>5365</v>
      </c>
      <c r="M12" s="15">
        <f t="shared" si="0"/>
        <v>5365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0.52864583333333326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115</v>
      </c>
      <c r="E13" s="53" t="s">
        <v>215</v>
      </c>
      <c r="F13" s="30" t="s">
        <v>138</v>
      </c>
      <c r="G13" s="33">
        <v>1</v>
      </c>
      <c r="H13" s="35">
        <v>24</v>
      </c>
      <c r="I13" s="7">
        <v>2000</v>
      </c>
      <c r="J13" s="14">
        <v>5013</v>
      </c>
      <c r="K13" s="15">
        <f>L13</f>
        <v>5013</v>
      </c>
      <c r="L13" s="15">
        <f>2365+2648</f>
        <v>5013</v>
      </c>
      <c r="M13" s="15">
        <f t="shared" si="0"/>
        <v>5013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0.52864583333333326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729</v>
      </c>
      <c r="K14" s="15">
        <f>L14+685+1206</f>
        <v>2620</v>
      </c>
      <c r="L14" s="15">
        <f>321+408</f>
        <v>729</v>
      </c>
      <c r="M14" s="15">
        <f t="shared" si="0"/>
        <v>729</v>
      </c>
      <c r="N14" s="15">
        <v>0</v>
      </c>
      <c r="O14" s="58">
        <f t="shared" si="1"/>
        <v>0</v>
      </c>
      <c r="P14" s="39">
        <f t="shared" si="2"/>
        <v>8</v>
      </c>
      <c r="Q14" s="40">
        <f t="shared" si="3"/>
        <v>16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>
        <v>4</v>
      </c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6">
        <f t="shared" si="7"/>
        <v>0.52864583333333326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166</v>
      </c>
      <c r="E15" s="53" t="s">
        <v>167</v>
      </c>
      <c r="F15" s="12">
        <v>8301</v>
      </c>
      <c r="G15" s="12">
        <v>1</v>
      </c>
      <c r="H15" s="13">
        <v>24</v>
      </c>
      <c r="I15" s="31">
        <v>6000</v>
      </c>
      <c r="J15" s="14">
        <v>5219</v>
      </c>
      <c r="K15" s="15">
        <f>L15+2269+5219</f>
        <v>7488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0.52864583333333326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17678</v>
      </c>
      <c r="K16" s="15">
        <f>L16+7207+12638</f>
        <v>37523</v>
      </c>
      <c r="L16" s="15">
        <f>4480*2+4359*2</f>
        <v>17678</v>
      </c>
      <c r="M16" s="15">
        <f t="shared" si="0"/>
        <v>17678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0.52864583333333326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0.52864583333333326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188</v>
      </c>
      <c r="F18" s="30" t="s">
        <v>206</v>
      </c>
      <c r="G18" s="33">
        <v>1</v>
      </c>
      <c r="H18" s="35">
        <v>24</v>
      </c>
      <c r="I18" s="7">
        <v>2000</v>
      </c>
      <c r="J18" s="14">
        <v>4992</v>
      </c>
      <c r="K18" s="15">
        <f>L18+5061</f>
        <v>10053</v>
      </c>
      <c r="L18" s="15">
        <f>2640+2352</f>
        <v>4992</v>
      </c>
      <c r="M18" s="15">
        <f t="shared" si="0"/>
        <v>4992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0.52864583333333326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4346</v>
      </c>
      <c r="K19" s="15">
        <f>L19</f>
        <v>4346</v>
      </c>
      <c r="L19" s="15">
        <f>1563+2783</f>
        <v>4346</v>
      </c>
      <c r="M19" s="15">
        <f t="shared" si="0"/>
        <v>4346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>
        <v>3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0.52864583333333326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</f>
        <v>27870</v>
      </c>
      <c r="L20" s="15">
        <f>2441*2+1947*2</f>
        <v>8776</v>
      </c>
      <c r="M20" s="15">
        <f t="shared" si="0"/>
        <v>8776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/>
      <c r="T20" s="16"/>
      <c r="U20" s="16"/>
      <c r="V20" s="17"/>
      <c r="W20" s="5">
        <v>4</v>
      </c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0.52864583333333326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191</v>
      </c>
      <c r="F21" s="12" t="s">
        <v>114</v>
      </c>
      <c r="G21" s="12">
        <v>4</v>
      </c>
      <c r="H21" s="35">
        <v>20</v>
      </c>
      <c r="I21" s="7">
        <v>500000</v>
      </c>
      <c r="J21" s="14">
        <v>37500</v>
      </c>
      <c r="K21" s="15">
        <f>L21+25436</f>
        <v>62936</v>
      </c>
      <c r="L21" s="15">
        <f>9375*4</f>
        <v>37500</v>
      </c>
      <c r="M21" s="15">
        <f t="shared" si="0"/>
        <v>37500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0.52864583333333326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17">SUM(I6:I21)</f>
        <v>829000</v>
      </c>
      <c r="J22" s="19">
        <f t="shared" si="17"/>
        <v>122729</v>
      </c>
      <c r="K22" s="20">
        <f t="shared" si="17"/>
        <v>272632</v>
      </c>
      <c r="L22" s="21">
        <f t="shared" si="17"/>
        <v>94436</v>
      </c>
      <c r="M22" s="20">
        <f t="shared" si="17"/>
        <v>94436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203</v>
      </c>
      <c r="Q22" s="43">
        <f t="shared" si="18"/>
        <v>181</v>
      </c>
      <c r="R22" s="23">
        <f t="shared" si="18"/>
        <v>0</v>
      </c>
      <c r="S22" s="24">
        <f t="shared" si="18"/>
        <v>45</v>
      </c>
      <c r="T22" s="24">
        <f t="shared" si="18"/>
        <v>8</v>
      </c>
      <c r="U22" s="24">
        <f t="shared" si="18"/>
        <v>0</v>
      </c>
      <c r="V22" s="25">
        <f t="shared" si="18"/>
        <v>24</v>
      </c>
      <c r="W22" s="26">
        <f t="shared" si="18"/>
        <v>76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28</v>
      </c>
      <c r="AB22" s="28">
        <f>AVERAGE(AB6:AB21)</f>
        <v>0.6875</v>
      </c>
      <c r="AC22" s="4">
        <f>AVERAGE(AC6:AC21)</f>
        <v>0.52864583333333326</v>
      </c>
      <c r="AD22" s="4">
        <f>AVERAGE(AD6:AD21)</f>
        <v>0.52864583333333326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228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232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149" t="s">
        <v>46</v>
      </c>
      <c r="D51" s="149" t="s">
        <v>47</v>
      </c>
      <c r="E51" s="149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149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150" t="s">
        <v>139</v>
      </c>
      <c r="D52" s="150" t="s">
        <v>131</v>
      </c>
      <c r="E52" s="152" t="s">
        <v>214</v>
      </c>
      <c r="F52" s="450" t="s">
        <v>229</v>
      </c>
      <c r="G52" s="451"/>
      <c r="H52" s="451"/>
      <c r="I52" s="451"/>
      <c r="J52" s="451"/>
      <c r="K52" s="451"/>
      <c r="L52" s="451"/>
      <c r="M52" s="452"/>
      <c r="N52" s="151" t="s">
        <v>118</v>
      </c>
      <c r="O52" s="157" t="s">
        <v>139</v>
      </c>
      <c r="P52" s="453" t="s">
        <v>131</v>
      </c>
      <c r="Q52" s="454"/>
      <c r="R52" s="453" t="s">
        <v>214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150" t="s">
        <v>230</v>
      </c>
      <c r="D53" s="150" t="s">
        <v>140</v>
      </c>
      <c r="E53" s="152" t="s">
        <v>157</v>
      </c>
      <c r="F53" s="450" t="s">
        <v>130</v>
      </c>
      <c r="G53" s="451"/>
      <c r="H53" s="451"/>
      <c r="I53" s="451"/>
      <c r="J53" s="451"/>
      <c r="K53" s="451"/>
      <c r="L53" s="451"/>
      <c r="M53" s="452"/>
      <c r="N53" s="151" t="s">
        <v>119</v>
      </c>
      <c r="O53" s="157" t="s">
        <v>129</v>
      </c>
      <c r="P53" s="453" t="s">
        <v>220</v>
      </c>
      <c r="Q53" s="454"/>
      <c r="R53" s="453" t="s">
        <v>233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58" t="s">
        <v>118</v>
      </c>
      <c r="B54" s="459"/>
      <c r="C54" s="152" t="s">
        <v>135</v>
      </c>
      <c r="D54" s="152" t="s">
        <v>115</v>
      </c>
      <c r="E54" s="152" t="s">
        <v>215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51"/>
      <c r="O54" s="157"/>
      <c r="P54" s="453"/>
      <c r="Q54" s="454"/>
      <c r="R54" s="453"/>
      <c r="S54" s="455"/>
      <c r="T54" s="455"/>
      <c r="U54" s="454"/>
      <c r="V54" s="456"/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118</v>
      </c>
      <c r="B55" s="449"/>
      <c r="C55" s="150" t="s">
        <v>134</v>
      </c>
      <c r="D55" s="150" t="s">
        <v>217</v>
      </c>
      <c r="E55" s="152" t="s">
        <v>216</v>
      </c>
      <c r="F55" s="450" t="s">
        <v>231</v>
      </c>
      <c r="G55" s="451"/>
      <c r="H55" s="451"/>
      <c r="I55" s="451"/>
      <c r="J55" s="451"/>
      <c r="K55" s="451"/>
      <c r="L55" s="451"/>
      <c r="M55" s="452"/>
      <c r="N55" s="151"/>
      <c r="O55" s="157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150"/>
      <c r="D56" s="150"/>
      <c r="E56" s="152"/>
      <c r="F56" s="450"/>
      <c r="G56" s="451"/>
      <c r="H56" s="451"/>
      <c r="I56" s="451"/>
      <c r="J56" s="451"/>
      <c r="K56" s="451"/>
      <c r="L56" s="451"/>
      <c r="M56" s="452"/>
      <c r="N56" s="151"/>
      <c r="O56" s="157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150"/>
      <c r="D57" s="150"/>
      <c r="E57" s="152"/>
      <c r="F57" s="450"/>
      <c r="G57" s="451"/>
      <c r="H57" s="451"/>
      <c r="I57" s="451"/>
      <c r="J57" s="451"/>
      <c r="K57" s="451"/>
      <c r="L57" s="451"/>
      <c r="M57" s="452"/>
      <c r="N57" s="151"/>
      <c r="O57" s="157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150"/>
      <c r="D58" s="150"/>
      <c r="E58" s="152"/>
      <c r="F58" s="450"/>
      <c r="G58" s="451"/>
      <c r="H58" s="451"/>
      <c r="I58" s="451"/>
      <c r="J58" s="451"/>
      <c r="K58" s="451"/>
      <c r="L58" s="451"/>
      <c r="M58" s="452"/>
      <c r="N58" s="151"/>
      <c r="O58" s="157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152"/>
      <c r="D59" s="152"/>
      <c r="E59" s="152"/>
      <c r="F59" s="450"/>
      <c r="G59" s="451"/>
      <c r="H59" s="451"/>
      <c r="I59" s="451"/>
      <c r="J59" s="451"/>
      <c r="K59" s="451"/>
      <c r="L59" s="451"/>
      <c r="M59" s="452"/>
      <c r="N59" s="151"/>
      <c r="O59" s="157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150"/>
      <c r="D60" s="150"/>
      <c r="E60" s="152"/>
      <c r="F60" s="450"/>
      <c r="G60" s="451"/>
      <c r="H60" s="451"/>
      <c r="I60" s="451"/>
      <c r="J60" s="451"/>
      <c r="K60" s="451"/>
      <c r="L60" s="451"/>
      <c r="M60" s="452"/>
      <c r="N60" s="151"/>
      <c r="O60" s="157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153"/>
      <c r="D61" s="154"/>
      <c r="E61" s="154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234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55" t="s">
        <v>2</v>
      </c>
      <c r="D63" s="155" t="s">
        <v>37</v>
      </c>
      <c r="E63" s="155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55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159"/>
      <c r="E64" s="156" t="s">
        <v>115</v>
      </c>
      <c r="F64" s="477" t="s">
        <v>235</v>
      </c>
      <c r="G64" s="478"/>
      <c r="H64" s="478"/>
      <c r="I64" s="478"/>
      <c r="J64" s="479"/>
      <c r="K64" s="480" t="s">
        <v>162</v>
      </c>
      <c r="L64" s="480"/>
      <c r="M64" s="51" t="s">
        <v>236</v>
      </c>
      <c r="N64" s="481" t="s">
        <v>190</v>
      </c>
      <c r="O64" s="481"/>
      <c r="P64" s="482">
        <v>20</v>
      </c>
      <c r="Q64" s="482"/>
      <c r="R64" s="456" t="s">
        <v>237</v>
      </c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112</v>
      </c>
      <c r="D65" s="159"/>
      <c r="E65" s="156" t="s">
        <v>147</v>
      </c>
      <c r="F65" s="477" t="s">
        <v>238</v>
      </c>
      <c r="G65" s="478"/>
      <c r="H65" s="478"/>
      <c r="I65" s="478"/>
      <c r="J65" s="479"/>
      <c r="K65" s="480" t="s">
        <v>239</v>
      </c>
      <c r="L65" s="480"/>
      <c r="M65" s="51" t="s">
        <v>240</v>
      </c>
      <c r="N65" s="481" t="s">
        <v>241</v>
      </c>
      <c r="O65" s="481"/>
      <c r="P65" s="482">
        <v>50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159"/>
      <c r="E66" s="156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159"/>
      <c r="E67" s="156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159"/>
      <c r="E68" s="156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159"/>
      <c r="E69" s="156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159"/>
      <c r="E70" s="156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159"/>
      <c r="E71" s="156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159"/>
      <c r="E72" s="156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159"/>
      <c r="E73" s="156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242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158" t="s">
        <v>2</v>
      </c>
      <c r="D75" s="158" t="s">
        <v>37</v>
      </c>
      <c r="E75" s="158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160" t="s">
        <v>112</v>
      </c>
      <c r="D76" s="160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159"/>
      <c r="D77" s="159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9">A77+1</f>
        <v>3</v>
      </c>
      <c r="B78" s="493"/>
      <c r="C78" s="159"/>
      <c r="D78" s="159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9"/>
        <v>4</v>
      </c>
      <c r="B79" s="493"/>
      <c r="C79" s="159"/>
      <c r="D79" s="159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9"/>
        <v>5</v>
      </c>
      <c r="B80" s="493"/>
      <c r="C80" s="159"/>
      <c r="D80" s="159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9"/>
        <v>6</v>
      </c>
      <c r="B81" s="493"/>
      <c r="C81" s="159"/>
      <c r="D81" s="159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9"/>
        <v>7</v>
      </c>
      <c r="B82" s="493"/>
      <c r="C82" s="159"/>
      <c r="D82" s="159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243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21F8-10D2-4196-A492-E592062B49BD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244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0.45572916666666669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220</v>
      </c>
      <c r="E7" s="53" t="s">
        <v>233</v>
      </c>
      <c r="F7" s="12" t="s">
        <v>223</v>
      </c>
      <c r="G7" s="12">
        <v>1</v>
      </c>
      <c r="H7" s="13">
        <v>24</v>
      </c>
      <c r="I7" s="31">
        <v>500</v>
      </c>
      <c r="J7" s="14">
        <v>646</v>
      </c>
      <c r="K7" s="15">
        <f>L7</f>
        <v>646</v>
      </c>
      <c r="L7" s="15">
        <f>646</f>
        <v>646</v>
      </c>
      <c r="M7" s="15">
        <f t="shared" si="0"/>
        <v>646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/>
      <c r="T7" s="16"/>
      <c r="U7" s="16"/>
      <c r="V7" s="17"/>
      <c r="W7" s="5">
        <v>20</v>
      </c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0.45572916666666669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131</v>
      </c>
      <c r="E8" s="53" t="s">
        <v>214</v>
      </c>
      <c r="F8" s="30" t="s">
        <v>156</v>
      </c>
      <c r="G8" s="33">
        <v>1</v>
      </c>
      <c r="H8" s="35">
        <v>24</v>
      </c>
      <c r="I8" s="7">
        <v>10000</v>
      </c>
      <c r="J8" s="5">
        <v>5519</v>
      </c>
      <c r="K8" s="15">
        <f>L8</f>
        <v>5519</v>
      </c>
      <c r="L8" s="15">
        <f>2967+2552</f>
        <v>5519</v>
      </c>
      <c r="M8" s="15">
        <f t="shared" si="0"/>
        <v>5519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0.45572916666666669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5204</v>
      </c>
      <c r="K9" s="15">
        <f>L9+1962+4980+5366+4717+5345</f>
        <v>27574</v>
      </c>
      <c r="L9" s="15">
        <f>2564+2640</f>
        <v>5204</v>
      </c>
      <c r="M9" s="15">
        <f t="shared" si="0"/>
        <v>5204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0.45572916666666669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0.45572916666666669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36000</v>
      </c>
      <c r="J11" s="14">
        <v>2547</v>
      </c>
      <c r="K11" s="15">
        <f>L11+3558</f>
        <v>6105</v>
      </c>
      <c r="L11" s="15">
        <f>2547</f>
        <v>2547</v>
      </c>
      <c r="M11" s="15">
        <f t="shared" si="0"/>
        <v>2547</v>
      </c>
      <c r="N11" s="15">
        <v>0</v>
      </c>
      <c r="O11" s="58">
        <f t="shared" si="1"/>
        <v>0</v>
      </c>
      <c r="P11" s="39">
        <f t="shared" si="2"/>
        <v>10</v>
      </c>
      <c r="Q11" s="40">
        <f t="shared" si="3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6">
        <f t="shared" si="7"/>
        <v>0.45572916666666669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</f>
        <v>30754</v>
      </c>
      <c r="L12" s="15">
        <f>2579+2642</f>
        <v>5221</v>
      </c>
      <c r="M12" s="15">
        <f t="shared" si="0"/>
        <v>5221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0.45572916666666669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20000</v>
      </c>
      <c r="J13" s="14">
        <v>3371</v>
      </c>
      <c r="K13" s="15">
        <f>L13</f>
        <v>3371</v>
      </c>
      <c r="L13" s="15">
        <f>349+3022</f>
        <v>3371</v>
      </c>
      <c r="M13" s="15">
        <f t="shared" si="0"/>
        <v>3371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/>
      <c r="T13" s="16">
        <v>8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 t="shared" si="6"/>
        <v>0.66666666666666663</v>
      </c>
      <c r="AE13" s="36">
        <f t="shared" si="7"/>
        <v>0.45572916666666669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1223</v>
      </c>
      <c r="K14" s="15">
        <f>L14+685+1206+729</f>
        <v>3843</v>
      </c>
      <c r="L14" s="15">
        <v>1223</v>
      </c>
      <c r="M14" s="15">
        <f t="shared" si="0"/>
        <v>1223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0.45572916666666669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166</v>
      </c>
      <c r="E15" s="53" t="s">
        <v>167</v>
      </c>
      <c r="F15" s="12">
        <v>8301</v>
      </c>
      <c r="G15" s="12">
        <v>1</v>
      </c>
      <c r="H15" s="13">
        <v>24</v>
      </c>
      <c r="I15" s="31">
        <v>6000</v>
      </c>
      <c r="J15" s="14">
        <v>5219</v>
      </c>
      <c r="K15" s="15">
        <f>L15+2269+5219</f>
        <v>7488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0.45572916666666669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10494</v>
      </c>
      <c r="K16" s="15">
        <f>L16+7207+12638+17678</f>
        <v>48017</v>
      </c>
      <c r="L16" s="15">
        <f>4990+2752*2</f>
        <v>10494</v>
      </c>
      <c r="M16" s="15">
        <f t="shared" si="0"/>
        <v>10494</v>
      </c>
      <c r="N16" s="15">
        <v>0</v>
      </c>
      <c r="O16" s="58">
        <f t="shared" si="1"/>
        <v>0</v>
      </c>
      <c r="P16" s="39">
        <f t="shared" si="2"/>
        <v>21</v>
      </c>
      <c r="Q16" s="40">
        <f t="shared" si="3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0.875</v>
      </c>
      <c r="AD16" s="10">
        <f t="shared" si="6"/>
        <v>0.875</v>
      </c>
      <c r="AE16" s="36">
        <f t="shared" si="7"/>
        <v>0.45572916666666669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0.45572916666666669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247</v>
      </c>
      <c r="F18" s="30" t="s">
        <v>149</v>
      </c>
      <c r="G18" s="33">
        <v>1</v>
      </c>
      <c r="H18" s="35">
        <v>24</v>
      </c>
      <c r="I18" s="7">
        <v>500</v>
      </c>
      <c r="J18" s="14">
        <v>710</v>
      </c>
      <c r="K18" s="15">
        <f>L18</f>
        <v>710</v>
      </c>
      <c r="L18" s="15">
        <v>710</v>
      </c>
      <c r="M18" s="15">
        <f t="shared" si="0"/>
        <v>710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0.45572916666666669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5385</v>
      </c>
      <c r="K19" s="15">
        <f>L19+4346</f>
        <v>9731</v>
      </c>
      <c r="L19" s="15">
        <f>2695+2690</f>
        <v>5385</v>
      </c>
      <c r="M19" s="15">
        <f t="shared" si="0"/>
        <v>5385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0.45572916666666669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0.45572916666666669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191</v>
      </c>
      <c r="F21" s="12" t="s">
        <v>114</v>
      </c>
      <c r="G21" s="12">
        <v>4</v>
      </c>
      <c r="H21" s="35">
        <v>20</v>
      </c>
      <c r="I21" s="7">
        <v>500000</v>
      </c>
      <c r="J21" s="14">
        <v>30500</v>
      </c>
      <c r="K21" s="15">
        <f>L21+25436+37500</f>
        <v>93436</v>
      </c>
      <c r="L21" s="15">
        <f>7625*4</f>
        <v>30500</v>
      </c>
      <c r="M21" s="15">
        <f t="shared" si="0"/>
        <v>30500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0.45572916666666669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831000</v>
      </c>
      <c r="J22" s="19">
        <f t="shared" si="9"/>
        <v>104739</v>
      </c>
      <c r="K22" s="20">
        <f t="shared" si="9"/>
        <v>322512</v>
      </c>
      <c r="L22" s="21">
        <f t="shared" si="9"/>
        <v>70820</v>
      </c>
      <c r="M22" s="20">
        <f t="shared" si="9"/>
        <v>70820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175</v>
      </c>
      <c r="Q22" s="43">
        <f t="shared" si="10"/>
        <v>209</v>
      </c>
      <c r="R22" s="23">
        <f t="shared" si="10"/>
        <v>0</v>
      </c>
      <c r="S22" s="24">
        <f t="shared" si="10"/>
        <v>3</v>
      </c>
      <c r="T22" s="24">
        <f t="shared" si="10"/>
        <v>8</v>
      </c>
      <c r="U22" s="24">
        <f t="shared" si="10"/>
        <v>0</v>
      </c>
      <c r="V22" s="25">
        <f t="shared" si="10"/>
        <v>24</v>
      </c>
      <c r="W22" s="26">
        <f t="shared" si="10"/>
        <v>150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0.6875</v>
      </c>
      <c r="AC22" s="4">
        <f>AVERAGE(AC6:AC21)</f>
        <v>0.45572916666666669</v>
      </c>
      <c r="AD22" s="4">
        <f>AVERAGE(AD6:AD21)</f>
        <v>0.45572916666666669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248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250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172" t="s">
        <v>46</v>
      </c>
      <c r="D51" s="172" t="s">
        <v>47</v>
      </c>
      <c r="E51" s="172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172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167" t="s">
        <v>139</v>
      </c>
      <c r="D52" s="167" t="s">
        <v>131</v>
      </c>
      <c r="E52" s="168" t="s">
        <v>214</v>
      </c>
      <c r="F52" s="450" t="s">
        <v>126</v>
      </c>
      <c r="G52" s="451"/>
      <c r="H52" s="451"/>
      <c r="I52" s="451"/>
      <c r="J52" s="451"/>
      <c r="K52" s="451"/>
      <c r="L52" s="451"/>
      <c r="M52" s="452"/>
      <c r="N52" s="171" t="s">
        <v>118</v>
      </c>
      <c r="O52" s="165" t="s">
        <v>129</v>
      </c>
      <c r="P52" s="453" t="s">
        <v>125</v>
      </c>
      <c r="Q52" s="454"/>
      <c r="R52" s="453" t="s">
        <v>251</v>
      </c>
      <c r="S52" s="455"/>
      <c r="T52" s="455"/>
      <c r="U52" s="454"/>
      <c r="V52" s="456" t="s">
        <v>130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167" t="s">
        <v>230</v>
      </c>
      <c r="D53" s="167" t="s">
        <v>140</v>
      </c>
      <c r="E53" s="168" t="s">
        <v>157</v>
      </c>
      <c r="F53" s="450" t="s">
        <v>249</v>
      </c>
      <c r="G53" s="451"/>
      <c r="H53" s="451"/>
      <c r="I53" s="451"/>
      <c r="J53" s="451"/>
      <c r="K53" s="451"/>
      <c r="L53" s="451"/>
      <c r="M53" s="452"/>
      <c r="N53" s="171" t="s">
        <v>118</v>
      </c>
      <c r="O53" s="165" t="s">
        <v>254</v>
      </c>
      <c r="P53" s="453" t="s">
        <v>217</v>
      </c>
      <c r="Q53" s="454"/>
      <c r="R53" s="453" t="s">
        <v>252</v>
      </c>
      <c r="S53" s="455"/>
      <c r="T53" s="455"/>
      <c r="U53" s="454"/>
      <c r="V53" s="456" t="s">
        <v>253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58" t="s">
        <v>112</v>
      </c>
      <c r="B54" s="459"/>
      <c r="C54" s="168" t="s">
        <v>135</v>
      </c>
      <c r="D54" s="168" t="s">
        <v>217</v>
      </c>
      <c r="E54" s="168" t="s">
        <v>245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71" t="s">
        <v>112</v>
      </c>
      <c r="O54" s="165" t="s">
        <v>230</v>
      </c>
      <c r="P54" s="453" t="s">
        <v>140</v>
      </c>
      <c r="Q54" s="454"/>
      <c r="R54" s="453" t="s">
        <v>157</v>
      </c>
      <c r="S54" s="455"/>
      <c r="T54" s="455"/>
      <c r="U54" s="454"/>
      <c r="V54" s="456" t="s">
        <v>126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119</v>
      </c>
      <c r="B55" s="449"/>
      <c r="C55" s="167" t="s">
        <v>129</v>
      </c>
      <c r="D55" s="167" t="s">
        <v>220</v>
      </c>
      <c r="E55" s="168" t="s">
        <v>233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171"/>
      <c r="O55" s="165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119</v>
      </c>
      <c r="B56" s="449"/>
      <c r="C56" s="167" t="s">
        <v>142</v>
      </c>
      <c r="D56" s="167" t="s">
        <v>115</v>
      </c>
      <c r="E56" s="168" t="s">
        <v>247</v>
      </c>
      <c r="F56" s="450" t="s">
        <v>130</v>
      </c>
      <c r="G56" s="451"/>
      <c r="H56" s="451"/>
      <c r="I56" s="451"/>
      <c r="J56" s="451"/>
      <c r="K56" s="451"/>
      <c r="L56" s="451"/>
      <c r="M56" s="452"/>
      <c r="N56" s="171"/>
      <c r="O56" s="165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118</v>
      </c>
      <c r="B57" s="449"/>
      <c r="C57" s="167" t="s">
        <v>179</v>
      </c>
      <c r="D57" s="167" t="s">
        <v>148</v>
      </c>
      <c r="E57" s="168" t="s">
        <v>175</v>
      </c>
      <c r="F57" s="450" t="s">
        <v>126</v>
      </c>
      <c r="G57" s="451"/>
      <c r="H57" s="451"/>
      <c r="I57" s="451"/>
      <c r="J57" s="451"/>
      <c r="K57" s="451"/>
      <c r="L57" s="451"/>
      <c r="M57" s="452"/>
      <c r="N57" s="171"/>
      <c r="O57" s="165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167"/>
      <c r="D58" s="167"/>
      <c r="E58" s="168"/>
      <c r="F58" s="450"/>
      <c r="G58" s="451"/>
      <c r="H58" s="451"/>
      <c r="I58" s="451"/>
      <c r="J58" s="451"/>
      <c r="K58" s="451"/>
      <c r="L58" s="451"/>
      <c r="M58" s="452"/>
      <c r="N58" s="171"/>
      <c r="O58" s="165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168"/>
      <c r="D59" s="168"/>
      <c r="E59" s="168"/>
      <c r="F59" s="450"/>
      <c r="G59" s="451"/>
      <c r="H59" s="451"/>
      <c r="I59" s="451"/>
      <c r="J59" s="451"/>
      <c r="K59" s="451"/>
      <c r="L59" s="451"/>
      <c r="M59" s="452"/>
      <c r="N59" s="171"/>
      <c r="O59" s="165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167"/>
      <c r="D60" s="167"/>
      <c r="E60" s="168"/>
      <c r="F60" s="450"/>
      <c r="G60" s="451"/>
      <c r="H60" s="451"/>
      <c r="I60" s="451"/>
      <c r="J60" s="451"/>
      <c r="K60" s="451"/>
      <c r="L60" s="451"/>
      <c r="M60" s="452"/>
      <c r="N60" s="171"/>
      <c r="O60" s="165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169"/>
      <c r="D61" s="170"/>
      <c r="E61" s="170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255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66" t="s">
        <v>2</v>
      </c>
      <c r="D63" s="166" t="s">
        <v>37</v>
      </c>
      <c r="E63" s="166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66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121</v>
      </c>
      <c r="D64" s="161"/>
      <c r="E64" s="164" t="s">
        <v>115</v>
      </c>
      <c r="F64" s="477" t="s">
        <v>256</v>
      </c>
      <c r="G64" s="478"/>
      <c r="H64" s="478"/>
      <c r="I64" s="478"/>
      <c r="J64" s="479"/>
      <c r="K64" s="480" t="s">
        <v>154</v>
      </c>
      <c r="L64" s="480"/>
      <c r="M64" s="51" t="s">
        <v>137</v>
      </c>
      <c r="N64" s="481" t="s">
        <v>142</v>
      </c>
      <c r="O64" s="481"/>
      <c r="P64" s="482">
        <v>50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161"/>
      <c r="E65" s="164" t="s">
        <v>219</v>
      </c>
      <c r="F65" s="477" t="s">
        <v>221</v>
      </c>
      <c r="G65" s="478"/>
      <c r="H65" s="478"/>
      <c r="I65" s="478"/>
      <c r="J65" s="479"/>
      <c r="K65" s="480" t="s">
        <v>149</v>
      </c>
      <c r="L65" s="480"/>
      <c r="M65" s="51" t="s">
        <v>137</v>
      </c>
      <c r="N65" s="481" t="s">
        <v>142</v>
      </c>
      <c r="O65" s="481"/>
      <c r="P65" s="482">
        <v>200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119</v>
      </c>
      <c r="D66" s="161"/>
      <c r="E66" s="164" t="s">
        <v>115</v>
      </c>
      <c r="F66" s="477" t="s">
        <v>257</v>
      </c>
      <c r="G66" s="478"/>
      <c r="H66" s="478"/>
      <c r="I66" s="478"/>
      <c r="J66" s="479"/>
      <c r="K66" s="480" t="s">
        <v>149</v>
      </c>
      <c r="L66" s="480"/>
      <c r="M66" s="51" t="s">
        <v>137</v>
      </c>
      <c r="N66" s="481" t="s">
        <v>142</v>
      </c>
      <c r="O66" s="481"/>
      <c r="P66" s="482">
        <v>50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 t="s">
        <v>121</v>
      </c>
      <c r="D67" s="161"/>
      <c r="E67" s="164"/>
      <c r="F67" s="477" t="s">
        <v>258</v>
      </c>
      <c r="G67" s="478"/>
      <c r="H67" s="478"/>
      <c r="I67" s="478"/>
      <c r="J67" s="479"/>
      <c r="K67" s="480" t="s">
        <v>138</v>
      </c>
      <c r="L67" s="480"/>
      <c r="M67" s="51" t="s">
        <v>137</v>
      </c>
      <c r="N67" s="481" t="s">
        <v>143</v>
      </c>
      <c r="O67" s="481"/>
      <c r="P67" s="482">
        <v>50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161"/>
      <c r="E68" s="164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161"/>
      <c r="E69" s="164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161"/>
      <c r="E70" s="164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161"/>
      <c r="E71" s="164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161"/>
      <c r="E72" s="164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161"/>
      <c r="E73" s="164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259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163" t="s">
        <v>2</v>
      </c>
      <c r="D75" s="163" t="s">
        <v>37</v>
      </c>
      <c r="E75" s="163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162" t="s">
        <v>112</v>
      </c>
      <c r="D76" s="162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161"/>
      <c r="D77" s="161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161"/>
      <c r="D78" s="161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161"/>
      <c r="D79" s="161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161"/>
      <c r="D80" s="161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161"/>
      <c r="D81" s="161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161"/>
      <c r="D82" s="161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260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1F15-46A1-46C1-929D-9CD3CA6825DA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261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74" t="s">
        <v>17</v>
      </c>
      <c r="L5" s="174" t="s">
        <v>18</v>
      </c>
      <c r="M5" s="174" t="s">
        <v>19</v>
      </c>
      <c r="N5" s="1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0.33854166666666669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125</v>
      </c>
      <c r="E7" s="53" t="s">
        <v>251</v>
      </c>
      <c r="F7" s="12" t="s">
        <v>262</v>
      </c>
      <c r="G7" s="12">
        <v>1</v>
      </c>
      <c r="H7" s="13">
        <v>24</v>
      </c>
      <c r="I7" s="31">
        <v>200</v>
      </c>
      <c r="J7" s="14">
        <v>1215</v>
      </c>
      <c r="K7" s="15">
        <f>L7</f>
        <v>1215</v>
      </c>
      <c r="L7" s="15">
        <f>1215</f>
        <v>1215</v>
      </c>
      <c r="M7" s="15">
        <f t="shared" si="0"/>
        <v>1215</v>
      </c>
      <c r="N7" s="15">
        <v>0</v>
      </c>
      <c r="O7" s="58">
        <f t="shared" si="1"/>
        <v>0</v>
      </c>
      <c r="P7" s="39">
        <f t="shared" si="2"/>
        <v>7</v>
      </c>
      <c r="Q7" s="40">
        <f t="shared" si="3"/>
        <v>17</v>
      </c>
      <c r="R7" s="7"/>
      <c r="S7" s="6"/>
      <c r="T7" s="16"/>
      <c r="U7" s="16"/>
      <c r="V7" s="17"/>
      <c r="W7" s="5">
        <v>17</v>
      </c>
      <c r="X7" s="16"/>
      <c r="Y7" s="16"/>
      <c r="Z7" s="16"/>
      <c r="AA7" s="18"/>
      <c r="AB7" s="8">
        <f t="shared" si="4"/>
        <v>1</v>
      </c>
      <c r="AC7" s="9">
        <f t="shared" si="5"/>
        <v>0.29166666666666669</v>
      </c>
      <c r="AD7" s="10">
        <f t="shared" si="6"/>
        <v>0.29166666666666669</v>
      </c>
      <c r="AE7" s="36">
        <f t="shared" si="7"/>
        <v>0.33854166666666669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131</v>
      </c>
      <c r="E8" s="53" t="s">
        <v>214</v>
      </c>
      <c r="F8" s="30" t="s">
        <v>156</v>
      </c>
      <c r="G8" s="33">
        <v>1</v>
      </c>
      <c r="H8" s="35">
        <v>24</v>
      </c>
      <c r="I8" s="7">
        <v>10000</v>
      </c>
      <c r="J8" s="5">
        <v>704</v>
      </c>
      <c r="K8" s="15">
        <f>L8+5519</f>
        <v>6223</v>
      </c>
      <c r="L8" s="15">
        <v>704</v>
      </c>
      <c r="M8" s="15">
        <f t="shared" si="0"/>
        <v>704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>
        <v>20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0.33854166666666669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2562</v>
      </c>
      <c r="K9" s="15">
        <f>L9+1962+4980+5366+4717+5345+5204</f>
        <v>30136</v>
      </c>
      <c r="L9" s="15">
        <f>2562</f>
        <v>2562</v>
      </c>
      <c r="M9" s="15">
        <f t="shared" si="0"/>
        <v>2562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 t="shared" si="7"/>
        <v>0.33854166666666669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0.33854166666666669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36000</v>
      </c>
      <c r="J11" s="14">
        <v>3474</v>
      </c>
      <c r="K11" s="15">
        <f>L11+3558+2547</f>
        <v>9579</v>
      </c>
      <c r="L11" s="15">
        <f>2992+482</f>
        <v>3474</v>
      </c>
      <c r="M11" s="15">
        <f t="shared" si="0"/>
        <v>3474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si="6"/>
        <v>0.66666666666666663</v>
      </c>
      <c r="AE11" s="36">
        <f t="shared" si="7"/>
        <v>0.33854166666666669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0.33854166666666669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20000</v>
      </c>
      <c r="J13" s="14">
        <v>5314</v>
      </c>
      <c r="K13" s="15">
        <f>L13+3371</f>
        <v>8685</v>
      </c>
      <c r="L13" s="15">
        <f>2838+2476</f>
        <v>5314</v>
      </c>
      <c r="M13" s="15">
        <f t="shared" si="0"/>
        <v>5314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0.33854166666666669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1172</v>
      </c>
      <c r="K14" s="15">
        <f>L14+685+1206+729+1223</f>
        <v>5015</v>
      </c>
      <c r="L14" s="15">
        <v>1172</v>
      </c>
      <c r="M14" s="15">
        <f t="shared" si="0"/>
        <v>1172</v>
      </c>
      <c r="N14" s="15">
        <v>0</v>
      </c>
      <c r="O14" s="58">
        <f t="shared" si="1"/>
        <v>0</v>
      </c>
      <c r="P14" s="39">
        <f t="shared" si="2"/>
        <v>12</v>
      </c>
      <c r="Q14" s="40">
        <f t="shared" si="3"/>
        <v>12</v>
      </c>
      <c r="R14" s="7"/>
      <c r="S14" s="6"/>
      <c r="T14" s="16"/>
      <c r="U14" s="16"/>
      <c r="V14" s="17">
        <v>12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6">
        <f t="shared" si="7"/>
        <v>0.33854166666666669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19700</v>
      </c>
      <c r="K15" s="15">
        <f>L15</f>
        <v>19700</v>
      </c>
      <c r="L15" s="15">
        <f>340*5+3600*5</f>
        <v>19700</v>
      </c>
      <c r="M15" s="15">
        <f t="shared" si="0"/>
        <v>19700</v>
      </c>
      <c r="N15" s="15">
        <v>0</v>
      </c>
      <c r="O15" s="58">
        <f t="shared" si="1"/>
        <v>0</v>
      </c>
      <c r="P15" s="39">
        <f t="shared" si="2"/>
        <v>15</v>
      </c>
      <c r="Q15" s="40">
        <f t="shared" si="3"/>
        <v>9</v>
      </c>
      <c r="R15" s="7"/>
      <c r="S15" s="6">
        <v>9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0.625</v>
      </c>
      <c r="AD15" s="10">
        <f t="shared" si="6"/>
        <v>0.625</v>
      </c>
      <c r="AE15" s="36">
        <f t="shared" si="7"/>
        <v>0.33854166666666669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7352</v>
      </c>
      <c r="K16" s="15">
        <f>L16+7207+12638+17678+10494</f>
        <v>55369</v>
      </c>
      <c r="L16" s="15">
        <f>3676*2</f>
        <v>7352</v>
      </c>
      <c r="M16" s="15">
        <f t="shared" si="0"/>
        <v>7352</v>
      </c>
      <c r="N16" s="15">
        <v>0</v>
      </c>
      <c r="O16" s="58">
        <f t="shared" si="1"/>
        <v>0</v>
      </c>
      <c r="P16" s="39">
        <f t="shared" si="2"/>
        <v>10</v>
      </c>
      <c r="Q16" s="40">
        <f t="shared" si="3"/>
        <v>14</v>
      </c>
      <c r="R16" s="7"/>
      <c r="S16" s="6">
        <v>14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0.41666666666666669</v>
      </c>
      <c r="AD16" s="10">
        <f t="shared" si="6"/>
        <v>0.41666666666666669</v>
      </c>
      <c r="AE16" s="36">
        <f t="shared" si="7"/>
        <v>0.33854166666666669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0.33854166666666669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247</v>
      </c>
      <c r="F18" s="30" t="s">
        <v>149</v>
      </c>
      <c r="G18" s="33">
        <v>1</v>
      </c>
      <c r="H18" s="35">
        <v>24</v>
      </c>
      <c r="I18" s="7">
        <v>500</v>
      </c>
      <c r="J18" s="14">
        <v>582</v>
      </c>
      <c r="K18" s="15">
        <f>L18+710</f>
        <v>1292</v>
      </c>
      <c r="L18" s="15">
        <v>582</v>
      </c>
      <c r="M18" s="15">
        <f t="shared" si="0"/>
        <v>582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>
        <v>5</v>
      </c>
      <c r="T18" s="16"/>
      <c r="U18" s="16"/>
      <c r="V18" s="17"/>
      <c r="W18" s="5">
        <v>15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0.33854166666666669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5500</v>
      </c>
      <c r="K19" s="15">
        <f>L19+4346+5385</f>
        <v>15231</v>
      </c>
      <c r="L19" s="15">
        <f>2437+2775+288</f>
        <v>5500</v>
      </c>
      <c r="M19" s="15">
        <f t="shared" si="0"/>
        <v>5500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0.33854166666666669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0.33854166666666669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191</v>
      </c>
      <c r="F21" s="12" t="s">
        <v>114</v>
      </c>
      <c r="G21" s="12">
        <v>4</v>
      </c>
      <c r="H21" s="35">
        <v>20</v>
      </c>
      <c r="I21" s="7">
        <v>500000</v>
      </c>
      <c r="J21" s="14">
        <v>30500</v>
      </c>
      <c r="K21" s="15">
        <f>L21+25436+37500+30500</f>
        <v>93436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0.33854166666666669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924700</v>
      </c>
      <c r="J22" s="19">
        <f t="shared" si="9"/>
        <v>111996</v>
      </c>
      <c r="K22" s="20">
        <f t="shared" si="9"/>
        <v>361953</v>
      </c>
      <c r="L22" s="21">
        <f t="shared" si="9"/>
        <v>47575</v>
      </c>
      <c r="M22" s="20">
        <f t="shared" si="9"/>
        <v>47575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130</v>
      </c>
      <c r="Q22" s="43">
        <f t="shared" si="10"/>
        <v>254</v>
      </c>
      <c r="R22" s="23">
        <f t="shared" si="10"/>
        <v>0</v>
      </c>
      <c r="S22" s="24">
        <f t="shared" si="10"/>
        <v>90</v>
      </c>
      <c r="T22" s="24">
        <f t="shared" si="10"/>
        <v>0</v>
      </c>
      <c r="U22" s="24">
        <f t="shared" si="10"/>
        <v>0</v>
      </c>
      <c r="V22" s="25">
        <f t="shared" si="10"/>
        <v>12</v>
      </c>
      <c r="W22" s="26">
        <f t="shared" si="10"/>
        <v>128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0.625</v>
      </c>
      <c r="AC22" s="4">
        <f>AVERAGE(AC6:AC21)</f>
        <v>0.33854166666666669</v>
      </c>
      <c r="AD22" s="4">
        <f>AVERAGE(AD6:AD21)</f>
        <v>0.33854166666666669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265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272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175" t="s">
        <v>46</v>
      </c>
      <c r="D51" s="175" t="s">
        <v>47</v>
      </c>
      <c r="E51" s="175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175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176" t="s">
        <v>139</v>
      </c>
      <c r="D52" s="176" t="s">
        <v>131</v>
      </c>
      <c r="E52" s="178" t="s">
        <v>214</v>
      </c>
      <c r="F52" s="450" t="s">
        <v>266</v>
      </c>
      <c r="G52" s="451"/>
      <c r="H52" s="451"/>
      <c r="I52" s="451"/>
      <c r="J52" s="451"/>
      <c r="K52" s="451"/>
      <c r="L52" s="451"/>
      <c r="M52" s="452"/>
      <c r="N52" s="177" t="s">
        <v>113</v>
      </c>
      <c r="O52" s="183" t="s">
        <v>212</v>
      </c>
      <c r="P52" s="453"/>
      <c r="Q52" s="454"/>
      <c r="R52" s="453" t="s">
        <v>191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176" t="s">
        <v>230</v>
      </c>
      <c r="D53" s="176" t="s">
        <v>140</v>
      </c>
      <c r="E53" s="178" t="s">
        <v>157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177" t="s">
        <v>118</v>
      </c>
      <c r="O53" s="183" t="s">
        <v>139</v>
      </c>
      <c r="P53" s="453" t="s">
        <v>131</v>
      </c>
      <c r="Q53" s="454"/>
      <c r="R53" s="453" t="s">
        <v>214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58" t="s">
        <v>118</v>
      </c>
      <c r="B54" s="459"/>
      <c r="C54" s="178" t="s">
        <v>129</v>
      </c>
      <c r="D54" s="178" t="s">
        <v>125</v>
      </c>
      <c r="E54" s="178" t="s">
        <v>251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77" t="s">
        <v>112</v>
      </c>
      <c r="O54" s="183" t="s">
        <v>190</v>
      </c>
      <c r="P54" s="453" t="s">
        <v>115</v>
      </c>
      <c r="Q54" s="454"/>
      <c r="R54" s="453" t="s">
        <v>273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119</v>
      </c>
      <c r="B55" s="449"/>
      <c r="C55" s="176" t="s">
        <v>142</v>
      </c>
      <c r="D55" s="176" t="s">
        <v>115</v>
      </c>
      <c r="E55" s="178" t="s">
        <v>247</v>
      </c>
      <c r="F55" s="450" t="s">
        <v>267</v>
      </c>
      <c r="G55" s="451"/>
      <c r="H55" s="451"/>
      <c r="I55" s="451"/>
      <c r="J55" s="451"/>
      <c r="K55" s="451"/>
      <c r="L55" s="451"/>
      <c r="M55" s="452"/>
      <c r="N55" s="177" t="s">
        <v>118</v>
      </c>
      <c r="O55" s="183" t="s">
        <v>179</v>
      </c>
      <c r="P55" s="453" t="s">
        <v>148</v>
      </c>
      <c r="Q55" s="454"/>
      <c r="R55" s="453" t="s">
        <v>175</v>
      </c>
      <c r="S55" s="455"/>
      <c r="T55" s="455"/>
      <c r="U55" s="454"/>
      <c r="V55" s="456" t="s">
        <v>126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118</v>
      </c>
      <c r="B56" s="449"/>
      <c r="C56" s="176" t="s">
        <v>179</v>
      </c>
      <c r="D56" s="176" t="s">
        <v>148</v>
      </c>
      <c r="E56" s="178" t="s">
        <v>175</v>
      </c>
      <c r="F56" s="450" t="s">
        <v>268</v>
      </c>
      <c r="G56" s="451"/>
      <c r="H56" s="451"/>
      <c r="I56" s="451"/>
      <c r="J56" s="451"/>
      <c r="K56" s="451"/>
      <c r="L56" s="451"/>
      <c r="M56" s="452"/>
      <c r="N56" s="177"/>
      <c r="O56" s="183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119</v>
      </c>
      <c r="B57" s="449"/>
      <c r="C57" s="176" t="s">
        <v>269</v>
      </c>
      <c r="D57" s="176"/>
      <c r="E57" s="178" t="s">
        <v>263</v>
      </c>
      <c r="F57" s="450" t="s">
        <v>270</v>
      </c>
      <c r="G57" s="451"/>
      <c r="H57" s="451"/>
      <c r="I57" s="451"/>
      <c r="J57" s="451"/>
      <c r="K57" s="451"/>
      <c r="L57" s="451"/>
      <c r="M57" s="452"/>
      <c r="N57" s="177"/>
      <c r="O57" s="183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113</v>
      </c>
      <c r="B58" s="449"/>
      <c r="C58" s="176" t="s">
        <v>212</v>
      </c>
      <c r="D58" s="176"/>
      <c r="E58" s="178" t="s">
        <v>191</v>
      </c>
      <c r="F58" s="450" t="s">
        <v>271</v>
      </c>
      <c r="G58" s="451"/>
      <c r="H58" s="451"/>
      <c r="I58" s="451"/>
      <c r="J58" s="451"/>
      <c r="K58" s="451"/>
      <c r="L58" s="451"/>
      <c r="M58" s="452"/>
      <c r="N58" s="177"/>
      <c r="O58" s="183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 t="s">
        <v>118</v>
      </c>
      <c r="B59" s="459"/>
      <c r="C59" s="178" t="s">
        <v>254</v>
      </c>
      <c r="D59" s="178" t="s">
        <v>217</v>
      </c>
      <c r="E59" s="178" t="s">
        <v>252</v>
      </c>
      <c r="F59" s="450" t="s">
        <v>126</v>
      </c>
      <c r="G59" s="451"/>
      <c r="H59" s="451"/>
      <c r="I59" s="451"/>
      <c r="J59" s="451"/>
      <c r="K59" s="451"/>
      <c r="L59" s="451"/>
      <c r="M59" s="452"/>
      <c r="N59" s="177"/>
      <c r="O59" s="183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176"/>
      <c r="D60" s="176"/>
      <c r="E60" s="178"/>
      <c r="F60" s="450"/>
      <c r="G60" s="451"/>
      <c r="H60" s="451"/>
      <c r="I60" s="451"/>
      <c r="J60" s="451"/>
      <c r="K60" s="451"/>
      <c r="L60" s="451"/>
      <c r="M60" s="452"/>
      <c r="N60" s="177"/>
      <c r="O60" s="183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179"/>
      <c r="D61" s="180"/>
      <c r="E61" s="180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274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181" t="s">
        <v>2</v>
      </c>
      <c r="D63" s="181" t="s">
        <v>37</v>
      </c>
      <c r="E63" s="181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181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/>
      <c r="D64" s="185"/>
      <c r="E64" s="182"/>
      <c r="F64" s="477"/>
      <c r="G64" s="478"/>
      <c r="H64" s="478"/>
      <c r="I64" s="478"/>
      <c r="J64" s="479"/>
      <c r="K64" s="480"/>
      <c r="L64" s="480"/>
      <c r="M64" s="51"/>
      <c r="N64" s="481"/>
      <c r="O64" s="481"/>
      <c r="P64" s="482"/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/>
      <c r="D65" s="185"/>
      <c r="E65" s="182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185"/>
      <c r="E66" s="182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185"/>
      <c r="E67" s="182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185"/>
      <c r="E68" s="182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185"/>
      <c r="E69" s="182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185"/>
      <c r="E70" s="182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185"/>
      <c r="E71" s="182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185"/>
      <c r="E72" s="182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185"/>
      <c r="E73" s="182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275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184" t="s">
        <v>2</v>
      </c>
      <c r="D75" s="184" t="s">
        <v>37</v>
      </c>
      <c r="E75" s="184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186" t="s">
        <v>112</v>
      </c>
      <c r="D76" s="186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185"/>
      <c r="D77" s="185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185"/>
      <c r="D78" s="185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185"/>
      <c r="D79" s="185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185"/>
      <c r="D80" s="185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185"/>
      <c r="D81" s="185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185"/>
      <c r="D82" s="185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276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D4-67A5-4341-97F6-67BAECCFFA37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277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0.40196078431372545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125</v>
      </c>
      <c r="E7" s="53" t="s">
        <v>251</v>
      </c>
      <c r="F7" s="12" t="s">
        <v>262</v>
      </c>
      <c r="G7" s="12">
        <v>1</v>
      </c>
      <c r="H7" s="13">
        <v>24</v>
      </c>
      <c r="I7" s="31">
        <v>200</v>
      </c>
      <c r="J7" s="14">
        <v>1215</v>
      </c>
      <c r="K7" s="15">
        <f>L7+1215</f>
        <v>1215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0.40196078431372545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131</v>
      </c>
      <c r="E8" s="53" t="s">
        <v>214</v>
      </c>
      <c r="F8" s="30" t="s">
        <v>156</v>
      </c>
      <c r="G8" s="33">
        <v>1</v>
      </c>
      <c r="H8" s="35">
        <v>24</v>
      </c>
      <c r="I8" s="7">
        <v>10000</v>
      </c>
      <c r="J8" s="5">
        <v>704</v>
      </c>
      <c r="K8" s="15">
        <f>L8+5519+704</f>
        <v>6223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0.40196078431372545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5349</v>
      </c>
      <c r="K9" s="15">
        <f>L9+1962+4980+5366+4717+5345+5204+2562</f>
        <v>35485</v>
      </c>
      <c r="L9" s="15">
        <f>2722+2627</f>
        <v>5349</v>
      </c>
      <c r="M9" s="15">
        <f t="shared" si="0"/>
        <v>5349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0.40196078431372545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0.40196078431372545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5896</v>
      </c>
      <c r="K11" s="15">
        <f>L11+3558+2547+3474</f>
        <v>15475</v>
      </c>
      <c r="L11" s="15">
        <f>2994+2902</f>
        <v>5896</v>
      </c>
      <c r="M11" s="15">
        <f t="shared" si="0"/>
        <v>5896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0.40196078431372545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0.40196078431372545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5597</v>
      </c>
      <c r="K13" s="15">
        <f>L13+3371+5314</f>
        <v>14282</v>
      </c>
      <c r="L13" s="15">
        <f>2846+2751</f>
        <v>5597</v>
      </c>
      <c r="M13" s="15">
        <f t="shared" si="0"/>
        <v>5597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0.40196078431372545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273</v>
      </c>
      <c r="F14" s="30" t="s">
        <v>278</v>
      </c>
      <c r="G14" s="33">
        <v>1</v>
      </c>
      <c r="H14" s="35">
        <v>50</v>
      </c>
      <c r="I14" s="7">
        <v>50</v>
      </c>
      <c r="J14" s="5">
        <v>130</v>
      </c>
      <c r="K14" s="15">
        <f>L14</f>
        <v>130</v>
      </c>
      <c r="L14" s="15">
        <v>130</v>
      </c>
      <c r="M14" s="15">
        <f t="shared" ref="M14" si="9">L14-N14</f>
        <v>130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4</v>
      </c>
      <c r="Q14" s="40">
        <f t="shared" ref="Q14" si="12">SUM(R14:AA14)</f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0.16666666666666666</v>
      </c>
      <c r="AD14" s="10">
        <f t="shared" ref="AD14" si="15">AC14*AB14*(1-O14)</f>
        <v>0.16666666666666666</v>
      </c>
      <c r="AE14" s="36">
        <f t="shared" si="7"/>
        <v>0.40196078431372545</v>
      </c>
      <c r="AF14" s="84">
        <f t="shared" ref="AF14" si="16">A14</f>
        <v>9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173</v>
      </c>
      <c r="F15" s="30" t="s">
        <v>162</v>
      </c>
      <c r="G15" s="33">
        <v>1</v>
      </c>
      <c r="H15" s="35">
        <v>50</v>
      </c>
      <c r="I15" s="7">
        <v>5500</v>
      </c>
      <c r="J15" s="5">
        <v>718</v>
      </c>
      <c r="K15" s="15">
        <f>L15+685+1206+729+1223+1172</f>
        <v>5733</v>
      </c>
      <c r="L15" s="15">
        <v>718</v>
      </c>
      <c r="M15" s="15">
        <f t="shared" si="0"/>
        <v>718</v>
      </c>
      <c r="N15" s="15">
        <v>0</v>
      </c>
      <c r="O15" s="58">
        <f t="shared" si="1"/>
        <v>0</v>
      </c>
      <c r="P15" s="39">
        <f t="shared" si="2"/>
        <v>6</v>
      </c>
      <c r="Q15" s="40">
        <f t="shared" si="3"/>
        <v>18</v>
      </c>
      <c r="R15" s="7"/>
      <c r="S15" s="6"/>
      <c r="T15" s="16">
        <v>5</v>
      </c>
      <c r="U15" s="16"/>
      <c r="V15" s="17">
        <v>13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6">
        <f t="shared" si="7"/>
        <v>0.40196078431372545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119</v>
      </c>
      <c r="D16" s="52"/>
      <c r="E16" s="53" t="s">
        <v>263</v>
      </c>
      <c r="F16" s="12" t="s">
        <v>264</v>
      </c>
      <c r="G16" s="12">
        <v>5</v>
      </c>
      <c r="H16" s="13">
        <v>24</v>
      </c>
      <c r="I16" s="31">
        <v>100000</v>
      </c>
      <c r="J16" s="14">
        <v>34515</v>
      </c>
      <c r="K16" s="15">
        <f>L16+19700</f>
        <v>54215</v>
      </c>
      <c r="L16" s="15">
        <f>3436*5+3467*5</f>
        <v>34515</v>
      </c>
      <c r="M16" s="15">
        <f t="shared" si="0"/>
        <v>34515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0.40196078431372545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148</v>
      </c>
      <c r="E17" s="53" t="s">
        <v>175</v>
      </c>
      <c r="F17" s="30" t="s">
        <v>141</v>
      </c>
      <c r="G17" s="12">
        <v>2</v>
      </c>
      <c r="H17" s="13">
        <v>24</v>
      </c>
      <c r="I17" s="7">
        <v>100000</v>
      </c>
      <c r="J17" s="14">
        <v>8769</v>
      </c>
      <c r="K17" s="15">
        <f>L17+7207+12638+17678+10494+7352</f>
        <v>64138</v>
      </c>
      <c r="L17" s="15">
        <f>5329+3440</f>
        <v>8769</v>
      </c>
      <c r="M17" s="15">
        <f t="shared" si="0"/>
        <v>8769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>
        <v>2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0.40196078431372545</v>
      </c>
      <c r="AF17" s="84">
        <f t="shared" si="8"/>
        <v>11</v>
      </c>
    </row>
    <row r="18" spans="1:32" ht="30" customHeight="1">
      <c r="A18" s="95">
        <v>12</v>
      </c>
      <c r="B18" s="11" t="s">
        <v>163</v>
      </c>
      <c r="C18" s="34" t="s">
        <v>121</v>
      </c>
      <c r="D18" s="52" t="s">
        <v>125</v>
      </c>
      <c r="E18" s="53" t="s">
        <v>155</v>
      </c>
      <c r="F18" s="30" t="s">
        <v>136</v>
      </c>
      <c r="G18" s="12">
        <v>1</v>
      </c>
      <c r="H18" s="13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0.40196078431372545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279</v>
      </c>
      <c r="F19" s="30" t="s">
        <v>206</v>
      </c>
      <c r="G19" s="33">
        <v>1</v>
      </c>
      <c r="H19" s="35">
        <v>24</v>
      </c>
      <c r="I19" s="7">
        <v>25000</v>
      </c>
      <c r="J19" s="14">
        <v>2951</v>
      </c>
      <c r="K19" s="15">
        <f>L19</f>
        <v>2951</v>
      </c>
      <c r="L19" s="15">
        <f>2679+272</f>
        <v>2951</v>
      </c>
      <c r="M19" s="15">
        <f t="shared" si="0"/>
        <v>2951</v>
      </c>
      <c r="N19" s="15">
        <v>0</v>
      </c>
      <c r="O19" s="58">
        <f t="shared" si="1"/>
        <v>0</v>
      </c>
      <c r="P19" s="39">
        <f t="shared" si="2"/>
        <v>16</v>
      </c>
      <c r="Q19" s="40">
        <f t="shared" si="3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0.66666666666666663</v>
      </c>
      <c r="AD19" s="10">
        <f t="shared" si="6"/>
        <v>0.66666666666666663</v>
      </c>
      <c r="AE19" s="36">
        <f t="shared" si="7"/>
        <v>0.40196078431372545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168</v>
      </c>
      <c r="E20" s="53" t="s">
        <v>216</v>
      </c>
      <c r="F20" s="30" t="s">
        <v>127</v>
      </c>
      <c r="G20" s="33">
        <v>1</v>
      </c>
      <c r="H20" s="35">
        <v>24</v>
      </c>
      <c r="I20" s="7">
        <v>20000</v>
      </c>
      <c r="J20" s="14">
        <v>5500</v>
      </c>
      <c r="K20" s="15">
        <f>L20+4346+5385+5500</f>
        <v>15231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0.40196078431372545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119</v>
      </c>
      <c r="D21" s="52" t="s">
        <v>115</v>
      </c>
      <c r="E21" s="53" t="s">
        <v>176</v>
      </c>
      <c r="F21" s="30" t="s">
        <v>149</v>
      </c>
      <c r="G21" s="12">
        <v>2</v>
      </c>
      <c r="H21" s="13">
        <v>24</v>
      </c>
      <c r="I21" s="7">
        <v>15000</v>
      </c>
      <c r="J21" s="14">
        <v>8776</v>
      </c>
      <c r="K21" s="15">
        <f>L21+9922+9172+8776</f>
        <v>27870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0.40196078431372545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191</v>
      </c>
      <c r="F22" s="12" t="s">
        <v>114</v>
      </c>
      <c r="G22" s="12">
        <v>4</v>
      </c>
      <c r="H22" s="35">
        <v>20</v>
      </c>
      <c r="I22" s="7">
        <v>500000</v>
      </c>
      <c r="J22" s="14">
        <v>46364</v>
      </c>
      <c r="K22" s="15">
        <f>L22+25436+37500+30500</f>
        <v>139800</v>
      </c>
      <c r="L22" s="15">
        <f>9089*4+2502*4</f>
        <v>46364</v>
      </c>
      <c r="M22" s="15">
        <f t="shared" si="0"/>
        <v>46364</v>
      </c>
      <c r="N22" s="15">
        <v>0</v>
      </c>
      <c r="O22" s="58">
        <f t="shared" si="1"/>
        <v>0</v>
      </c>
      <c r="P22" s="39">
        <f t="shared" si="2"/>
        <v>20</v>
      </c>
      <c r="Q22" s="40">
        <f t="shared" si="3"/>
        <v>4</v>
      </c>
      <c r="R22" s="7"/>
      <c r="S22" s="6">
        <v>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0.83333333333333337</v>
      </c>
      <c r="AD22" s="10">
        <f t="shared" si="6"/>
        <v>0.83333333333333337</v>
      </c>
      <c r="AE22" s="36">
        <f t="shared" si="7"/>
        <v>0.40196078431372545</v>
      </c>
      <c r="AF22" s="84">
        <f t="shared" si="8"/>
        <v>16</v>
      </c>
    </row>
    <row r="23" spans="1:32" ht="31.5" customHeight="1" thickBot="1">
      <c r="A23" s="422" t="s">
        <v>34</v>
      </c>
      <c r="B23" s="423"/>
      <c r="C23" s="423"/>
      <c r="D23" s="423"/>
      <c r="E23" s="423"/>
      <c r="F23" s="423"/>
      <c r="G23" s="423"/>
      <c r="H23" s="424"/>
      <c r="I23" s="22">
        <f t="shared" ref="I23:N23" si="17">SUM(I6:I22)</f>
        <v>947650</v>
      </c>
      <c r="J23" s="19">
        <f t="shared" si="17"/>
        <v>151629</v>
      </c>
      <c r="K23" s="20">
        <f t="shared" si="17"/>
        <v>470950</v>
      </c>
      <c r="L23" s="21">
        <f t="shared" si="17"/>
        <v>110289</v>
      </c>
      <c r="M23" s="20">
        <f t="shared" si="17"/>
        <v>110289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164</v>
      </c>
      <c r="Q23" s="43">
        <f t="shared" si="18"/>
        <v>244</v>
      </c>
      <c r="R23" s="23">
        <f t="shared" si="18"/>
        <v>0</v>
      </c>
      <c r="S23" s="24">
        <f t="shared" si="18"/>
        <v>38</v>
      </c>
      <c r="T23" s="24">
        <f t="shared" si="18"/>
        <v>5</v>
      </c>
      <c r="U23" s="24">
        <f t="shared" si="18"/>
        <v>0</v>
      </c>
      <c r="V23" s="25">
        <f t="shared" si="18"/>
        <v>13</v>
      </c>
      <c r="W23" s="26">
        <f t="shared" si="18"/>
        <v>164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0.52941176470588236</v>
      </c>
      <c r="AC23" s="4">
        <f>AVERAGE(AC6:AC22)</f>
        <v>0.40196078431372545</v>
      </c>
      <c r="AD23" s="4">
        <f>AVERAGE(AD6:AD22)</f>
        <v>0.40196078431372545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5" t="s">
        <v>45</v>
      </c>
      <c r="B50" s="425"/>
      <c r="C50" s="425"/>
      <c r="D50" s="425"/>
      <c r="E50" s="425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6" t="s">
        <v>280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8"/>
      <c r="N51" s="429" t="s">
        <v>283</v>
      </c>
      <c r="O51" s="430"/>
      <c r="P51" s="430"/>
      <c r="Q51" s="430"/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32" t="s">
        <v>2</v>
      </c>
      <c r="B52" s="433"/>
      <c r="C52" s="198" t="s">
        <v>46</v>
      </c>
      <c r="D52" s="198" t="s">
        <v>47</v>
      </c>
      <c r="E52" s="198" t="s">
        <v>107</v>
      </c>
      <c r="F52" s="434" t="s">
        <v>106</v>
      </c>
      <c r="G52" s="435"/>
      <c r="H52" s="435"/>
      <c r="I52" s="435"/>
      <c r="J52" s="435"/>
      <c r="K52" s="435"/>
      <c r="L52" s="435"/>
      <c r="M52" s="436"/>
      <c r="N52" s="67" t="s">
        <v>110</v>
      </c>
      <c r="O52" s="198" t="s">
        <v>46</v>
      </c>
      <c r="P52" s="434" t="s">
        <v>47</v>
      </c>
      <c r="Q52" s="437"/>
      <c r="R52" s="434" t="s">
        <v>38</v>
      </c>
      <c r="S52" s="435"/>
      <c r="T52" s="435"/>
      <c r="U52" s="437"/>
      <c r="V52" s="434" t="s">
        <v>48</v>
      </c>
      <c r="W52" s="435"/>
      <c r="X52" s="435"/>
      <c r="Y52" s="435"/>
      <c r="Z52" s="435"/>
      <c r="AA52" s="435"/>
      <c r="AB52" s="435"/>
      <c r="AC52" s="435"/>
      <c r="AD52" s="436"/>
    </row>
    <row r="53" spans="1:32" ht="27" customHeight="1">
      <c r="A53" s="448" t="s">
        <v>118</v>
      </c>
      <c r="B53" s="449"/>
      <c r="C53" s="193" t="s">
        <v>139</v>
      </c>
      <c r="D53" s="193" t="s">
        <v>131</v>
      </c>
      <c r="E53" s="194" t="s">
        <v>214</v>
      </c>
      <c r="F53" s="450" t="s">
        <v>266</v>
      </c>
      <c r="G53" s="451"/>
      <c r="H53" s="451"/>
      <c r="I53" s="451"/>
      <c r="J53" s="451"/>
      <c r="K53" s="451"/>
      <c r="L53" s="451"/>
      <c r="M53" s="452"/>
      <c r="N53" s="197" t="s">
        <v>118</v>
      </c>
      <c r="O53" s="191" t="s">
        <v>179</v>
      </c>
      <c r="P53" s="453" t="s">
        <v>148</v>
      </c>
      <c r="Q53" s="454"/>
      <c r="R53" s="453" t="s">
        <v>175</v>
      </c>
      <c r="S53" s="455"/>
      <c r="T53" s="455"/>
      <c r="U53" s="454"/>
      <c r="V53" s="456" t="s">
        <v>284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193" t="s">
        <v>142</v>
      </c>
      <c r="D54" s="193" t="s">
        <v>115</v>
      </c>
      <c r="E54" s="194" t="s">
        <v>279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197" t="s">
        <v>112</v>
      </c>
      <c r="O54" s="191" t="s">
        <v>190</v>
      </c>
      <c r="P54" s="453" t="s">
        <v>115</v>
      </c>
      <c r="Q54" s="454"/>
      <c r="R54" s="453" t="s">
        <v>285</v>
      </c>
      <c r="S54" s="455"/>
      <c r="T54" s="455"/>
      <c r="U54" s="454"/>
      <c r="V54" s="456" t="s">
        <v>286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118</v>
      </c>
      <c r="B55" s="449"/>
      <c r="C55" s="193" t="s">
        <v>179</v>
      </c>
      <c r="D55" s="193" t="s">
        <v>148</v>
      </c>
      <c r="E55" s="194" t="s">
        <v>175</v>
      </c>
      <c r="F55" s="450" t="s">
        <v>281</v>
      </c>
      <c r="G55" s="451"/>
      <c r="H55" s="451"/>
      <c r="I55" s="451"/>
      <c r="J55" s="451"/>
      <c r="K55" s="451"/>
      <c r="L55" s="451"/>
      <c r="M55" s="452"/>
      <c r="N55" s="197"/>
      <c r="O55" s="191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113</v>
      </c>
      <c r="B56" s="449"/>
      <c r="C56" s="193" t="s">
        <v>212</v>
      </c>
      <c r="D56" s="193"/>
      <c r="E56" s="194" t="s">
        <v>191</v>
      </c>
      <c r="F56" s="450" t="s">
        <v>282</v>
      </c>
      <c r="G56" s="451"/>
      <c r="H56" s="451"/>
      <c r="I56" s="451"/>
      <c r="J56" s="451"/>
      <c r="K56" s="451"/>
      <c r="L56" s="451"/>
      <c r="M56" s="452"/>
      <c r="N56" s="197"/>
      <c r="O56" s="191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112</v>
      </c>
      <c r="B57" s="449"/>
      <c r="C57" s="193" t="s">
        <v>190</v>
      </c>
      <c r="D57" s="193" t="s">
        <v>115</v>
      </c>
      <c r="E57" s="194" t="s">
        <v>273</v>
      </c>
      <c r="F57" s="450" t="s">
        <v>130</v>
      </c>
      <c r="G57" s="451"/>
      <c r="H57" s="451"/>
      <c r="I57" s="451"/>
      <c r="J57" s="451"/>
      <c r="K57" s="451"/>
      <c r="L57" s="451"/>
      <c r="M57" s="452"/>
      <c r="N57" s="197"/>
      <c r="O57" s="191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193"/>
      <c r="D58" s="193"/>
      <c r="E58" s="194"/>
      <c r="F58" s="450"/>
      <c r="G58" s="451"/>
      <c r="H58" s="451"/>
      <c r="I58" s="451"/>
      <c r="J58" s="451"/>
      <c r="K58" s="451"/>
      <c r="L58" s="451"/>
      <c r="M58" s="452"/>
      <c r="N58" s="197"/>
      <c r="O58" s="191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48"/>
      <c r="B59" s="449"/>
      <c r="C59" s="193"/>
      <c r="D59" s="193"/>
      <c r="E59" s="194"/>
      <c r="F59" s="450"/>
      <c r="G59" s="451"/>
      <c r="H59" s="451"/>
      <c r="I59" s="451"/>
      <c r="J59" s="451"/>
      <c r="K59" s="451"/>
      <c r="L59" s="451"/>
      <c r="M59" s="452"/>
      <c r="N59" s="197"/>
      <c r="O59" s="191"/>
      <c r="P59" s="453"/>
      <c r="Q59" s="454"/>
      <c r="R59" s="453"/>
      <c r="S59" s="455"/>
      <c r="T59" s="455"/>
      <c r="U59" s="454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58"/>
      <c r="B60" s="459"/>
      <c r="C60" s="194"/>
      <c r="D60" s="194"/>
      <c r="E60" s="194"/>
      <c r="F60" s="450"/>
      <c r="G60" s="451"/>
      <c r="H60" s="451"/>
      <c r="I60" s="451"/>
      <c r="J60" s="451"/>
      <c r="K60" s="451"/>
      <c r="L60" s="451"/>
      <c r="M60" s="452"/>
      <c r="N60" s="197"/>
      <c r="O60" s="191"/>
      <c r="P60" s="453"/>
      <c r="Q60" s="454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</row>
    <row r="61" spans="1:32" ht="27" customHeight="1">
      <c r="A61" s="448"/>
      <c r="B61" s="449"/>
      <c r="C61" s="193"/>
      <c r="D61" s="193"/>
      <c r="E61" s="194"/>
      <c r="F61" s="450"/>
      <c r="G61" s="451"/>
      <c r="H61" s="451"/>
      <c r="I61" s="451"/>
      <c r="J61" s="451"/>
      <c r="K61" s="451"/>
      <c r="L61" s="451"/>
      <c r="M61" s="452"/>
      <c r="N61" s="197"/>
      <c r="O61" s="191"/>
      <c r="P61" s="459"/>
      <c r="Q61" s="459"/>
      <c r="R61" s="459"/>
      <c r="S61" s="459"/>
      <c r="T61" s="459"/>
      <c r="U61" s="459"/>
      <c r="V61" s="456"/>
      <c r="W61" s="456"/>
      <c r="X61" s="456"/>
      <c r="Y61" s="456"/>
      <c r="Z61" s="456"/>
      <c r="AA61" s="456"/>
      <c r="AB61" s="456"/>
      <c r="AC61" s="456"/>
      <c r="AD61" s="457"/>
      <c r="AF61" s="84">
        <f>8*3000</f>
        <v>24000</v>
      </c>
    </row>
    <row r="62" spans="1:32" ht="27" customHeight="1" thickBot="1">
      <c r="A62" s="460"/>
      <c r="B62" s="461"/>
      <c r="C62" s="195"/>
      <c r="D62" s="196"/>
      <c r="E62" s="196"/>
      <c r="F62" s="462"/>
      <c r="G62" s="463"/>
      <c r="H62" s="463"/>
      <c r="I62" s="463"/>
      <c r="J62" s="463"/>
      <c r="K62" s="463"/>
      <c r="L62" s="463"/>
      <c r="M62" s="464"/>
      <c r="N62" s="111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287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192" t="s">
        <v>2</v>
      </c>
      <c r="D64" s="192" t="s">
        <v>37</v>
      </c>
      <c r="E64" s="192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192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4" t="s">
        <v>112</v>
      </c>
      <c r="D65" s="187"/>
      <c r="E65" s="190" t="s">
        <v>115</v>
      </c>
      <c r="F65" s="477" t="s">
        <v>288</v>
      </c>
      <c r="G65" s="478"/>
      <c r="H65" s="478"/>
      <c r="I65" s="478"/>
      <c r="J65" s="479"/>
      <c r="K65" s="480" t="s">
        <v>138</v>
      </c>
      <c r="L65" s="480"/>
      <c r="M65" s="51" t="s">
        <v>137</v>
      </c>
      <c r="N65" s="481" t="s">
        <v>289</v>
      </c>
      <c r="O65" s="481"/>
      <c r="P65" s="482">
        <v>50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2</v>
      </c>
      <c r="B66" s="476"/>
      <c r="C66" s="104" t="s">
        <v>118</v>
      </c>
      <c r="D66" s="187"/>
      <c r="E66" s="190" t="s">
        <v>291</v>
      </c>
      <c r="F66" s="477" t="s">
        <v>290</v>
      </c>
      <c r="G66" s="478"/>
      <c r="H66" s="478"/>
      <c r="I66" s="478"/>
      <c r="J66" s="479"/>
      <c r="K66" s="480" t="s">
        <v>127</v>
      </c>
      <c r="L66" s="480"/>
      <c r="M66" s="51" t="s">
        <v>137</v>
      </c>
      <c r="N66" s="481" t="s">
        <v>289</v>
      </c>
      <c r="O66" s="481"/>
      <c r="P66" s="482">
        <v>100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3</v>
      </c>
      <c r="B67" s="476"/>
      <c r="C67" s="104" t="s">
        <v>118</v>
      </c>
      <c r="D67" s="187"/>
      <c r="E67" s="190" t="s">
        <v>148</v>
      </c>
      <c r="F67" s="477" t="s">
        <v>292</v>
      </c>
      <c r="G67" s="478"/>
      <c r="H67" s="478"/>
      <c r="I67" s="478"/>
      <c r="J67" s="479"/>
      <c r="K67" s="480" t="s">
        <v>223</v>
      </c>
      <c r="L67" s="480"/>
      <c r="M67" s="51" t="s">
        <v>137</v>
      </c>
      <c r="N67" s="481" t="s">
        <v>224</v>
      </c>
      <c r="O67" s="481"/>
      <c r="P67" s="482">
        <v>200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4</v>
      </c>
      <c r="B68" s="476"/>
      <c r="C68" s="104"/>
      <c r="D68" s="187"/>
      <c r="E68" s="190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5</v>
      </c>
      <c r="B69" s="476"/>
      <c r="C69" s="104"/>
      <c r="D69" s="187"/>
      <c r="E69" s="190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6</v>
      </c>
      <c r="B70" s="476"/>
      <c r="C70" s="104"/>
      <c r="D70" s="187"/>
      <c r="E70" s="190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7</v>
      </c>
      <c r="B71" s="476"/>
      <c r="C71" s="104"/>
      <c r="D71" s="187"/>
      <c r="E71" s="190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8</v>
      </c>
      <c r="B72" s="476"/>
      <c r="C72" s="104"/>
      <c r="D72" s="187"/>
      <c r="E72" s="190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9</v>
      </c>
      <c r="B73" s="476"/>
      <c r="C73" s="104"/>
      <c r="D73" s="187"/>
      <c r="E73" s="190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5.5" customHeight="1">
      <c r="A74" s="475">
        <v>10</v>
      </c>
      <c r="B74" s="476"/>
      <c r="C74" s="104"/>
      <c r="D74" s="187"/>
      <c r="E74" s="190"/>
      <c r="F74" s="484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80"/>
      <c r="AC74" s="480"/>
      <c r="AD74" s="483"/>
      <c r="AF74" s="50"/>
    </row>
    <row r="75" spans="1:32" ht="26.25" customHeight="1" thickBot="1">
      <c r="A75" s="485" t="s">
        <v>293</v>
      </c>
      <c r="B75" s="485"/>
      <c r="C75" s="485"/>
      <c r="D75" s="485"/>
      <c r="E75" s="48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6" t="s">
        <v>133</v>
      </c>
      <c r="B76" s="487"/>
      <c r="C76" s="189" t="s">
        <v>2</v>
      </c>
      <c r="D76" s="189" t="s">
        <v>37</v>
      </c>
      <c r="E76" s="189" t="s">
        <v>128</v>
      </c>
      <c r="F76" s="487" t="s">
        <v>38</v>
      </c>
      <c r="G76" s="487"/>
      <c r="H76" s="487"/>
      <c r="I76" s="487"/>
      <c r="J76" s="487"/>
      <c r="K76" s="488" t="s">
        <v>58</v>
      </c>
      <c r="L76" s="489"/>
      <c r="M76" s="489"/>
      <c r="N76" s="489"/>
      <c r="O76" s="489"/>
      <c r="P76" s="489"/>
      <c r="Q76" s="489"/>
      <c r="R76" s="489"/>
      <c r="S76" s="490"/>
      <c r="T76" s="487" t="s">
        <v>49</v>
      </c>
      <c r="U76" s="487"/>
      <c r="V76" s="488" t="s">
        <v>50</v>
      </c>
      <c r="W76" s="490"/>
      <c r="X76" s="489" t="s">
        <v>51</v>
      </c>
      <c r="Y76" s="489"/>
      <c r="Z76" s="489"/>
      <c r="AA76" s="489"/>
      <c r="AB76" s="489"/>
      <c r="AC76" s="489"/>
      <c r="AD76" s="491"/>
      <c r="AF76" s="50"/>
    </row>
    <row r="77" spans="1:32" ht="33.75" customHeight="1">
      <c r="A77" s="500">
        <v>1</v>
      </c>
      <c r="B77" s="501"/>
      <c r="C77" s="188" t="s">
        <v>112</v>
      </c>
      <c r="D77" s="188"/>
      <c r="E77" s="65" t="s">
        <v>117</v>
      </c>
      <c r="F77" s="502" t="s">
        <v>116</v>
      </c>
      <c r="G77" s="503"/>
      <c r="H77" s="503"/>
      <c r="I77" s="503"/>
      <c r="J77" s="504"/>
      <c r="K77" s="505" t="s">
        <v>120</v>
      </c>
      <c r="L77" s="506"/>
      <c r="M77" s="506"/>
      <c r="N77" s="506"/>
      <c r="O77" s="506"/>
      <c r="P77" s="506"/>
      <c r="Q77" s="506"/>
      <c r="R77" s="506"/>
      <c r="S77" s="507"/>
      <c r="T77" s="508">
        <v>44118</v>
      </c>
      <c r="U77" s="509"/>
      <c r="V77" s="510"/>
      <c r="W77" s="510"/>
      <c r="X77" s="511"/>
      <c r="Y77" s="511"/>
      <c r="Z77" s="511"/>
      <c r="AA77" s="511"/>
      <c r="AB77" s="511"/>
      <c r="AC77" s="511"/>
      <c r="AD77" s="512"/>
      <c r="AF77" s="50"/>
    </row>
    <row r="78" spans="1:32" ht="30" customHeight="1">
      <c r="A78" s="492">
        <f>A77+1</f>
        <v>2</v>
      </c>
      <c r="B78" s="493"/>
      <c r="C78" s="187"/>
      <c r="D78" s="187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ref="A79:A83" si="19">A78+1</f>
        <v>3</v>
      </c>
      <c r="B79" s="493"/>
      <c r="C79" s="187"/>
      <c r="D79" s="187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9"/>
        <v>4</v>
      </c>
      <c r="B80" s="493"/>
      <c r="C80" s="187"/>
      <c r="D80" s="187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9"/>
        <v>5</v>
      </c>
      <c r="B81" s="493"/>
      <c r="C81" s="187"/>
      <c r="D81" s="187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9"/>
        <v>6</v>
      </c>
      <c r="B82" s="493"/>
      <c r="C82" s="187"/>
      <c r="D82" s="187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0" customHeight="1">
      <c r="A83" s="492">
        <f t="shared" si="19"/>
        <v>7</v>
      </c>
      <c r="B83" s="493"/>
      <c r="C83" s="187"/>
      <c r="D83" s="187"/>
      <c r="E83" s="32"/>
      <c r="F83" s="493"/>
      <c r="G83" s="493"/>
      <c r="H83" s="493"/>
      <c r="I83" s="493"/>
      <c r="J83" s="493"/>
      <c r="K83" s="494"/>
      <c r="L83" s="495"/>
      <c r="M83" s="495"/>
      <c r="N83" s="495"/>
      <c r="O83" s="495"/>
      <c r="P83" s="495"/>
      <c r="Q83" s="495"/>
      <c r="R83" s="495"/>
      <c r="S83" s="496"/>
      <c r="T83" s="497"/>
      <c r="U83" s="497"/>
      <c r="V83" s="497"/>
      <c r="W83" s="497"/>
      <c r="X83" s="498"/>
      <c r="Y83" s="498"/>
      <c r="Z83" s="498"/>
      <c r="AA83" s="498"/>
      <c r="AB83" s="498"/>
      <c r="AC83" s="498"/>
      <c r="AD83" s="499"/>
      <c r="AF83" s="50"/>
    </row>
    <row r="84" spans="1:32" ht="36" thickBot="1">
      <c r="A84" s="485" t="s">
        <v>294</v>
      </c>
      <c r="B84" s="485"/>
      <c r="C84" s="485"/>
      <c r="D84" s="485"/>
      <c r="E84" s="48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6" t="s">
        <v>111</v>
      </c>
      <c r="B85" s="487"/>
      <c r="C85" s="513" t="s">
        <v>52</v>
      </c>
      <c r="D85" s="513"/>
      <c r="E85" s="513" t="s">
        <v>53</v>
      </c>
      <c r="F85" s="513"/>
      <c r="G85" s="513"/>
      <c r="H85" s="513"/>
      <c r="I85" s="513"/>
      <c r="J85" s="513"/>
      <c r="K85" s="513" t="s">
        <v>54</v>
      </c>
      <c r="L85" s="513"/>
      <c r="M85" s="513"/>
      <c r="N85" s="513"/>
      <c r="O85" s="513"/>
      <c r="P85" s="513"/>
      <c r="Q85" s="513"/>
      <c r="R85" s="513"/>
      <c r="S85" s="513"/>
      <c r="T85" s="513" t="s">
        <v>55</v>
      </c>
      <c r="U85" s="513"/>
      <c r="V85" s="513" t="s">
        <v>56</v>
      </c>
      <c r="W85" s="513"/>
      <c r="X85" s="513"/>
      <c r="Y85" s="513" t="s">
        <v>51</v>
      </c>
      <c r="Z85" s="513"/>
      <c r="AA85" s="513"/>
      <c r="AB85" s="513"/>
      <c r="AC85" s="513"/>
      <c r="AD85" s="514"/>
      <c r="AF85" s="50"/>
    </row>
    <row r="86" spans="1:32" ht="30.75" customHeight="1">
      <c r="A86" s="500">
        <v>1</v>
      </c>
      <c r="B86" s="501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0"/>
    </row>
    <row r="87" spans="1:32" ht="30.75" customHeight="1">
      <c r="A87" s="492">
        <v>2</v>
      </c>
      <c r="B87" s="493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7"/>
      <c r="U87" s="527"/>
      <c r="V87" s="528"/>
      <c r="W87" s="528"/>
      <c r="X87" s="528"/>
      <c r="Y87" s="519"/>
      <c r="Z87" s="519"/>
      <c r="AA87" s="519"/>
      <c r="AB87" s="519"/>
      <c r="AC87" s="519"/>
      <c r="AD87" s="520"/>
      <c r="AF87" s="50"/>
    </row>
    <row r="88" spans="1:32" ht="30.75" customHeight="1" thickBot="1">
      <c r="A88" s="521">
        <v>3</v>
      </c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4"/>
      <c r="Z88" s="524"/>
      <c r="AA88" s="524"/>
      <c r="AB88" s="524"/>
      <c r="AC88" s="524"/>
      <c r="AD88" s="52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91F1-4E8B-42A7-83AA-6550A164DF53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295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00" t="s">
        <v>17</v>
      </c>
      <c r="L5" s="200" t="s">
        <v>18</v>
      </c>
      <c r="M5" s="200" t="s">
        <v>19</v>
      </c>
      <c r="N5" s="20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0.39583333333333331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125</v>
      </c>
      <c r="E7" s="53" t="s">
        <v>251</v>
      </c>
      <c r="F7" s="12" t="s">
        <v>262</v>
      </c>
      <c r="G7" s="12">
        <v>1</v>
      </c>
      <c r="H7" s="13">
        <v>24</v>
      </c>
      <c r="I7" s="31">
        <v>200</v>
      </c>
      <c r="J7" s="14">
        <v>1215</v>
      </c>
      <c r="K7" s="15">
        <f>L7+1215</f>
        <v>1215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0.39583333333333331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131</v>
      </c>
      <c r="E8" s="53" t="s">
        <v>214</v>
      </c>
      <c r="F8" s="30" t="s">
        <v>156</v>
      </c>
      <c r="G8" s="33">
        <v>1</v>
      </c>
      <c r="H8" s="35">
        <v>24</v>
      </c>
      <c r="I8" s="7">
        <v>10000</v>
      </c>
      <c r="J8" s="5">
        <v>704</v>
      </c>
      <c r="K8" s="15">
        <f>L8+5519+704</f>
        <v>6223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0.39583333333333331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2492</v>
      </c>
      <c r="K9" s="15">
        <f>L9+1962+4980+5366+4717+5345+5204+2562+5349</f>
        <v>37977</v>
      </c>
      <c r="L9" s="15">
        <f>1957+535</f>
        <v>2492</v>
      </c>
      <c r="M9" s="15">
        <f t="shared" si="0"/>
        <v>2492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0.39583333333333331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0.39583333333333331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5955</v>
      </c>
      <c r="K11" s="15">
        <f>L11+3558+2547+3474+5896</f>
        <v>21430</v>
      </c>
      <c r="L11" s="15">
        <f>2894+3061</f>
        <v>5955</v>
      </c>
      <c r="M11" s="15">
        <f t="shared" si="0"/>
        <v>5955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0.39583333333333331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0.39583333333333331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5686</v>
      </c>
      <c r="K13" s="15">
        <f>L13+3371+5314+5597</f>
        <v>19968</v>
      </c>
      <c r="L13" s="15">
        <f>2748+2938</f>
        <v>5686</v>
      </c>
      <c r="M13" s="15">
        <f t="shared" si="0"/>
        <v>5686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0.39583333333333331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718</v>
      </c>
      <c r="K14" s="15">
        <f>L14+685+1206+729+1223+1172+718</f>
        <v>5733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0.39583333333333331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36330</v>
      </c>
      <c r="K15" s="15">
        <f>L15+19700+34515</f>
        <v>90545</v>
      </c>
      <c r="L15" s="15">
        <f>3645*5+3621*5</f>
        <v>36330</v>
      </c>
      <c r="M15" s="15">
        <f t="shared" si="0"/>
        <v>36330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0.39583333333333331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13462</v>
      </c>
      <c r="K16" s="15">
        <f>L16+7207+12638+17678+10494+7352+8769</f>
        <v>77600</v>
      </c>
      <c r="L16" s="15">
        <f>2600+1690*2+3741*2</f>
        <v>13462</v>
      </c>
      <c r="M16" s="15">
        <f t="shared" si="0"/>
        <v>13462</v>
      </c>
      <c r="N16" s="15">
        <v>0</v>
      </c>
      <c r="O16" s="58">
        <f t="shared" si="1"/>
        <v>0</v>
      </c>
      <c r="P16" s="39">
        <f t="shared" si="2"/>
        <v>20</v>
      </c>
      <c r="Q16" s="40">
        <f t="shared" si="3"/>
        <v>4</v>
      </c>
      <c r="R16" s="7"/>
      <c r="S16" s="6">
        <v>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0.83333333333333337</v>
      </c>
      <c r="AD16" s="10">
        <f t="shared" si="6"/>
        <v>0.83333333333333337</v>
      </c>
      <c r="AE16" s="36">
        <f t="shared" si="7"/>
        <v>0.39583333333333331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0.39583333333333331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279</v>
      </c>
      <c r="F18" s="30" t="s">
        <v>206</v>
      </c>
      <c r="G18" s="33">
        <v>1</v>
      </c>
      <c r="H18" s="35">
        <v>24</v>
      </c>
      <c r="I18" s="7">
        <v>12800</v>
      </c>
      <c r="J18" s="14">
        <v>5425</v>
      </c>
      <c r="K18" s="15">
        <f>L18+2951</f>
        <v>8376</v>
      </c>
      <c r="L18" s="15">
        <f>2636+2789</f>
        <v>5425</v>
      </c>
      <c r="M18" s="15">
        <f t="shared" si="0"/>
        <v>5425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0.39583333333333331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5500</v>
      </c>
      <c r="K19" s="15">
        <f>L19+4346+5385+5500</f>
        <v>15231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0.39583333333333331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0.39583333333333331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191</v>
      </c>
      <c r="F21" s="12" t="s">
        <v>114</v>
      </c>
      <c r="G21" s="12">
        <v>4</v>
      </c>
      <c r="H21" s="35">
        <v>20</v>
      </c>
      <c r="I21" s="7">
        <v>500000</v>
      </c>
      <c r="J21" s="14">
        <v>63832</v>
      </c>
      <c r="K21" s="15">
        <f>L21+25436+37500+30500+46364</f>
        <v>203632</v>
      </c>
      <c r="L21" s="15">
        <f>8397*4+7561*4</f>
        <v>63832</v>
      </c>
      <c r="M21" s="15">
        <f t="shared" si="0"/>
        <v>63832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0.39583333333333331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935400</v>
      </c>
      <c r="J22" s="19">
        <f t="shared" si="9"/>
        <v>175240</v>
      </c>
      <c r="K22" s="20">
        <f t="shared" si="9"/>
        <v>604002</v>
      </c>
      <c r="L22" s="21">
        <f t="shared" si="9"/>
        <v>133182</v>
      </c>
      <c r="M22" s="20">
        <f t="shared" si="9"/>
        <v>133182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152</v>
      </c>
      <c r="Q22" s="43">
        <f t="shared" si="10"/>
        <v>232</v>
      </c>
      <c r="R22" s="23">
        <f t="shared" si="10"/>
        <v>0</v>
      </c>
      <c r="S22" s="24">
        <f t="shared" si="10"/>
        <v>40</v>
      </c>
      <c r="T22" s="24">
        <f t="shared" si="10"/>
        <v>0</v>
      </c>
      <c r="U22" s="24">
        <f t="shared" si="10"/>
        <v>0</v>
      </c>
      <c r="V22" s="25">
        <f t="shared" si="10"/>
        <v>0</v>
      </c>
      <c r="W22" s="26">
        <f t="shared" si="10"/>
        <v>144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0.4375</v>
      </c>
      <c r="AC22" s="4">
        <f>AVERAGE(AC6:AC21)</f>
        <v>0.39583333333333331</v>
      </c>
      <c r="AD22" s="4">
        <f>AVERAGE(AD6:AD21)</f>
        <v>0.39583333333333331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296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299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201" t="s">
        <v>46</v>
      </c>
      <c r="D51" s="201" t="s">
        <v>47</v>
      </c>
      <c r="E51" s="201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201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202" t="s">
        <v>254</v>
      </c>
      <c r="D52" s="202" t="s">
        <v>217</v>
      </c>
      <c r="E52" s="204" t="s">
        <v>150</v>
      </c>
      <c r="F52" s="450" t="s">
        <v>297</v>
      </c>
      <c r="G52" s="451"/>
      <c r="H52" s="451"/>
      <c r="I52" s="451"/>
      <c r="J52" s="451"/>
      <c r="K52" s="451"/>
      <c r="L52" s="451"/>
      <c r="M52" s="452"/>
      <c r="N52" s="203" t="s">
        <v>118</v>
      </c>
      <c r="O52" s="209" t="s">
        <v>179</v>
      </c>
      <c r="P52" s="453" t="s">
        <v>148</v>
      </c>
      <c r="Q52" s="454"/>
      <c r="R52" s="453" t="s">
        <v>175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202" t="s">
        <v>179</v>
      </c>
      <c r="D53" s="202" t="s">
        <v>148</v>
      </c>
      <c r="E53" s="204" t="s">
        <v>175</v>
      </c>
      <c r="F53" s="450" t="s">
        <v>298</v>
      </c>
      <c r="G53" s="451"/>
      <c r="H53" s="451"/>
      <c r="I53" s="451"/>
      <c r="J53" s="451"/>
      <c r="K53" s="451"/>
      <c r="L53" s="451"/>
      <c r="M53" s="452"/>
      <c r="N53" s="203" t="s">
        <v>118</v>
      </c>
      <c r="O53" s="209" t="s">
        <v>254</v>
      </c>
      <c r="P53" s="453" t="s">
        <v>217</v>
      </c>
      <c r="Q53" s="454"/>
      <c r="R53" s="453" t="s">
        <v>150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/>
      <c r="B54" s="449"/>
      <c r="C54" s="202"/>
      <c r="D54" s="202"/>
      <c r="E54" s="204"/>
      <c r="F54" s="450"/>
      <c r="G54" s="451"/>
      <c r="H54" s="451"/>
      <c r="I54" s="451"/>
      <c r="J54" s="451"/>
      <c r="K54" s="451"/>
      <c r="L54" s="451"/>
      <c r="M54" s="452"/>
      <c r="N54" s="203" t="s">
        <v>113</v>
      </c>
      <c r="O54" s="209" t="s">
        <v>212</v>
      </c>
      <c r="P54" s="453"/>
      <c r="Q54" s="454"/>
      <c r="R54" s="453" t="s">
        <v>300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202"/>
      <c r="D55" s="202"/>
      <c r="E55" s="204"/>
      <c r="F55" s="450"/>
      <c r="G55" s="451"/>
      <c r="H55" s="451"/>
      <c r="I55" s="451"/>
      <c r="J55" s="451"/>
      <c r="K55" s="451"/>
      <c r="L55" s="451"/>
      <c r="M55" s="452"/>
      <c r="N55" s="203" t="s">
        <v>302</v>
      </c>
      <c r="O55" s="209" t="s">
        <v>139</v>
      </c>
      <c r="P55" s="453"/>
      <c r="Q55" s="454"/>
      <c r="R55" s="453" t="s">
        <v>301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202"/>
      <c r="D56" s="202"/>
      <c r="E56" s="204"/>
      <c r="F56" s="450"/>
      <c r="G56" s="451"/>
      <c r="H56" s="451"/>
      <c r="I56" s="451"/>
      <c r="J56" s="451"/>
      <c r="K56" s="451"/>
      <c r="L56" s="451"/>
      <c r="M56" s="452"/>
      <c r="N56" s="203"/>
      <c r="O56" s="209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02"/>
      <c r="D57" s="202"/>
      <c r="E57" s="204"/>
      <c r="F57" s="450"/>
      <c r="G57" s="451"/>
      <c r="H57" s="451"/>
      <c r="I57" s="451"/>
      <c r="J57" s="451"/>
      <c r="K57" s="451"/>
      <c r="L57" s="451"/>
      <c r="M57" s="452"/>
      <c r="N57" s="203"/>
      <c r="O57" s="209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02"/>
      <c r="D58" s="202"/>
      <c r="E58" s="204"/>
      <c r="F58" s="450"/>
      <c r="G58" s="451"/>
      <c r="H58" s="451"/>
      <c r="I58" s="451"/>
      <c r="J58" s="451"/>
      <c r="K58" s="451"/>
      <c r="L58" s="451"/>
      <c r="M58" s="452"/>
      <c r="N58" s="203"/>
      <c r="O58" s="209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04"/>
      <c r="D59" s="204"/>
      <c r="E59" s="204"/>
      <c r="F59" s="450"/>
      <c r="G59" s="451"/>
      <c r="H59" s="451"/>
      <c r="I59" s="451"/>
      <c r="J59" s="451"/>
      <c r="K59" s="451"/>
      <c r="L59" s="451"/>
      <c r="M59" s="452"/>
      <c r="N59" s="203"/>
      <c r="O59" s="209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02"/>
      <c r="D60" s="202"/>
      <c r="E60" s="204"/>
      <c r="F60" s="450"/>
      <c r="G60" s="451"/>
      <c r="H60" s="451"/>
      <c r="I60" s="451"/>
      <c r="J60" s="451"/>
      <c r="K60" s="451"/>
      <c r="L60" s="451"/>
      <c r="M60" s="452"/>
      <c r="N60" s="203"/>
      <c r="O60" s="209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05"/>
      <c r="D61" s="206"/>
      <c r="E61" s="206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303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07" t="s">
        <v>2</v>
      </c>
      <c r="D63" s="207" t="s">
        <v>37</v>
      </c>
      <c r="E63" s="207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07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211"/>
      <c r="E64" s="208" t="s">
        <v>307</v>
      </c>
      <c r="F64" s="477" t="s">
        <v>304</v>
      </c>
      <c r="G64" s="478"/>
      <c r="H64" s="478"/>
      <c r="I64" s="478"/>
      <c r="J64" s="479"/>
      <c r="K64" s="480" t="s">
        <v>144</v>
      </c>
      <c r="L64" s="480"/>
      <c r="M64" s="51" t="s">
        <v>137</v>
      </c>
      <c r="N64" s="481" t="s">
        <v>241</v>
      </c>
      <c r="O64" s="481"/>
      <c r="P64" s="482">
        <v>200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118</v>
      </c>
      <c r="D65" s="211"/>
      <c r="E65" s="208" t="s">
        <v>131</v>
      </c>
      <c r="F65" s="477" t="s">
        <v>305</v>
      </c>
      <c r="G65" s="478"/>
      <c r="H65" s="478"/>
      <c r="I65" s="478"/>
      <c r="J65" s="479"/>
      <c r="K65" s="480" t="s">
        <v>158</v>
      </c>
      <c r="L65" s="480"/>
      <c r="M65" s="51" t="s">
        <v>137</v>
      </c>
      <c r="N65" s="481" t="s">
        <v>129</v>
      </c>
      <c r="O65" s="481"/>
      <c r="P65" s="482">
        <v>100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118</v>
      </c>
      <c r="D66" s="211"/>
      <c r="E66" s="208" t="s">
        <v>131</v>
      </c>
      <c r="F66" s="477" t="s">
        <v>306</v>
      </c>
      <c r="G66" s="478"/>
      <c r="H66" s="478"/>
      <c r="I66" s="478"/>
      <c r="J66" s="479"/>
      <c r="K66" s="480" t="s">
        <v>156</v>
      </c>
      <c r="L66" s="480"/>
      <c r="M66" s="51" t="s">
        <v>309</v>
      </c>
      <c r="N66" s="481" t="s">
        <v>139</v>
      </c>
      <c r="O66" s="481"/>
      <c r="P66" s="482">
        <v>100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 t="s">
        <v>112</v>
      </c>
      <c r="D67" s="211"/>
      <c r="E67" s="208" t="s">
        <v>115</v>
      </c>
      <c r="F67" s="477" t="s">
        <v>285</v>
      </c>
      <c r="G67" s="478"/>
      <c r="H67" s="478"/>
      <c r="I67" s="478"/>
      <c r="J67" s="479"/>
      <c r="K67" s="480" t="s">
        <v>162</v>
      </c>
      <c r="L67" s="480"/>
      <c r="M67" s="51" t="s">
        <v>137</v>
      </c>
      <c r="N67" s="481" t="s">
        <v>190</v>
      </c>
      <c r="O67" s="481"/>
      <c r="P67" s="482">
        <v>30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 t="s">
        <v>112</v>
      </c>
      <c r="D68" s="211"/>
      <c r="E68" s="208" t="s">
        <v>115</v>
      </c>
      <c r="F68" s="477" t="s">
        <v>235</v>
      </c>
      <c r="G68" s="478"/>
      <c r="H68" s="478"/>
      <c r="I68" s="478"/>
      <c r="J68" s="479"/>
      <c r="K68" s="480" t="s">
        <v>162</v>
      </c>
      <c r="L68" s="480"/>
      <c r="M68" s="51" t="s">
        <v>137</v>
      </c>
      <c r="N68" s="481" t="s">
        <v>190</v>
      </c>
      <c r="O68" s="481"/>
      <c r="P68" s="482">
        <v>30</v>
      </c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 t="s">
        <v>118</v>
      </c>
      <c r="D69" s="211"/>
      <c r="E69" s="208" t="s">
        <v>115</v>
      </c>
      <c r="F69" s="477" t="s">
        <v>146</v>
      </c>
      <c r="G69" s="478"/>
      <c r="H69" s="478"/>
      <c r="I69" s="478"/>
      <c r="J69" s="479"/>
      <c r="K69" s="480" t="s">
        <v>308</v>
      </c>
      <c r="L69" s="480"/>
      <c r="M69" s="51" t="s">
        <v>310</v>
      </c>
      <c r="N69" s="481" t="s">
        <v>289</v>
      </c>
      <c r="O69" s="481"/>
      <c r="P69" s="482">
        <v>100</v>
      </c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11"/>
      <c r="E70" s="208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11"/>
      <c r="E71" s="208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11"/>
      <c r="E72" s="208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11"/>
      <c r="E73" s="208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311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10" t="s">
        <v>2</v>
      </c>
      <c r="D75" s="210" t="s">
        <v>37</v>
      </c>
      <c r="E75" s="210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12" t="s">
        <v>112</v>
      </c>
      <c r="D76" s="212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11"/>
      <c r="D77" s="211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11"/>
      <c r="D78" s="211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11"/>
      <c r="D79" s="211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11"/>
      <c r="D80" s="211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11"/>
      <c r="D81" s="211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11"/>
      <c r="D82" s="211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312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2155-22FA-4629-A65A-C694CFAA1D73}">
  <dimension ref="A1:AF87"/>
  <sheetViews>
    <sheetView view="pageBreakPreview" zoomScale="70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313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25" t="s">
        <v>17</v>
      </c>
      <c r="L5" s="225" t="s">
        <v>18</v>
      </c>
      <c r="M5" s="225" t="s">
        <v>19</v>
      </c>
      <c r="N5" s="2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0.453125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125</v>
      </c>
      <c r="E7" s="53" t="s">
        <v>251</v>
      </c>
      <c r="F7" s="12" t="s">
        <v>262</v>
      </c>
      <c r="G7" s="12">
        <v>1</v>
      </c>
      <c r="H7" s="13">
        <v>24</v>
      </c>
      <c r="I7" s="31">
        <v>200</v>
      </c>
      <c r="J7" s="14">
        <v>1215</v>
      </c>
      <c r="K7" s="15">
        <f>L7+1215</f>
        <v>1215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0.453125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447616</v>
      </c>
      <c r="K8" s="15">
        <f>L8</f>
        <v>447616</v>
      </c>
      <c r="L8" s="15">
        <f>7762*32+6226*32</f>
        <v>447616</v>
      </c>
      <c r="M8" s="15">
        <f t="shared" si="0"/>
        <v>447616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0.453125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411</v>
      </c>
      <c r="K9" s="15">
        <f>L9+1962+4980+5366+4717+5345+5204+2562+5349+2492</f>
        <v>38388</v>
      </c>
      <c r="L9" s="15">
        <v>411</v>
      </c>
      <c r="M9" s="15">
        <f t="shared" si="0"/>
        <v>411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>
        <v>21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 t="shared" si="7"/>
        <v>0.453125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0.453125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5813</v>
      </c>
      <c r="K11" s="15">
        <f>L11+3558+2547+3474+5896+5955</f>
        <v>27243</v>
      </c>
      <c r="L11" s="15">
        <f>2982+2831</f>
        <v>5813</v>
      </c>
      <c r="M11" s="15">
        <f t="shared" si="0"/>
        <v>5813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0.453125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0.453125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3264</v>
      </c>
      <c r="K13" s="15">
        <f>L13+3371+5314+5597+5686</f>
        <v>23232</v>
      </c>
      <c r="L13" s="15">
        <f>582+2682</f>
        <v>3264</v>
      </c>
      <c r="M13" s="15">
        <f t="shared" si="0"/>
        <v>3264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/>
      <c r="T13" s="16"/>
      <c r="U13" s="16"/>
      <c r="V13" s="17"/>
      <c r="W13" s="5">
        <v>9</v>
      </c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 t="shared" si="6"/>
        <v>0.625</v>
      </c>
      <c r="AE13" s="36">
        <f t="shared" si="7"/>
        <v>0.453125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1235</v>
      </c>
      <c r="K14" s="15">
        <f>L14+685+1206+729+1223+1172+718</f>
        <v>6968</v>
      </c>
      <c r="L14" s="15">
        <v>1235</v>
      </c>
      <c r="M14" s="15">
        <f t="shared" si="0"/>
        <v>1235</v>
      </c>
      <c r="N14" s="15">
        <v>0</v>
      </c>
      <c r="O14" s="58">
        <f t="shared" si="1"/>
        <v>0</v>
      </c>
      <c r="P14" s="39">
        <f t="shared" si="2"/>
        <v>13</v>
      </c>
      <c r="Q14" s="40">
        <f t="shared" si="3"/>
        <v>11</v>
      </c>
      <c r="R14" s="7"/>
      <c r="S14" s="6"/>
      <c r="T14" s="16"/>
      <c r="U14" s="16"/>
      <c r="V14" s="17"/>
      <c r="W14" s="5">
        <v>11</v>
      </c>
      <c r="X14" s="16"/>
      <c r="Y14" s="16"/>
      <c r="Z14" s="16"/>
      <c r="AA14" s="18"/>
      <c r="AB14" s="8">
        <f t="shared" si="4"/>
        <v>1</v>
      </c>
      <c r="AC14" s="9">
        <f t="shared" si="5"/>
        <v>0.54166666666666663</v>
      </c>
      <c r="AD14" s="10">
        <f t="shared" si="6"/>
        <v>0.54166666666666663</v>
      </c>
      <c r="AE14" s="36">
        <f t="shared" si="7"/>
        <v>0.453125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34975</v>
      </c>
      <c r="K15" s="15">
        <f>L15+19700+34515+36330</f>
        <v>125520</v>
      </c>
      <c r="L15" s="15">
        <f>3605*5+3390*5</f>
        <v>34975</v>
      </c>
      <c r="M15" s="15">
        <f t="shared" si="0"/>
        <v>34975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0.453125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18112</v>
      </c>
      <c r="K16" s="15">
        <f>L16+7207+12638+17678+10494+7352+8769+13462</f>
        <v>95712</v>
      </c>
      <c r="L16" s="15">
        <f>4664*2+4392*2</f>
        <v>18112</v>
      </c>
      <c r="M16" s="15">
        <f t="shared" si="0"/>
        <v>18112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0.453125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0.453125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279</v>
      </c>
      <c r="F18" s="30" t="s">
        <v>206</v>
      </c>
      <c r="G18" s="33">
        <v>1</v>
      </c>
      <c r="H18" s="35">
        <v>24</v>
      </c>
      <c r="I18" s="7">
        <v>12800</v>
      </c>
      <c r="J18" s="14">
        <v>5149</v>
      </c>
      <c r="K18" s="15">
        <f>L18+2951+5425</f>
        <v>13525</v>
      </c>
      <c r="L18" s="15">
        <f>2706+2443</f>
        <v>5149</v>
      </c>
      <c r="M18" s="15">
        <f t="shared" si="0"/>
        <v>5149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0.453125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5500</v>
      </c>
      <c r="K19" s="15">
        <f>L19+4346+5385+5500</f>
        <v>15231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0.453125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0.453125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300</v>
      </c>
      <c r="F21" s="12" t="s">
        <v>114</v>
      </c>
      <c r="G21" s="12">
        <v>4</v>
      </c>
      <c r="H21" s="35">
        <v>20</v>
      </c>
      <c r="I21" s="7">
        <v>100000</v>
      </c>
      <c r="J21" s="14">
        <v>63320</v>
      </c>
      <c r="K21" s="15">
        <f>L21</f>
        <v>63320</v>
      </c>
      <c r="L21" s="15">
        <f>7264*4+8566*4</f>
        <v>63320</v>
      </c>
      <c r="M21" s="15">
        <f t="shared" si="0"/>
        <v>63320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0.453125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1525400</v>
      </c>
      <c r="J22" s="19">
        <f t="shared" si="9"/>
        <v>620531</v>
      </c>
      <c r="K22" s="20">
        <f t="shared" si="9"/>
        <v>974042</v>
      </c>
      <c r="L22" s="21">
        <f t="shared" si="9"/>
        <v>579895</v>
      </c>
      <c r="M22" s="20">
        <f t="shared" si="9"/>
        <v>579895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174</v>
      </c>
      <c r="Q22" s="43">
        <f t="shared" si="10"/>
        <v>210</v>
      </c>
      <c r="R22" s="23">
        <f t="shared" si="10"/>
        <v>0</v>
      </c>
      <c r="S22" s="24">
        <f t="shared" si="10"/>
        <v>21</v>
      </c>
      <c r="T22" s="24">
        <f t="shared" si="10"/>
        <v>1</v>
      </c>
      <c r="U22" s="24">
        <f t="shared" si="10"/>
        <v>0</v>
      </c>
      <c r="V22" s="25">
        <f t="shared" si="10"/>
        <v>0</v>
      </c>
      <c r="W22" s="26">
        <f t="shared" si="10"/>
        <v>164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0.5625</v>
      </c>
      <c r="AC22" s="4">
        <f>AVERAGE(AC6:AC21)</f>
        <v>0.453125</v>
      </c>
      <c r="AD22" s="4">
        <f>AVERAGE(AD6:AD21)</f>
        <v>0.453125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315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317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224" t="s">
        <v>46</v>
      </c>
      <c r="D51" s="224" t="s">
        <v>47</v>
      </c>
      <c r="E51" s="224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224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219" t="s">
        <v>254</v>
      </c>
      <c r="D52" s="219" t="s">
        <v>217</v>
      </c>
      <c r="E52" s="220" t="s">
        <v>150</v>
      </c>
      <c r="F52" s="450" t="s">
        <v>316</v>
      </c>
      <c r="G52" s="451"/>
      <c r="H52" s="451"/>
      <c r="I52" s="451"/>
      <c r="J52" s="451"/>
      <c r="K52" s="451"/>
      <c r="L52" s="451"/>
      <c r="M52" s="452"/>
      <c r="N52" s="223" t="s">
        <v>118</v>
      </c>
      <c r="O52" s="217" t="s">
        <v>254</v>
      </c>
      <c r="P52" s="453" t="s">
        <v>217</v>
      </c>
      <c r="Q52" s="454"/>
      <c r="R52" s="453" t="s">
        <v>150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219" t="s">
        <v>179</v>
      </c>
      <c r="D53" s="219" t="s">
        <v>148</v>
      </c>
      <c r="E53" s="220" t="s">
        <v>175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223"/>
      <c r="O53" s="217"/>
      <c r="P53" s="453"/>
      <c r="Q53" s="454"/>
      <c r="R53" s="453"/>
      <c r="S53" s="455"/>
      <c r="T53" s="455"/>
      <c r="U53" s="454"/>
      <c r="V53" s="456"/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302</v>
      </c>
      <c r="B54" s="449"/>
      <c r="C54" s="219" t="s">
        <v>139</v>
      </c>
      <c r="D54" s="219"/>
      <c r="E54" s="220" t="s">
        <v>301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223"/>
      <c r="O54" s="217"/>
      <c r="P54" s="453"/>
      <c r="Q54" s="454"/>
      <c r="R54" s="453"/>
      <c r="S54" s="455"/>
      <c r="T54" s="455"/>
      <c r="U54" s="454"/>
      <c r="V54" s="456"/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113</v>
      </c>
      <c r="B55" s="449"/>
      <c r="C55" s="219" t="s">
        <v>212</v>
      </c>
      <c r="D55" s="219"/>
      <c r="E55" s="220" t="s">
        <v>300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223"/>
      <c r="O55" s="217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219"/>
      <c r="D56" s="219"/>
      <c r="E56" s="220"/>
      <c r="F56" s="450"/>
      <c r="G56" s="451"/>
      <c r="H56" s="451"/>
      <c r="I56" s="451"/>
      <c r="J56" s="451"/>
      <c r="K56" s="451"/>
      <c r="L56" s="451"/>
      <c r="M56" s="452"/>
      <c r="N56" s="223"/>
      <c r="O56" s="217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19"/>
      <c r="D57" s="219"/>
      <c r="E57" s="220"/>
      <c r="F57" s="450"/>
      <c r="G57" s="451"/>
      <c r="H57" s="451"/>
      <c r="I57" s="451"/>
      <c r="J57" s="451"/>
      <c r="K57" s="451"/>
      <c r="L57" s="451"/>
      <c r="M57" s="452"/>
      <c r="N57" s="223"/>
      <c r="O57" s="217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19"/>
      <c r="D58" s="219"/>
      <c r="E58" s="220"/>
      <c r="F58" s="450"/>
      <c r="G58" s="451"/>
      <c r="H58" s="451"/>
      <c r="I58" s="451"/>
      <c r="J58" s="451"/>
      <c r="K58" s="451"/>
      <c r="L58" s="451"/>
      <c r="M58" s="452"/>
      <c r="N58" s="223"/>
      <c r="O58" s="217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20"/>
      <c r="D59" s="220"/>
      <c r="E59" s="220"/>
      <c r="F59" s="450"/>
      <c r="G59" s="451"/>
      <c r="H59" s="451"/>
      <c r="I59" s="451"/>
      <c r="J59" s="451"/>
      <c r="K59" s="451"/>
      <c r="L59" s="451"/>
      <c r="M59" s="452"/>
      <c r="N59" s="223"/>
      <c r="O59" s="217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19"/>
      <c r="D60" s="219"/>
      <c r="E60" s="220"/>
      <c r="F60" s="450"/>
      <c r="G60" s="451"/>
      <c r="H60" s="451"/>
      <c r="I60" s="451"/>
      <c r="J60" s="451"/>
      <c r="K60" s="451"/>
      <c r="L60" s="451"/>
      <c r="M60" s="452"/>
      <c r="N60" s="223"/>
      <c r="O60" s="217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21"/>
      <c r="D61" s="222"/>
      <c r="E61" s="222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318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18" t="s">
        <v>2</v>
      </c>
      <c r="D63" s="218" t="s">
        <v>37</v>
      </c>
      <c r="E63" s="218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18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118</v>
      </c>
      <c r="D64" s="213"/>
      <c r="E64" s="216" t="s">
        <v>115</v>
      </c>
      <c r="F64" s="477" t="s">
        <v>319</v>
      </c>
      <c r="G64" s="478"/>
      <c r="H64" s="478"/>
      <c r="I64" s="478"/>
      <c r="J64" s="479"/>
      <c r="K64" s="480" t="s">
        <v>158</v>
      </c>
      <c r="L64" s="480"/>
      <c r="M64" s="51" t="s">
        <v>137</v>
      </c>
      <c r="N64" s="481" t="s">
        <v>129</v>
      </c>
      <c r="O64" s="481"/>
      <c r="P64" s="482">
        <v>100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118</v>
      </c>
      <c r="D65" s="213"/>
      <c r="E65" s="216" t="s">
        <v>140</v>
      </c>
      <c r="F65" s="477" t="s">
        <v>320</v>
      </c>
      <c r="G65" s="478"/>
      <c r="H65" s="478"/>
      <c r="I65" s="478"/>
      <c r="J65" s="479"/>
      <c r="K65" s="480" t="s">
        <v>138</v>
      </c>
      <c r="L65" s="480"/>
      <c r="M65" s="51" t="s">
        <v>137</v>
      </c>
      <c r="N65" s="481" t="s">
        <v>134</v>
      </c>
      <c r="O65" s="481"/>
      <c r="P65" s="482">
        <v>60</v>
      </c>
      <c r="Q65" s="482"/>
      <c r="R65" s="456" t="s">
        <v>321</v>
      </c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213"/>
      <c r="E66" s="216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213"/>
      <c r="E67" s="216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213"/>
      <c r="E68" s="216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213"/>
      <c r="E69" s="216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13"/>
      <c r="E70" s="216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13"/>
      <c r="E71" s="216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13"/>
      <c r="E72" s="216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13"/>
      <c r="E73" s="216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322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15" t="s">
        <v>2</v>
      </c>
      <c r="D75" s="215" t="s">
        <v>37</v>
      </c>
      <c r="E75" s="215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14" t="s">
        <v>112</v>
      </c>
      <c r="D76" s="214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13"/>
      <c r="D77" s="213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13"/>
      <c r="D78" s="213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13"/>
      <c r="D79" s="213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13"/>
      <c r="D80" s="213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13"/>
      <c r="D81" s="213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13"/>
      <c r="D82" s="213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323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EBF4-61D5-459A-8E95-4360615C27FF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324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26" t="s">
        <v>17</v>
      </c>
      <c r="L5" s="226" t="s">
        <v>18</v>
      </c>
      <c r="M5" s="226" t="s">
        <v>19</v>
      </c>
      <c r="N5" s="22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0.40625000000000006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</f>
        <v>1624</v>
      </c>
      <c r="L7" s="15">
        <f>1079+545</f>
        <v>1624</v>
      </c>
      <c r="M7" s="15">
        <f t="shared" si="0"/>
        <v>1624</v>
      </c>
      <c r="N7" s="15">
        <v>0</v>
      </c>
      <c r="O7" s="58">
        <f t="shared" si="1"/>
        <v>0</v>
      </c>
      <c r="P7" s="39">
        <f t="shared" si="2"/>
        <v>9</v>
      </c>
      <c r="Q7" s="40">
        <f t="shared" si="3"/>
        <v>15</v>
      </c>
      <c r="R7" s="7"/>
      <c r="S7" s="6"/>
      <c r="T7" s="16">
        <v>6</v>
      </c>
      <c r="U7" s="16"/>
      <c r="V7" s="17"/>
      <c r="W7" s="5">
        <v>9</v>
      </c>
      <c r="X7" s="16"/>
      <c r="Y7" s="16"/>
      <c r="Z7" s="16"/>
      <c r="AA7" s="18"/>
      <c r="AB7" s="8">
        <f t="shared" si="4"/>
        <v>1</v>
      </c>
      <c r="AC7" s="9">
        <f t="shared" si="5"/>
        <v>0.375</v>
      </c>
      <c r="AD7" s="10">
        <f t="shared" si="6"/>
        <v>0.375</v>
      </c>
      <c r="AE7" s="36">
        <f t="shared" si="7"/>
        <v>0.40625000000000006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509024</v>
      </c>
      <c r="K8" s="15">
        <f>L8+447616</f>
        <v>956640</v>
      </c>
      <c r="L8" s="15">
        <f>8120*32+7787*32</f>
        <v>509024</v>
      </c>
      <c r="M8" s="15">
        <f t="shared" si="0"/>
        <v>509024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0.40625000000000006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3600</v>
      </c>
      <c r="K9" s="15">
        <f>L9+1962+4980+5366+4717+5345+5204+2562+5349+2492+411</f>
        <v>41988</v>
      </c>
      <c r="L9" s="15">
        <f>861+2739</f>
        <v>3600</v>
      </c>
      <c r="M9" s="15">
        <f t="shared" si="0"/>
        <v>3600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0.40625000000000006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0.40625000000000006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5627</v>
      </c>
      <c r="K11" s="15">
        <f>L11+3558+2547+3474+5896+5955+5813</f>
        <v>32870</v>
      </c>
      <c r="L11" s="15">
        <f>2892+2735</f>
        <v>5627</v>
      </c>
      <c r="M11" s="15">
        <f t="shared" si="0"/>
        <v>5627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0.40625000000000006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0.40625000000000006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3264</v>
      </c>
      <c r="K13" s="15">
        <f>L13+3371+5314+5597+5686+3264</f>
        <v>23232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0.40625000000000006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5500</v>
      </c>
      <c r="J14" s="5">
        <v>1235</v>
      </c>
      <c r="K14" s="15">
        <f>L14+685+1206+729+1223+1172+718+1235</f>
        <v>6968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0.40625000000000006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</f>
        <v>157340</v>
      </c>
      <c r="L15" s="15">
        <f>3625*5+2739*5</f>
        <v>31820</v>
      </c>
      <c r="M15" s="15">
        <f t="shared" si="0"/>
        <v>31820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0.40625000000000006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13442</v>
      </c>
      <c r="K16" s="15">
        <f>L16+7207+12638+17678+10494+7352+8769+13462+18112</f>
        <v>109154</v>
      </c>
      <c r="L16" s="15">
        <f>2200*2+674*2+3847*2</f>
        <v>13442</v>
      </c>
      <c r="M16" s="15">
        <f t="shared" si="0"/>
        <v>13442</v>
      </c>
      <c r="N16" s="15">
        <v>0</v>
      </c>
      <c r="O16" s="58">
        <f t="shared" si="1"/>
        <v>0</v>
      </c>
      <c r="P16" s="39">
        <f t="shared" si="2"/>
        <v>22</v>
      </c>
      <c r="Q16" s="40">
        <f t="shared" si="3"/>
        <v>2</v>
      </c>
      <c r="R16" s="7"/>
      <c r="S16" s="6">
        <v>2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6">
        <f t="shared" si="7"/>
        <v>0.40625000000000006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0.40625000000000006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115</v>
      </c>
      <c r="E18" s="53" t="s">
        <v>279</v>
      </c>
      <c r="F18" s="30" t="s">
        <v>206</v>
      </c>
      <c r="G18" s="33">
        <v>1</v>
      </c>
      <c r="H18" s="35">
        <v>24</v>
      </c>
      <c r="I18" s="7">
        <v>12800</v>
      </c>
      <c r="J18" s="14">
        <v>2769</v>
      </c>
      <c r="K18" s="15">
        <f>L18+2951+5425+5149</f>
        <v>16294</v>
      </c>
      <c r="L18" s="15">
        <f>2627+142</f>
        <v>2769</v>
      </c>
      <c r="M18" s="15">
        <f t="shared" si="0"/>
        <v>2769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/>
      <c r="T18" s="16"/>
      <c r="U18" s="16"/>
      <c r="V18" s="17"/>
      <c r="W18" s="5">
        <v>12</v>
      </c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6">
        <f t="shared" si="7"/>
        <v>0.40625000000000006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168</v>
      </c>
      <c r="E19" s="53" t="s">
        <v>216</v>
      </c>
      <c r="F19" s="30" t="s">
        <v>127</v>
      </c>
      <c r="G19" s="33">
        <v>1</v>
      </c>
      <c r="H19" s="35">
        <v>24</v>
      </c>
      <c r="I19" s="7">
        <v>20000</v>
      </c>
      <c r="J19" s="14">
        <v>5500</v>
      </c>
      <c r="K19" s="15">
        <f>L19+4346+5385+5500</f>
        <v>15231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0.40625000000000006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0.40625000000000006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300</v>
      </c>
      <c r="F21" s="12" t="s">
        <v>114</v>
      </c>
      <c r="G21" s="12">
        <v>4</v>
      </c>
      <c r="H21" s="35">
        <v>20</v>
      </c>
      <c r="I21" s="7">
        <v>100000</v>
      </c>
      <c r="J21" s="14">
        <v>67640</v>
      </c>
      <c r="K21" s="15">
        <f>L21+63320</f>
        <v>130960</v>
      </c>
      <c r="L21" s="15">
        <f>8290*4+8620*4</f>
        <v>67640</v>
      </c>
      <c r="M21" s="15">
        <f t="shared" si="0"/>
        <v>67640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0.40625000000000006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1526700</v>
      </c>
      <c r="J22" s="19">
        <f t="shared" si="9"/>
        <v>679466</v>
      </c>
      <c r="K22" s="20">
        <f t="shared" si="9"/>
        <v>1608373</v>
      </c>
      <c r="L22" s="21">
        <f t="shared" si="9"/>
        <v>635546</v>
      </c>
      <c r="M22" s="20">
        <f t="shared" si="9"/>
        <v>635546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156</v>
      </c>
      <c r="Q22" s="43">
        <f t="shared" si="10"/>
        <v>228</v>
      </c>
      <c r="R22" s="23">
        <f t="shared" si="10"/>
        <v>0</v>
      </c>
      <c r="S22" s="24">
        <f t="shared" si="10"/>
        <v>9</v>
      </c>
      <c r="T22" s="24">
        <f t="shared" si="10"/>
        <v>6</v>
      </c>
      <c r="U22" s="24">
        <f t="shared" si="10"/>
        <v>0</v>
      </c>
      <c r="V22" s="25">
        <f t="shared" si="10"/>
        <v>0</v>
      </c>
      <c r="W22" s="26">
        <f t="shared" si="10"/>
        <v>189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0.5</v>
      </c>
      <c r="AC22" s="4">
        <f>AVERAGE(AC6:AC21)</f>
        <v>0.40625000000000006</v>
      </c>
      <c r="AD22" s="4">
        <f>AVERAGE(AD6:AD21)</f>
        <v>0.40625000000000006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326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329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227" t="s">
        <v>46</v>
      </c>
      <c r="D51" s="227" t="s">
        <v>47</v>
      </c>
      <c r="E51" s="227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227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228" t="s">
        <v>254</v>
      </c>
      <c r="D52" s="228" t="s">
        <v>217</v>
      </c>
      <c r="E52" s="230" t="s">
        <v>150</v>
      </c>
      <c r="F52" s="450" t="s">
        <v>327</v>
      </c>
      <c r="G52" s="451"/>
      <c r="H52" s="451"/>
      <c r="I52" s="451"/>
      <c r="J52" s="451"/>
      <c r="K52" s="451"/>
      <c r="L52" s="451"/>
      <c r="M52" s="452"/>
      <c r="N52" s="229" t="s">
        <v>118</v>
      </c>
      <c r="O52" s="235" t="s">
        <v>254</v>
      </c>
      <c r="P52" s="453" t="s">
        <v>217</v>
      </c>
      <c r="Q52" s="454"/>
      <c r="R52" s="453" t="s">
        <v>150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228" t="s">
        <v>179</v>
      </c>
      <c r="D53" s="228" t="s">
        <v>148</v>
      </c>
      <c r="E53" s="230" t="s">
        <v>175</v>
      </c>
      <c r="F53" s="450" t="s">
        <v>328</v>
      </c>
      <c r="G53" s="451"/>
      <c r="H53" s="451"/>
      <c r="I53" s="451"/>
      <c r="J53" s="451"/>
      <c r="K53" s="451"/>
      <c r="L53" s="451"/>
      <c r="M53" s="452"/>
      <c r="N53" s="229" t="s">
        <v>112</v>
      </c>
      <c r="O53" s="235" t="s">
        <v>241</v>
      </c>
      <c r="P53" s="453" t="s">
        <v>307</v>
      </c>
      <c r="Q53" s="454"/>
      <c r="R53" s="453" t="s">
        <v>304</v>
      </c>
      <c r="S53" s="455"/>
      <c r="T53" s="455"/>
      <c r="U53" s="454"/>
      <c r="V53" s="456" t="s">
        <v>195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228" t="s">
        <v>129</v>
      </c>
      <c r="D54" s="228" t="s">
        <v>125</v>
      </c>
      <c r="E54" s="230" t="s">
        <v>325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229" t="s">
        <v>112</v>
      </c>
      <c r="O54" s="235" t="s">
        <v>190</v>
      </c>
      <c r="P54" s="453" t="s">
        <v>115</v>
      </c>
      <c r="Q54" s="454"/>
      <c r="R54" s="453" t="s">
        <v>235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228"/>
      <c r="D55" s="228"/>
      <c r="E55" s="230"/>
      <c r="F55" s="450"/>
      <c r="G55" s="451"/>
      <c r="H55" s="451"/>
      <c r="I55" s="451"/>
      <c r="J55" s="451"/>
      <c r="K55" s="451"/>
      <c r="L55" s="451"/>
      <c r="M55" s="452"/>
      <c r="N55" s="229" t="s">
        <v>112</v>
      </c>
      <c r="O55" s="235" t="s">
        <v>190</v>
      </c>
      <c r="P55" s="453" t="s">
        <v>115</v>
      </c>
      <c r="Q55" s="454"/>
      <c r="R55" s="453" t="s">
        <v>330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228"/>
      <c r="D56" s="228"/>
      <c r="E56" s="230"/>
      <c r="F56" s="450"/>
      <c r="G56" s="451"/>
      <c r="H56" s="451"/>
      <c r="I56" s="451"/>
      <c r="J56" s="451"/>
      <c r="K56" s="451"/>
      <c r="L56" s="451"/>
      <c r="M56" s="452"/>
      <c r="N56" s="229"/>
      <c r="O56" s="235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28"/>
      <c r="D57" s="228"/>
      <c r="E57" s="230"/>
      <c r="F57" s="450"/>
      <c r="G57" s="451"/>
      <c r="H57" s="451"/>
      <c r="I57" s="451"/>
      <c r="J57" s="451"/>
      <c r="K57" s="451"/>
      <c r="L57" s="451"/>
      <c r="M57" s="452"/>
      <c r="N57" s="229"/>
      <c r="O57" s="235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28"/>
      <c r="D58" s="228"/>
      <c r="E58" s="230"/>
      <c r="F58" s="450"/>
      <c r="G58" s="451"/>
      <c r="H58" s="451"/>
      <c r="I58" s="451"/>
      <c r="J58" s="451"/>
      <c r="K58" s="451"/>
      <c r="L58" s="451"/>
      <c r="M58" s="452"/>
      <c r="N58" s="229"/>
      <c r="O58" s="235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30"/>
      <c r="D59" s="230"/>
      <c r="E59" s="230"/>
      <c r="F59" s="450"/>
      <c r="G59" s="451"/>
      <c r="H59" s="451"/>
      <c r="I59" s="451"/>
      <c r="J59" s="451"/>
      <c r="K59" s="451"/>
      <c r="L59" s="451"/>
      <c r="M59" s="452"/>
      <c r="N59" s="229"/>
      <c r="O59" s="235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28"/>
      <c r="D60" s="228"/>
      <c r="E60" s="230"/>
      <c r="F60" s="450"/>
      <c r="G60" s="451"/>
      <c r="H60" s="451"/>
      <c r="I60" s="451"/>
      <c r="J60" s="451"/>
      <c r="K60" s="451"/>
      <c r="L60" s="451"/>
      <c r="M60" s="452"/>
      <c r="N60" s="229"/>
      <c r="O60" s="235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31"/>
      <c r="D61" s="232"/>
      <c r="E61" s="232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331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33" t="s">
        <v>2</v>
      </c>
      <c r="D63" s="233" t="s">
        <v>37</v>
      </c>
      <c r="E63" s="23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3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121</v>
      </c>
      <c r="D64" s="237"/>
      <c r="E64" s="234"/>
      <c r="F64" s="477" t="s">
        <v>332</v>
      </c>
      <c r="G64" s="478"/>
      <c r="H64" s="478"/>
      <c r="I64" s="478"/>
      <c r="J64" s="479"/>
      <c r="K64" s="480" t="s">
        <v>138</v>
      </c>
      <c r="L64" s="480"/>
      <c r="M64" s="51" t="s">
        <v>309</v>
      </c>
      <c r="N64" s="481" t="s">
        <v>289</v>
      </c>
      <c r="O64" s="481"/>
      <c r="P64" s="482">
        <v>100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237"/>
      <c r="E65" s="234" t="s">
        <v>115</v>
      </c>
      <c r="F65" s="477" t="s">
        <v>333</v>
      </c>
      <c r="G65" s="478"/>
      <c r="H65" s="478"/>
      <c r="I65" s="478"/>
      <c r="J65" s="479"/>
      <c r="K65" s="480" t="s">
        <v>149</v>
      </c>
      <c r="L65" s="480"/>
      <c r="M65" s="51" t="s">
        <v>137</v>
      </c>
      <c r="N65" s="481" t="s">
        <v>135</v>
      </c>
      <c r="O65" s="481"/>
      <c r="P65" s="482">
        <v>200</v>
      </c>
      <c r="Q65" s="482"/>
      <c r="R65" s="456" t="s">
        <v>334</v>
      </c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119</v>
      </c>
      <c r="D66" s="237"/>
      <c r="E66" s="234" t="s">
        <v>336</v>
      </c>
      <c r="F66" s="477" t="s">
        <v>335</v>
      </c>
      <c r="G66" s="478"/>
      <c r="H66" s="478"/>
      <c r="I66" s="478"/>
      <c r="J66" s="479"/>
      <c r="K66" s="480" t="s">
        <v>149</v>
      </c>
      <c r="L66" s="480"/>
      <c r="M66" s="51" t="s">
        <v>137</v>
      </c>
      <c r="N66" s="481" t="s">
        <v>190</v>
      </c>
      <c r="O66" s="481"/>
      <c r="P66" s="482">
        <v>200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237"/>
      <c r="E67" s="234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237"/>
      <c r="E68" s="234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237"/>
      <c r="E69" s="234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37"/>
      <c r="E70" s="234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37"/>
      <c r="E71" s="234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37"/>
      <c r="E72" s="234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37"/>
      <c r="E73" s="234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337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36" t="s">
        <v>2</v>
      </c>
      <c r="D75" s="236" t="s">
        <v>37</v>
      </c>
      <c r="E75" s="236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38" t="s">
        <v>112</v>
      </c>
      <c r="D76" s="238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37"/>
      <c r="D77" s="237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37"/>
      <c r="D78" s="237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37"/>
      <c r="D79" s="237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37"/>
      <c r="D80" s="237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37"/>
      <c r="D81" s="237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37"/>
      <c r="D82" s="237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338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7AFB-4C6C-4BD3-894C-E12E0E4EFF0D}">
  <dimension ref="A1:AF88"/>
  <sheetViews>
    <sheetView view="pageBreakPreview" topLeftCell="A10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339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51" t="s">
        <v>17</v>
      </c>
      <c r="L5" s="251" t="s">
        <v>18</v>
      </c>
      <c r="M5" s="251" t="s">
        <v>19</v>
      </c>
      <c r="N5" s="2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159</v>
      </c>
      <c r="F6" s="30" t="s">
        <v>158</v>
      </c>
      <c r="G6" s="12">
        <v>1</v>
      </c>
      <c r="H6" s="13">
        <v>24</v>
      </c>
      <c r="I6" s="7">
        <v>8000</v>
      </c>
      <c r="J6" s="14">
        <v>14448</v>
      </c>
      <c r="K6" s="15">
        <f>L6+14448</f>
        <v>14448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0.17769607843137256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L7+1624</f>
        <v>1624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0.17769607843137256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190880</v>
      </c>
      <c r="K8" s="15">
        <f>L8+447616+509024</f>
        <v>1147520</v>
      </c>
      <c r="L8" s="15">
        <f>5965*32</f>
        <v>190880</v>
      </c>
      <c r="M8" s="15">
        <f t="shared" si="0"/>
        <v>190880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/>
      <c r="W8" s="5">
        <v>14</v>
      </c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0.17769607843137256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4186</v>
      </c>
      <c r="K9" s="15">
        <f>L9+1962+4980+5366+4717+5345+5204+2562+5349+2492+411+3600</f>
        <v>46174</v>
      </c>
      <c r="L9" s="15">
        <f>2683+1503</f>
        <v>4186</v>
      </c>
      <c r="M9" s="15">
        <f t="shared" si="0"/>
        <v>4186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0.17769607843137256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0.17769607843137256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5627</v>
      </c>
      <c r="K11" s="15">
        <f>L11+3558+2547+3474+5896+5955+5813+5627</f>
        <v>32870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0.17769607843137256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0.17769607843137256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3264</v>
      </c>
      <c r="K13" s="15">
        <f>L13+3371+5314+5597+5686+3264</f>
        <v>23232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0.17769607843137256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235</v>
      </c>
      <c r="F14" s="30" t="s">
        <v>162</v>
      </c>
      <c r="G14" s="33">
        <v>1</v>
      </c>
      <c r="H14" s="35">
        <v>50</v>
      </c>
      <c r="I14" s="7">
        <v>400</v>
      </c>
      <c r="J14" s="5">
        <v>500</v>
      </c>
      <c r="K14" s="15">
        <f>L14</f>
        <v>500</v>
      </c>
      <c r="L14" s="15">
        <f>500</f>
        <v>500</v>
      </c>
      <c r="M14" s="15">
        <f t="shared" si="0"/>
        <v>500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0.17769607843137256</v>
      </c>
      <c r="AF14" s="84">
        <f t="shared" si="8"/>
        <v>9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330</v>
      </c>
      <c r="F15" s="30" t="s">
        <v>206</v>
      </c>
      <c r="G15" s="33">
        <v>1</v>
      </c>
      <c r="H15" s="35">
        <v>50</v>
      </c>
      <c r="I15" s="7">
        <v>200</v>
      </c>
      <c r="J15" s="5">
        <v>200</v>
      </c>
      <c r="K15" s="15">
        <f>L15</f>
        <v>100</v>
      </c>
      <c r="L15" s="15">
        <v>100</v>
      </c>
      <c r="M15" s="15">
        <f t="shared" ref="M15" si="9">L15-N15</f>
        <v>100</v>
      </c>
      <c r="N15" s="15">
        <v>0</v>
      </c>
      <c r="O15" s="58">
        <f t="shared" ref="O15" si="10">IF(L15=0,"0",N15/L15)</f>
        <v>0</v>
      </c>
      <c r="P15" s="39">
        <f t="shared" ref="P15" si="11">IF(L15=0,"0",(24-Q15))</f>
        <v>3</v>
      </c>
      <c r="Q15" s="40">
        <f t="shared" ref="Q15" si="12">SUM(R15:AA15)</f>
        <v>21</v>
      </c>
      <c r="R15" s="7"/>
      <c r="S15" s="6">
        <v>14</v>
      </c>
      <c r="T15" s="16">
        <v>7</v>
      </c>
      <c r="U15" s="16"/>
      <c r="V15" s="17"/>
      <c r="W15" s="5"/>
      <c r="X15" s="16"/>
      <c r="Y15" s="16"/>
      <c r="Z15" s="16"/>
      <c r="AA15" s="18"/>
      <c r="AB15" s="8">
        <f t="shared" ref="AB15" si="13">IF(J15=0,"0",(L15/J15))</f>
        <v>0.5</v>
      </c>
      <c r="AC15" s="9">
        <f t="shared" ref="AC15" si="14">IF(P15=0,"0",(P15/24))</f>
        <v>0.125</v>
      </c>
      <c r="AD15" s="10">
        <f t="shared" ref="AD15" si="15">AC15*AB15*(1-O15)</f>
        <v>6.25E-2</v>
      </c>
      <c r="AE15" s="36">
        <f t="shared" si="7"/>
        <v>0.17769607843137256</v>
      </c>
      <c r="AF15" s="84">
        <f t="shared" ref="AF15" si="16">A15</f>
        <v>9</v>
      </c>
    </row>
    <row r="16" spans="1:32" ht="27" customHeight="1">
      <c r="A16" s="95">
        <v>10</v>
      </c>
      <c r="B16" s="11" t="s">
        <v>57</v>
      </c>
      <c r="C16" s="34" t="s">
        <v>119</v>
      </c>
      <c r="D16" s="52"/>
      <c r="E16" s="53" t="s">
        <v>263</v>
      </c>
      <c r="F16" s="12" t="s">
        <v>264</v>
      </c>
      <c r="G16" s="12">
        <v>5</v>
      </c>
      <c r="H16" s="13">
        <v>24</v>
      </c>
      <c r="I16" s="31">
        <v>100000</v>
      </c>
      <c r="J16" s="14">
        <v>31820</v>
      </c>
      <c r="K16" s="15">
        <f>L16+19700+34515+36330+34975+31820</f>
        <v>157340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0.17769607843137256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148</v>
      </c>
      <c r="E17" s="53" t="s">
        <v>175</v>
      </c>
      <c r="F17" s="30" t="s">
        <v>141</v>
      </c>
      <c r="G17" s="12">
        <v>2</v>
      </c>
      <c r="H17" s="13">
        <v>24</v>
      </c>
      <c r="I17" s="7">
        <v>100000</v>
      </c>
      <c r="J17" s="14">
        <v>13442</v>
      </c>
      <c r="K17" s="15">
        <f>L17+7207+12638+17678+10494+7352+8769+13462+18112+13442</f>
        <v>109154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0.17769607843137256</v>
      </c>
      <c r="AF17" s="84">
        <f t="shared" si="8"/>
        <v>11</v>
      </c>
    </row>
    <row r="18" spans="1:32" ht="30" customHeight="1">
      <c r="A18" s="95">
        <v>12</v>
      </c>
      <c r="B18" s="11" t="s">
        <v>163</v>
      </c>
      <c r="C18" s="34" t="s">
        <v>121</v>
      </c>
      <c r="D18" s="52" t="s">
        <v>125</v>
      </c>
      <c r="E18" s="53" t="s">
        <v>155</v>
      </c>
      <c r="F18" s="30" t="s">
        <v>136</v>
      </c>
      <c r="G18" s="12">
        <v>1</v>
      </c>
      <c r="H18" s="13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0.17769607843137256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115</v>
      </c>
      <c r="E19" s="53" t="s">
        <v>279</v>
      </c>
      <c r="F19" s="30" t="s">
        <v>206</v>
      </c>
      <c r="G19" s="33">
        <v>1</v>
      </c>
      <c r="H19" s="35">
        <v>24</v>
      </c>
      <c r="I19" s="7">
        <v>12800</v>
      </c>
      <c r="J19" s="14">
        <v>2769</v>
      </c>
      <c r="K19" s="15">
        <f>L19+2951+5425+5149+2769</f>
        <v>16294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0.17769607843137256</v>
      </c>
      <c r="AF19" s="84">
        <f t="shared" si="8"/>
        <v>13</v>
      </c>
    </row>
    <row r="20" spans="1:32" ht="27" customHeight="1">
      <c r="A20" s="96">
        <v>14</v>
      </c>
      <c r="B20" s="11" t="s">
        <v>163</v>
      </c>
      <c r="C20" s="11" t="s">
        <v>118</v>
      </c>
      <c r="D20" s="52" t="s">
        <v>148</v>
      </c>
      <c r="E20" s="53" t="s">
        <v>340</v>
      </c>
      <c r="F20" s="30" t="s">
        <v>141</v>
      </c>
      <c r="G20" s="33">
        <v>2</v>
      </c>
      <c r="H20" s="35">
        <v>24</v>
      </c>
      <c r="I20" s="7">
        <v>1500</v>
      </c>
      <c r="J20" s="14">
        <v>4016</v>
      </c>
      <c r="K20" s="15">
        <f>L20</f>
        <v>4016</v>
      </c>
      <c r="L20" s="15">
        <v>4016</v>
      </c>
      <c r="M20" s="15">
        <f t="shared" si="0"/>
        <v>4016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0.17769607843137256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119</v>
      </c>
      <c r="D21" s="52" t="s">
        <v>115</v>
      </c>
      <c r="E21" s="53" t="s">
        <v>176</v>
      </c>
      <c r="F21" s="30" t="s">
        <v>149</v>
      </c>
      <c r="G21" s="12">
        <v>2</v>
      </c>
      <c r="H21" s="13">
        <v>24</v>
      </c>
      <c r="I21" s="7">
        <v>15000</v>
      </c>
      <c r="J21" s="14">
        <v>8776</v>
      </c>
      <c r="K21" s="15">
        <f>L21+9922+9172+8776</f>
        <v>27870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0.17769607843137256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300</v>
      </c>
      <c r="F22" s="12" t="s">
        <v>114</v>
      </c>
      <c r="G22" s="12">
        <v>4</v>
      </c>
      <c r="H22" s="35">
        <v>20</v>
      </c>
      <c r="I22" s="7">
        <v>100000</v>
      </c>
      <c r="J22" s="14">
        <v>59420</v>
      </c>
      <c r="K22" s="15">
        <f>L22+63320+67640</f>
        <v>190380</v>
      </c>
      <c r="L22" s="15">
        <f>6789*4+8066*4</f>
        <v>59420</v>
      </c>
      <c r="M22" s="15">
        <f t="shared" si="0"/>
        <v>59420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0.17769607843137256</v>
      </c>
      <c r="AF22" s="84">
        <f t="shared" si="8"/>
        <v>16</v>
      </c>
    </row>
    <row r="23" spans="1:32" ht="31.5" customHeight="1" thickBot="1">
      <c r="A23" s="422" t="s">
        <v>34</v>
      </c>
      <c r="B23" s="423"/>
      <c r="C23" s="423"/>
      <c r="D23" s="423"/>
      <c r="E23" s="423"/>
      <c r="F23" s="423"/>
      <c r="G23" s="423"/>
      <c r="H23" s="424"/>
      <c r="I23" s="22">
        <f t="shared" ref="I23:N23" si="17">SUM(I6:I22)</f>
        <v>1503300</v>
      </c>
      <c r="J23" s="19">
        <f t="shared" si="17"/>
        <v>351669</v>
      </c>
      <c r="K23" s="20">
        <f t="shared" si="17"/>
        <v>1845276</v>
      </c>
      <c r="L23" s="21">
        <f t="shared" si="17"/>
        <v>259102</v>
      </c>
      <c r="M23" s="20">
        <f t="shared" si="17"/>
        <v>259102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74</v>
      </c>
      <c r="Q23" s="43">
        <f t="shared" si="18"/>
        <v>334</v>
      </c>
      <c r="R23" s="23">
        <f t="shared" si="18"/>
        <v>0</v>
      </c>
      <c r="S23" s="24">
        <f t="shared" si="18"/>
        <v>17</v>
      </c>
      <c r="T23" s="24">
        <f t="shared" si="18"/>
        <v>7</v>
      </c>
      <c r="U23" s="24">
        <f t="shared" si="18"/>
        <v>0</v>
      </c>
      <c r="V23" s="25">
        <f t="shared" si="18"/>
        <v>0</v>
      </c>
      <c r="W23" s="26">
        <f t="shared" si="18"/>
        <v>262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48</v>
      </c>
      <c r="AB23" s="28">
        <f>AVERAGE(AB6:AB22)</f>
        <v>0.3235294117647059</v>
      </c>
      <c r="AC23" s="4">
        <f>AVERAGE(AC6:AC22)</f>
        <v>0.18137254901960786</v>
      </c>
      <c r="AD23" s="4">
        <f>AVERAGE(AD6:AD22)</f>
        <v>0.17769607843137256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5" t="s">
        <v>45</v>
      </c>
      <c r="B50" s="425"/>
      <c r="C50" s="425"/>
      <c r="D50" s="425"/>
      <c r="E50" s="425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6" t="s">
        <v>341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8"/>
      <c r="N51" s="429" t="s">
        <v>343</v>
      </c>
      <c r="O51" s="430"/>
      <c r="P51" s="430"/>
      <c r="Q51" s="430"/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32" t="s">
        <v>2</v>
      </c>
      <c r="B52" s="433"/>
      <c r="C52" s="250" t="s">
        <v>46</v>
      </c>
      <c r="D52" s="250" t="s">
        <v>47</v>
      </c>
      <c r="E52" s="250" t="s">
        <v>107</v>
      </c>
      <c r="F52" s="434" t="s">
        <v>106</v>
      </c>
      <c r="G52" s="435"/>
      <c r="H52" s="435"/>
      <c r="I52" s="435"/>
      <c r="J52" s="435"/>
      <c r="K52" s="435"/>
      <c r="L52" s="435"/>
      <c r="M52" s="436"/>
      <c r="N52" s="67" t="s">
        <v>110</v>
      </c>
      <c r="O52" s="250" t="s">
        <v>46</v>
      </c>
      <c r="P52" s="434" t="s">
        <v>47</v>
      </c>
      <c r="Q52" s="437"/>
      <c r="R52" s="434" t="s">
        <v>38</v>
      </c>
      <c r="S52" s="435"/>
      <c r="T52" s="435"/>
      <c r="U52" s="437"/>
      <c r="V52" s="434" t="s">
        <v>48</v>
      </c>
      <c r="W52" s="435"/>
      <c r="X52" s="435"/>
      <c r="Y52" s="435"/>
      <c r="Z52" s="435"/>
      <c r="AA52" s="435"/>
      <c r="AB52" s="435"/>
      <c r="AC52" s="435"/>
      <c r="AD52" s="436"/>
    </row>
    <row r="53" spans="1:32" ht="27" customHeight="1">
      <c r="A53" s="448" t="s">
        <v>118</v>
      </c>
      <c r="B53" s="449"/>
      <c r="C53" s="245" t="s">
        <v>254</v>
      </c>
      <c r="D53" s="245" t="s">
        <v>217</v>
      </c>
      <c r="E53" s="246" t="s">
        <v>150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249" t="s">
        <v>112</v>
      </c>
      <c r="O53" s="243" t="s">
        <v>241</v>
      </c>
      <c r="P53" s="453" t="s">
        <v>307</v>
      </c>
      <c r="Q53" s="454"/>
      <c r="R53" s="453" t="s">
        <v>304</v>
      </c>
      <c r="S53" s="455"/>
      <c r="T53" s="455"/>
      <c r="U53" s="454"/>
      <c r="V53" s="456" t="s">
        <v>195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118</v>
      </c>
      <c r="B54" s="449"/>
      <c r="C54" s="245" t="s">
        <v>134</v>
      </c>
      <c r="D54" s="245" t="s">
        <v>148</v>
      </c>
      <c r="E54" s="246" t="s">
        <v>340</v>
      </c>
      <c r="F54" s="450" t="s">
        <v>286</v>
      </c>
      <c r="G54" s="451"/>
      <c r="H54" s="451"/>
      <c r="I54" s="451"/>
      <c r="J54" s="451"/>
      <c r="K54" s="451"/>
      <c r="L54" s="451"/>
      <c r="M54" s="452"/>
      <c r="N54" s="249" t="s">
        <v>112</v>
      </c>
      <c r="O54" s="243" t="s">
        <v>190</v>
      </c>
      <c r="P54" s="453" t="s">
        <v>115</v>
      </c>
      <c r="Q54" s="454"/>
      <c r="R54" s="453" t="s">
        <v>330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112</v>
      </c>
      <c r="B55" s="449"/>
      <c r="C55" s="245" t="s">
        <v>190</v>
      </c>
      <c r="D55" s="245" t="s">
        <v>115</v>
      </c>
      <c r="E55" s="246" t="s">
        <v>235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249"/>
      <c r="O55" s="243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112</v>
      </c>
      <c r="B56" s="449"/>
      <c r="C56" s="245" t="s">
        <v>190</v>
      </c>
      <c r="D56" s="245" t="s">
        <v>115</v>
      </c>
      <c r="E56" s="246" t="s">
        <v>330</v>
      </c>
      <c r="F56" s="450" t="s">
        <v>342</v>
      </c>
      <c r="G56" s="451"/>
      <c r="H56" s="451"/>
      <c r="I56" s="451"/>
      <c r="J56" s="451"/>
      <c r="K56" s="451"/>
      <c r="L56" s="451"/>
      <c r="M56" s="452"/>
      <c r="N56" s="249"/>
      <c r="O56" s="243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45"/>
      <c r="D57" s="245"/>
      <c r="E57" s="246"/>
      <c r="F57" s="450"/>
      <c r="G57" s="451"/>
      <c r="H57" s="451"/>
      <c r="I57" s="451"/>
      <c r="J57" s="451"/>
      <c r="K57" s="451"/>
      <c r="L57" s="451"/>
      <c r="M57" s="452"/>
      <c r="N57" s="249"/>
      <c r="O57" s="243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45"/>
      <c r="D58" s="245"/>
      <c r="E58" s="246"/>
      <c r="F58" s="450"/>
      <c r="G58" s="451"/>
      <c r="H58" s="451"/>
      <c r="I58" s="451"/>
      <c r="J58" s="451"/>
      <c r="K58" s="451"/>
      <c r="L58" s="451"/>
      <c r="M58" s="452"/>
      <c r="N58" s="249"/>
      <c r="O58" s="243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48"/>
      <c r="B59" s="449"/>
      <c r="C59" s="245"/>
      <c r="D59" s="245"/>
      <c r="E59" s="246"/>
      <c r="F59" s="450"/>
      <c r="G59" s="451"/>
      <c r="H59" s="451"/>
      <c r="I59" s="451"/>
      <c r="J59" s="451"/>
      <c r="K59" s="451"/>
      <c r="L59" s="451"/>
      <c r="M59" s="452"/>
      <c r="N59" s="249"/>
      <c r="O59" s="243"/>
      <c r="P59" s="453"/>
      <c r="Q59" s="454"/>
      <c r="R59" s="453"/>
      <c r="S59" s="455"/>
      <c r="T59" s="455"/>
      <c r="U59" s="454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58"/>
      <c r="B60" s="459"/>
      <c r="C60" s="246"/>
      <c r="D60" s="246"/>
      <c r="E60" s="246"/>
      <c r="F60" s="450"/>
      <c r="G60" s="451"/>
      <c r="H60" s="451"/>
      <c r="I60" s="451"/>
      <c r="J60" s="451"/>
      <c r="K60" s="451"/>
      <c r="L60" s="451"/>
      <c r="M60" s="452"/>
      <c r="N60" s="249"/>
      <c r="O60" s="243"/>
      <c r="P60" s="453"/>
      <c r="Q60" s="454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</row>
    <row r="61" spans="1:32" ht="27" customHeight="1">
      <c r="A61" s="448"/>
      <c r="B61" s="449"/>
      <c r="C61" s="245"/>
      <c r="D61" s="245"/>
      <c r="E61" s="246"/>
      <c r="F61" s="450"/>
      <c r="G61" s="451"/>
      <c r="H61" s="451"/>
      <c r="I61" s="451"/>
      <c r="J61" s="451"/>
      <c r="K61" s="451"/>
      <c r="L61" s="451"/>
      <c r="M61" s="452"/>
      <c r="N61" s="249"/>
      <c r="O61" s="243"/>
      <c r="P61" s="459"/>
      <c r="Q61" s="459"/>
      <c r="R61" s="459"/>
      <c r="S61" s="459"/>
      <c r="T61" s="459"/>
      <c r="U61" s="459"/>
      <c r="V61" s="456"/>
      <c r="W61" s="456"/>
      <c r="X61" s="456"/>
      <c r="Y61" s="456"/>
      <c r="Z61" s="456"/>
      <c r="AA61" s="456"/>
      <c r="AB61" s="456"/>
      <c r="AC61" s="456"/>
      <c r="AD61" s="457"/>
      <c r="AF61" s="84">
        <f>8*3000</f>
        <v>24000</v>
      </c>
    </row>
    <row r="62" spans="1:32" ht="27" customHeight="1" thickBot="1">
      <c r="A62" s="460"/>
      <c r="B62" s="461"/>
      <c r="C62" s="247"/>
      <c r="D62" s="248"/>
      <c r="E62" s="248"/>
      <c r="F62" s="462"/>
      <c r="G62" s="463"/>
      <c r="H62" s="463"/>
      <c r="I62" s="463"/>
      <c r="J62" s="463"/>
      <c r="K62" s="463"/>
      <c r="L62" s="463"/>
      <c r="M62" s="464"/>
      <c r="N62" s="111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344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244" t="s">
        <v>2</v>
      </c>
      <c r="D64" s="244" t="s">
        <v>37</v>
      </c>
      <c r="E64" s="244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244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4" t="s">
        <v>121</v>
      </c>
      <c r="D65" s="239"/>
      <c r="E65" s="242"/>
      <c r="F65" s="477" t="s">
        <v>345</v>
      </c>
      <c r="G65" s="478"/>
      <c r="H65" s="478"/>
      <c r="I65" s="478"/>
      <c r="J65" s="479"/>
      <c r="K65" s="480" t="s">
        <v>154</v>
      </c>
      <c r="L65" s="480"/>
      <c r="M65" s="51" t="s">
        <v>309</v>
      </c>
      <c r="N65" s="481" t="s">
        <v>142</v>
      </c>
      <c r="O65" s="481"/>
      <c r="P65" s="482">
        <v>100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2</v>
      </c>
      <c r="B66" s="476"/>
      <c r="C66" s="104" t="s">
        <v>121</v>
      </c>
      <c r="D66" s="239"/>
      <c r="E66" s="242"/>
      <c r="F66" s="477" t="s">
        <v>346</v>
      </c>
      <c r="G66" s="478"/>
      <c r="H66" s="478"/>
      <c r="I66" s="478"/>
      <c r="J66" s="479"/>
      <c r="K66" s="480" t="s">
        <v>136</v>
      </c>
      <c r="L66" s="480"/>
      <c r="M66" s="51" t="s">
        <v>137</v>
      </c>
      <c r="N66" s="481" t="s">
        <v>129</v>
      </c>
      <c r="O66" s="481"/>
      <c r="P66" s="482">
        <v>120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3</v>
      </c>
      <c r="B67" s="476"/>
      <c r="C67" s="104" t="s">
        <v>118</v>
      </c>
      <c r="D67" s="239"/>
      <c r="E67" s="242" t="s">
        <v>131</v>
      </c>
      <c r="F67" s="477" t="s">
        <v>159</v>
      </c>
      <c r="G67" s="478"/>
      <c r="H67" s="478"/>
      <c r="I67" s="478"/>
      <c r="J67" s="479"/>
      <c r="K67" s="480" t="s">
        <v>158</v>
      </c>
      <c r="L67" s="480"/>
      <c r="M67" s="51" t="s">
        <v>137</v>
      </c>
      <c r="N67" s="481" t="s">
        <v>129</v>
      </c>
      <c r="O67" s="481"/>
      <c r="P67" s="482">
        <v>120</v>
      </c>
      <c r="Q67" s="482"/>
      <c r="R67" s="456" t="s">
        <v>334</v>
      </c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4</v>
      </c>
      <c r="B68" s="476"/>
      <c r="C68" s="104" t="s">
        <v>302</v>
      </c>
      <c r="D68" s="239"/>
      <c r="E68" s="242"/>
      <c r="F68" s="477" t="s">
        <v>347</v>
      </c>
      <c r="G68" s="478"/>
      <c r="H68" s="478"/>
      <c r="I68" s="478"/>
      <c r="J68" s="479"/>
      <c r="K68" s="480" t="s">
        <v>314</v>
      </c>
      <c r="L68" s="480"/>
      <c r="M68" s="51" t="s">
        <v>240</v>
      </c>
      <c r="N68" s="481" t="s">
        <v>230</v>
      </c>
      <c r="O68" s="481"/>
      <c r="P68" s="482">
        <f>50*32</f>
        <v>1600</v>
      </c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5</v>
      </c>
      <c r="B69" s="476"/>
      <c r="C69" s="104" t="s">
        <v>302</v>
      </c>
      <c r="D69" s="239"/>
      <c r="E69" s="242"/>
      <c r="F69" s="477" t="s">
        <v>348</v>
      </c>
      <c r="G69" s="478"/>
      <c r="H69" s="478"/>
      <c r="I69" s="478"/>
      <c r="J69" s="479"/>
      <c r="K69" s="480" t="s">
        <v>314</v>
      </c>
      <c r="L69" s="480"/>
      <c r="M69" s="51" t="s">
        <v>240</v>
      </c>
      <c r="N69" s="481" t="s">
        <v>179</v>
      </c>
      <c r="O69" s="481"/>
      <c r="P69" s="482">
        <f>50*32</f>
        <v>1600</v>
      </c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6</v>
      </c>
      <c r="B70" s="476"/>
      <c r="C70" s="104" t="s">
        <v>118</v>
      </c>
      <c r="D70" s="239"/>
      <c r="E70" s="242" t="s">
        <v>148</v>
      </c>
      <c r="F70" s="477" t="s">
        <v>292</v>
      </c>
      <c r="G70" s="478"/>
      <c r="H70" s="478"/>
      <c r="I70" s="478"/>
      <c r="J70" s="479"/>
      <c r="K70" s="480" t="s">
        <v>223</v>
      </c>
      <c r="L70" s="480"/>
      <c r="M70" s="51" t="s">
        <v>309</v>
      </c>
      <c r="N70" s="481" t="s">
        <v>224</v>
      </c>
      <c r="O70" s="481"/>
      <c r="P70" s="482">
        <v>300</v>
      </c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7</v>
      </c>
      <c r="B71" s="476"/>
      <c r="C71" s="104" t="s">
        <v>302</v>
      </c>
      <c r="D71" s="239"/>
      <c r="E71" s="242"/>
      <c r="F71" s="477" t="s">
        <v>349</v>
      </c>
      <c r="G71" s="478"/>
      <c r="H71" s="478"/>
      <c r="I71" s="478"/>
      <c r="J71" s="479"/>
      <c r="K71" s="480" t="s">
        <v>314</v>
      </c>
      <c r="L71" s="480"/>
      <c r="M71" s="51" t="s">
        <v>240</v>
      </c>
      <c r="N71" s="481" t="s">
        <v>142</v>
      </c>
      <c r="O71" s="481"/>
      <c r="P71" s="482">
        <f>50*32</f>
        <v>1600</v>
      </c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8</v>
      </c>
      <c r="B72" s="476"/>
      <c r="C72" s="104" t="s">
        <v>118</v>
      </c>
      <c r="D72" s="239"/>
      <c r="E72" s="242" t="s">
        <v>148</v>
      </c>
      <c r="F72" s="484" t="s">
        <v>340</v>
      </c>
      <c r="G72" s="480"/>
      <c r="H72" s="480"/>
      <c r="I72" s="480"/>
      <c r="J72" s="480"/>
      <c r="K72" s="480" t="s">
        <v>141</v>
      </c>
      <c r="L72" s="480"/>
      <c r="M72" s="51" t="s">
        <v>350</v>
      </c>
      <c r="N72" s="481" t="s">
        <v>134</v>
      </c>
      <c r="O72" s="481"/>
      <c r="P72" s="482">
        <v>100</v>
      </c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9</v>
      </c>
      <c r="B73" s="476"/>
      <c r="C73" s="104"/>
      <c r="D73" s="239"/>
      <c r="E73" s="242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5.5" customHeight="1">
      <c r="A74" s="475">
        <v>10</v>
      </c>
      <c r="B74" s="476"/>
      <c r="C74" s="104"/>
      <c r="D74" s="239"/>
      <c r="E74" s="242"/>
      <c r="F74" s="484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80"/>
      <c r="AC74" s="480"/>
      <c r="AD74" s="483"/>
      <c r="AF74" s="50"/>
    </row>
    <row r="75" spans="1:32" ht="26.25" customHeight="1" thickBot="1">
      <c r="A75" s="485" t="s">
        <v>351</v>
      </c>
      <c r="B75" s="485"/>
      <c r="C75" s="485"/>
      <c r="D75" s="485"/>
      <c r="E75" s="48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6" t="s">
        <v>133</v>
      </c>
      <c r="B76" s="487"/>
      <c r="C76" s="241" t="s">
        <v>2</v>
      </c>
      <c r="D76" s="241" t="s">
        <v>37</v>
      </c>
      <c r="E76" s="241" t="s">
        <v>128</v>
      </c>
      <c r="F76" s="487" t="s">
        <v>38</v>
      </c>
      <c r="G76" s="487"/>
      <c r="H76" s="487"/>
      <c r="I76" s="487"/>
      <c r="J76" s="487"/>
      <c r="K76" s="488" t="s">
        <v>58</v>
      </c>
      <c r="L76" s="489"/>
      <c r="M76" s="489"/>
      <c r="N76" s="489"/>
      <c r="O76" s="489"/>
      <c r="P76" s="489"/>
      <c r="Q76" s="489"/>
      <c r="R76" s="489"/>
      <c r="S76" s="490"/>
      <c r="T76" s="487" t="s">
        <v>49</v>
      </c>
      <c r="U76" s="487"/>
      <c r="V76" s="488" t="s">
        <v>50</v>
      </c>
      <c r="W76" s="490"/>
      <c r="X76" s="489" t="s">
        <v>51</v>
      </c>
      <c r="Y76" s="489"/>
      <c r="Z76" s="489"/>
      <c r="AA76" s="489"/>
      <c r="AB76" s="489"/>
      <c r="AC76" s="489"/>
      <c r="AD76" s="491"/>
      <c r="AF76" s="50"/>
    </row>
    <row r="77" spans="1:32" ht="33.75" customHeight="1">
      <c r="A77" s="500">
        <v>1</v>
      </c>
      <c r="B77" s="501"/>
      <c r="C77" s="240" t="s">
        <v>112</v>
      </c>
      <c r="D77" s="240"/>
      <c r="E77" s="65" t="s">
        <v>117</v>
      </c>
      <c r="F77" s="502" t="s">
        <v>116</v>
      </c>
      <c r="G77" s="503"/>
      <c r="H77" s="503"/>
      <c r="I77" s="503"/>
      <c r="J77" s="504"/>
      <c r="K77" s="505" t="s">
        <v>120</v>
      </c>
      <c r="L77" s="506"/>
      <c r="M77" s="506"/>
      <c r="N77" s="506"/>
      <c r="O77" s="506"/>
      <c r="P77" s="506"/>
      <c r="Q77" s="506"/>
      <c r="R77" s="506"/>
      <c r="S77" s="507"/>
      <c r="T77" s="508">
        <v>44118</v>
      </c>
      <c r="U77" s="509"/>
      <c r="V77" s="510"/>
      <c r="W77" s="510"/>
      <c r="X77" s="511"/>
      <c r="Y77" s="511"/>
      <c r="Z77" s="511"/>
      <c r="AA77" s="511"/>
      <c r="AB77" s="511"/>
      <c r="AC77" s="511"/>
      <c r="AD77" s="512"/>
      <c r="AF77" s="50"/>
    </row>
    <row r="78" spans="1:32" ht="30" customHeight="1">
      <c r="A78" s="492">
        <f>A77+1</f>
        <v>2</v>
      </c>
      <c r="B78" s="493"/>
      <c r="C78" s="239"/>
      <c r="D78" s="239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ref="A79:A83" si="19">A78+1</f>
        <v>3</v>
      </c>
      <c r="B79" s="493"/>
      <c r="C79" s="239"/>
      <c r="D79" s="239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9"/>
        <v>4</v>
      </c>
      <c r="B80" s="493"/>
      <c r="C80" s="239"/>
      <c r="D80" s="239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9"/>
        <v>5</v>
      </c>
      <c r="B81" s="493"/>
      <c r="C81" s="239"/>
      <c r="D81" s="239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9"/>
        <v>6</v>
      </c>
      <c r="B82" s="493"/>
      <c r="C82" s="239"/>
      <c r="D82" s="239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0" customHeight="1">
      <c r="A83" s="492">
        <f t="shared" si="19"/>
        <v>7</v>
      </c>
      <c r="B83" s="493"/>
      <c r="C83" s="239"/>
      <c r="D83" s="239"/>
      <c r="E83" s="32"/>
      <c r="F83" s="493"/>
      <c r="G83" s="493"/>
      <c r="H83" s="493"/>
      <c r="I83" s="493"/>
      <c r="J83" s="493"/>
      <c r="K83" s="494"/>
      <c r="L83" s="495"/>
      <c r="M83" s="495"/>
      <c r="N83" s="495"/>
      <c r="O83" s="495"/>
      <c r="P83" s="495"/>
      <c r="Q83" s="495"/>
      <c r="R83" s="495"/>
      <c r="S83" s="496"/>
      <c r="T83" s="497"/>
      <c r="U83" s="497"/>
      <c r="V83" s="497"/>
      <c r="W83" s="497"/>
      <c r="X83" s="498"/>
      <c r="Y83" s="498"/>
      <c r="Z83" s="498"/>
      <c r="AA83" s="498"/>
      <c r="AB83" s="498"/>
      <c r="AC83" s="498"/>
      <c r="AD83" s="499"/>
      <c r="AF83" s="50"/>
    </row>
    <row r="84" spans="1:32" ht="36" thickBot="1">
      <c r="A84" s="485" t="s">
        <v>352</v>
      </c>
      <c r="B84" s="485"/>
      <c r="C84" s="485"/>
      <c r="D84" s="485"/>
      <c r="E84" s="48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6" t="s">
        <v>111</v>
      </c>
      <c r="B85" s="487"/>
      <c r="C85" s="513" t="s">
        <v>52</v>
      </c>
      <c r="D85" s="513"/>
      <c r="E85" s="513" t="s">
        <v>53</v>
      </c>
      <c r="F85" s="513"/>
      <c r="G85" s="513"/>
      <c r="H85" s="513"/>
      <c r="I85" s="513"/>
      <c r="J85" s="513"/>
      <c r="K85" s="513" t="s">
        <v>54</v>
      </c>
      <c r="L85" s="513"/>
      <c r="M85" s="513"/>
      <c r="N85" s="513"/>
      <c r="O85" s="513"/>
      <c r="P85" s="513"/>
      <c r="Q85" s="513"/>
      <c r="R85" s="513"/>
      <c r="S85" s="513"/>
      <c r="T85" s="513" t="s">
        <v>55</v>
      </c>
      <c r="U85" s="513"/>
      <c r="V85" s="513" t="s">
        <v>56</v>
      </c>
      <c r="W85" s="513"/>
      <c r="X85" s="513"/>
      <c r="Y85" s="513" t="s">
        <v>51</v>
      </c>
      <c r="Z85" s="513"/>
      <c r="AA85" s="513"/>
      <c r="AB85" s="513"/>
      <c r="AC85" s="513"/>
      <c r="AD85" s="514"/>
      <c r="AF85" s="50"/>
    </row>
    <row r="86" spans="1:32" ht="30.75" customHeight="1">
      <c r="A86" s="500">
        <v>1</v>
      </c>
      <c r="B86" s="501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0"/>
    </row>
    <row r="87" spans="1:32" ht="30.75" customHeight="1">
      <c r="A87" s="492">
        <v>2</v>
      </c>
      <c r="B87" s="493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7"/>
      <c r="U87" s="527"/>
      <c r="V87" s="528"/>
      <c r="W87" s="528"/>
      <c r="X87" s="528"/>
      <c r="Y87" s="519"/>
      <c r="Z87" s="519"/>
      <c r="AA87" s="519"/>
      <c r="AB87" s="519"/>
      <c r="AC87" s="519"/>
      <c r="AD87" s="520"/>
      <c r="AF87" s="50"/>
    </row>
    <row r="88" spans="1:32" ht="30.75" customHeight="1" thickBot="1">
      <c r="A88" s="521">
        <v>3</v>
      </c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4"/>
      <c r="Z88" s="524"/>
      <c r="AA88" s="524"/>
      <c r="AB88" s="524"/>
      <c r="AC88" s="524"/>
      <c r="AD88" s="52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E9D1-AE87-46ED-8B26-46FDF60C5C89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353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52" t="s">
        <v>17</v>
      </c>
      <c r="L5" s="252" t="s">
        <v>18</v>
      </c>
      <c r="M5" s="252" t="s">
        <v>19</v>
      </c>
      <c r="N5" s="25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3192</v>
      </c>
      <c r="K6" s="15">
        <f>L6</f>
        <v>3192</v>
      </c>
      <c r="L6" s="15">
        <f>3192</f>
        <v>3192</v>
      </c>
      <c r="M6" s="15">
        <f t="shared" ref="M6:M21" si="0">L6-N6</f>
        <v>3192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16</v>
      </c>
      <c r="Q6" s="40">
        <f t="shared" ref="Q6:Q21" si="3">SUM(R6:AA6)</f>
        <v>8</v>
      </c>
      <c r="R6" s="7"/>
      <c r="S6" s="6"/>
      <c r="T6" s="16"/>
      <c r="U6" s="16"/>
      <c r="V6" s="17">
        <v>8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0.66666666666666663</v>
      </c>
      <c r="AD6" s="10">
        <f t="shared" ref="AD6:AD21" si="6">AC6*AB6*(1-O6)</f>
        <v>0.66666666666666663</v>
      </c>
      <c r="AE6" s="36">
        <f t="shared" ref="AE6:AE21" si="7">$AD$22</f>
        <v>0.22916666666666669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L7+1624</f>
        <v>1624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0.22916666666666669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190880</v>
      </c>
      <c r="K8" s="15">
        <f>L8+447616+509024+190880</f>
        <v>1147520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0.22916666666666669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4134</v>
      </c>
      <c r="K9" s="15">
        <f>L9+1962+4980+5366+4717+5345+5204+2562+5349+2492+411+3600+4186</f>
        <v>50308</v>
      </c>
      <c r="L9" s="15">
        <f>1641+2493</f>
        <v>4134</v>
      </c>
      <c r="M9" s="15">
        <f t="shared" si="0"/>
        <v>4134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0.22916666666666669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0.22916666666666669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5627</v>
      </c>
      <c r="K11" s="15">
        <f>L11+3558+2547+3474+5896+5955+5813+5627</f>
        <v>32870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0.22916666666666669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23000</v>
      </c>
      <c r="J12" s="5">
        <v>5221</v>
      </c>
      <c r="K12" s="15">
        <f>L12+3727+2350+5102+5284+3705+5365+5221</f>
        <v>30754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0.22916666666666669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168</v>
      </c>
      <c r="E13" s="53" t="s">
        <v>245</v>
      </c>
      <c r="F13" s="30" t="s">
        <v>246</v>
      </c>
      <c r="G13" s="33">
        <v>1</v>
      </c>
      <c r="H13" s="35">
        <v>24</v>
      </c>
      <c r="I13" s="7">
        <v>22400</v>
      </c>
      <c r="J13" s="14">
        <v>3264</v>
      </c>
      <c r="K13" s="15">
        <f>L13+3371+5314+5597+5686+3264</f>
        <v>23232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0.22916666666666669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354</v>
      </c>
      <c r="F14" s="30" t="s">
        <v>206</v>
      </c>
      <c r="G14" s="33">
        <v>1</v>
      </c>
      <c r="H14" s="35">
        <v>50</v>
      </c>
      <c r="I14" s="7">
        <v>300</v>
      </c>
      <c r="J14" s="5">
        <v>50</v>
      </c>
      <c r="K14" s="15">
        <f>L14</f>
        <v>50</v>
      </c>
      <c r="L14" s="15">
        <v>50</v>
      </c>
      <c r="M14" s="15">
        <f t="shared" si="0"/>
        <v>50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>
        <v>19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6">
        <f t="shared" si="7"/>
        <v>0.22916666666666669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0.22916666666666669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13442</v>
      </c>
      <c r="K16" s="15">
        <f>L16+7207+12638+17678+10494+7352+8769+13462+18112+13442</f>
        <v>109154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0.22916666666666669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0.22916666666666669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345</v>
      </c>
      <c r="F18" s="30" t="s">
        <v>154</v>
      </c>
      <c r="G18" s="33">
        <v>1</v>
      </c>
      <c r="H18" s="35">
        <v>24</v>
      </c>
      <c r="I18" s="7">
        <v>500</v>
      </c>
      <c r="J18" s="14">
        <v>600</v>
      </c>
      <c r="K18" s="15">
        <f>L18</f>
        <v>600</v>
      </c>
      <c r="L18" s="15">
        <f>600</f>
        <v>600</v>
      </c>
      <c r="M18" s="15">
        <f t="shared" si="0"/>
        <v>600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0.22916666666666669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131</v>
      </c>
      <c r="E19" s="53" t="s">
        <v>355</v>
      </c>
      <c r="F19" s="30" t="s">
        <v>127</v>
      </c>
      <c r="G19" s="33">
        <v>1</v>
      </c>
      <c r="H19" s="35">
        <v>24</v>
      </c>
      <c r="I19" s="7">
        <v>1500</v>
      </c>
      <c r="J19" s="14">
        <v>4056</v>
      </c>
      <c r="K19" s="15">
        <f>L19</f>
        <v>4056</v>
      </c>
      <c r="L19" s="15">
        <f>1454+2602</f>
        <v>4056</v>
      </c>
      <c r="M19" s="15">
        <f t="shared" si="0"/>
        <v>4056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0.22916666666666669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0.22916666666666669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1000000</v>
      </c>
      <c r="J21" s="14">
        <v>63388</v>
      </c>
      <c r="K21" s="15">
        <f>L21</f>
        <v>63388</v>
      </c>
      <c r="L21" s="15">
        <f>7038*4+8809*4</f>
        <v>63388</v>
      </c>
      <c r="M21" s="15">
        <f t="shared" si="0"/>
        <v>63388</v>
      </c>
      <c r="N21" s="15">
        <v>0</v>
      </c>
      <c r="O21" s="58">
        <f t="shared" si="1"/>
        <v>0</v>
      </c>
      <c r="P21" s="39">
        <f t="shared" si="2"/>
        <v>23</v>
      </c>
      <c r="Q21" s="40">
        <f t="shared" si="3"/>
        <v>1</v>
      </c>
      <c r="R21" s="7"/>
      <c r="S21" s="6"/>
      <c r="T21" s="16">
        <v>1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0.95833333333333337</v>
      </c>
      <c r="AD21" s="10">
        <f t="shared" si="6"/>
        <v>0.95833333333333337</v>
      </c>
      <c r="AE21" s="36">
        <f t="shared" si="7"/>
        <v>0.22916666666666669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2395700</v>
      </c>
      <c r="J22" s="19">
        <f t="shared" si="9"/>
        <v>341550</v>
      </c>
      <c r="K22" s="20">
        <f t="shared" si="9"/>
        <v>1694958</v>
      </c>
      <c r="L22" s="21">
        <f t="shared" si="9"/>
        <v>75420</v>
      </c>
      <c r="M22" s="20">
        <f t="shared" si="9"/>
        <v>75420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88</v>
      </c>
      <c r="Q22" s="43">
        <f t="shared" si="10"/>
        <v>296</v>
      </c>
      <c r="R22" s="23">
        <f t="shared" si="10"/>
        <v>0</v>
      </c>
      <c r="S22" s="24">
        <f t="shared" si="10"/>
        <v>27</v>
      </c>
      <c r="T22" s="24">
        <f t="shared" si="10"/>
        <v>1</v>
      </c>
      <c r="U22" s="24">
        <f t="shared" si="10"/>
        <v>0</v>
      </c>
      <c r="V22" s="25">
        <f t="shared" si="10"/>
        <v>8</v>
      </c>
      <c r="W22" s="26">
        <f t="shared" si="10"/>
        <v>188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0.375</v>
      </c>
      <c r="AC22" s="4">
        <f>AVERAGE(AC6:AC21)</f>
        <v>0.22916666666666669</v>
      </c>
      <c r="AD22" s="4">
        <f>AVERAGE(AD6:AD21)</f>
        <v>0.22916666666666669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357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361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253" t="s">
        <v>46</v>
      </c>
      <c r="D51" s="253" t="s">
        <v>47</v>
      </c>
      <c r="E51" s="253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253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254" t="s">
        <v>254</v>
      </c>
      <c r="D52" s="254" t="s">
        <v>217</v>
      </c>
      <c r="E52" s="256" t="s">
        <v>150</v>
      </c>
      <c r="F52" s="450" t="s">
        <v>358</v>
      </c>
      <c r="G52" s="451"/>
      <c r="H52" s="451"/>
      <c r="I52" s="451"/>
      <c r="J52" s="451"/>
      <c r="K52" s="451"/>
      <c r="L52" s="451"/>
      <c r="M52" s="452"/>
      <c r="N52" s="255" t="s">
        <v>121</v>
      </c>
      <c r="O52" s="261" t="s">
        <v>289</v>
      </c>
      <c r="P52" s="453"/>
      <c r="Q52" s="454"/>
      <c r="R52" s="453" t="s">
        <v>332</v>
      </c>
      <c r="S52" s="455"/>
      <c r="T52" s="455"/>
      <c r="U52" s="454"/>
      <c r="V52" s="456" t="s">
        <v>130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254" t="s">
        <v>190</v>
      </c>
      <c r="D53" s="254" t="s">
        <v>115</v>
      </c>
      <c r="E53" s="256" t="s">
        <v>354</v>
      </c>
      <c r="F53" s="450" t="s">
        <v>359</v>
      </c>
      <c r="G53" s="451"/>
      <c r="H53" s="451"/>
      <c r="I53" s="451"/>
      <c r="J53" s="451"/>
      <c r="K53" s="451"/>
      <c r="L53" s="451"/>
      <c r="M53" s="452"/>
      <c r="N53" s="255" t="s">
        <v>112</v>
      </c>
      <c r="O53" s="261" t="s">
        <v>135</v>
      </c>
      <c r="P53" s="453" t="s">
        <v>115</v>
      </c>
      <c r="Q53" s="454"/>
      <c r="R53" s="453" t="s">
        <v>362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254" t="s">
        <v>241</v>
      </c>
      <c r="D54" s="254" t="s">
        <v>307</v>
      </c>
      <c r="E54" s="256" t="s">
        <v>304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255" t="s">
        <v>112</v>
      </c>
      <c r="O54" s="261" t="s">
        <v>190</v>
      </c>
      <c r="P54" s="453" t="s">
        <v>115</v>
      </c>
      <c r="Q54" s="454"/>
      <c r="R54" s="453" t="s">
        <v>354</v>
      </c>
      <c r="S54" s="455"/>
      <c r="T54" s="455"/>
      <c r="U54" s="454"/>
      <c r="V54" s="456" t="s">
        <v>126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121</v>
      </c>
      <c r="B55" s="449"/>
      <c r="C55" s="254" t="s">
        <v>142</v>
      </c>
      <c r="D55" s="254"/>
      <c r="E55" s="256" t="s">
        <v>345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255" t="s">
        <v>364</v>
      </c>
      <c r="O55" s="261" t="s">
        <v>190</v>
      </c>
      <c r="P55" s="453" t="s">
        <v>115</v>
      </c>
      <c r="Q55" s="454"/>
      <c r="R55" s="453" t="s">
        <v>363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112</v>
      </c>
      <c r="B56" s="449"/>
      <c r="C56" s="254" t="s">
        <v>134</v>
      </c>
      <c r="D56" s="254" t="s">
        <v>131</v>
      </c>
      <c r="E56" s="256" t="s">
        <v>355</v>
      </c>
      <c r="F56" s="450" t="s">
        <v>360</v>
      </c>
      <c r="G56" s="451"/>
      <c r="H56" s="451"/>
      <c r="I56" s="451"/>
      <c r="J56" s="451"/>
      <c r="K56" s="451"/>
      <c r="L56" s="451"/>
      <c r="M56" s="452"/>
      <c r="N56" s="255" t="s">
        <v>112</v>
      </c>
      <c r="O56" s="261" t="s">
        <v>134</v>
      </c>
      <c r="P56" s="453" t="s">
        <v>217</v>
      </c>
      <c r="Q56" s="454"/>
      <c r="R56" s="453" t="s">
        <v>365</v>
      </c>
      <c r="S56" s="455"/>
      <c r="T56" s="455"/>
      <c r="U56" s="454"/>
      <c r="V56" s="456" t="s">
        <v>130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113</v>
      </c>
      <c r="B57" s="449"/>
      <c r="C57" s="254" t="s">
        <v>212</v>
      </c>
      <c r="D57" s="254"/>
      <c r="E57" s="256" t="s">
        <v>356</v>
      </c>
      <c r="F57" s="450" t="s">
        <v>130</v>
      </c>
      <c r="G57" s="451"/>
      <c r="H57" s="451"/>
      <c r="I57" s="451"/>
      <c r="J57" s="451"/>
      <c r="K57" s="451"/>
      <c r="L57" s="451"/>
      <c r="M57" s="452"/>
      <c r="N57" s="255"/>
      <c r="O57" s="261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54"/>
      <c r="D58" s="254"/>
      <c r="E58" s="256"/>
      <c r="F58" s="450"/>
      <c r="G58" s="451"/>
      <c r="H58" s="451"/>
      <c r="I58" s="451"/>
      <c r="J58" s="451"/>
      <c r="K58" s="451"/>
      <c r="L58" s="451"/>
      <c r="M58" s="452"/>
      <c r="N58" s="255"/>
      <c r="O58" s="261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56"/>
      <c r="D59" s="256"/>
      <c r="E59" s="256"/>
      <c r="F59" s="450"/>
      <c r="G59" s="451"/>
      <c r="H59" s="451"/>
      <c r="I59" s="451"/>
      <c r="J59" s="451"/>
      <c r="K59" s="451"/>
      <c r="L59" s="451"/>
      <c r="M59" s="452"/>
      <c r="N59" s="255"/>
      <c r="O59" s="261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54"/>
      <c r="D60" s="254"/>
      <c r="E60" s="256"/>
      <c r="F60" s="450"/>
      <c r="G60" s="451"/>
      <c r="H60" s="451"/>
      <c r="I60" s="451"/>
      <c r="J60" s="451"/>
      <c r="K60" s="451"/>
      <c r="L60" s="451"/>
      <c r="M60" s="452"/>
      <c r="N60" s="255"/>
      <c r="O60" s="261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57"/>
      <c r="D61" s="258"/>
      <c r="E61" s="258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366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59" t="s">
        <v>2</v>
      </c>
      <c r="D63" s="259" t="s">
        <v>37</v>
      </c>
      <c r="E63" s="259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59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118</v>
      </c>
      <c r="D64" s="263"/>
      <c r="E64" s="260" t="s">
        <v>115</v>
      </c>
      <c r="F64" s="477" t="s">
        <v>319</v>
      </c>
      <c r="G64" s="478"/>
      <c r="H64" s="478"/>
      <c r="I64" s="478"/>
      <c r="J64" s="479"/>
      <c r="K64" s="480" t="s">
        <v>158</v>
      </c>
      <c r="L64" s="480"/>
      <c r="M64" s="51" t="s">
        <v>137</v>
      </c>
      <c r="N64" s="481" t="s">
        <v>129</v>
      </c>
      <c r="O64" s="481"/>
      <c r="P64" s="482">
        <v>150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263"/>
      <c r="E65" s="260" t="s">
        <v>115</v>
      </c>
      <c r="F65" s="477" t="s">
        <v>257</v>
      </c>
      <c r="G65" s="478"/>
      <c r="H65" s="478"/>
      <c r="I65" s="478"/>
      <c r="J65" s="479"/>
      <c r="K65" s="480" t="s">
        <v>149</v>
      </c>
      <c r="L65" s="480"/>
      <c r="M65" s="51" t="s">
        <v>309</v>
      </c>
      <c r="N65" s="481" t="s">
        <v>139</v>
      </c>
      <c r="O65" s="481"/>
      <c r="P65" s="482">
        <v>250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119</v>
      </c>
      <c r="D66" s="263"/>
      <c r="E66" s="260" t="s">
        <v>369</v>
      </c>
      <c r="F66" s="477" t="s">
        <v>367</v>
      </c>
      <c r="G66" s="478"/>
      <c r="H66" s="478"/>
      <c r="I66" s="478"/>
      <c r="J66" s="479"/>
      <c r="K66" s="480" t="s">
        <v>149</v>
      </c>
      <c r="L66" s="480"/>
      <c r="M66" s="51" t="s">
        <v>309</v>
      </c>
      <c r="N66" s="481" t="s">
        <v>139</v>
      </c>
      <c r="O66" s="481"/>
      <c r="P66" s="482">
        <v>250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 t="s">
        <v>118</v>
      </c>
      <c r="D67" s="263"/>
      <c r="E67" s="260" t="s">
        <v>291</v>
      </c>
      <c r="F67" s="477" t="s">
        <v>290</v>
      </c>
      <c r="G67" s="478"/>
      <c r="H67" s="478"/>
      <c r="I67" s="478"/>
      <c r="J67" s="479"/>
      <c r="K67" s="480" t="s">
        <v>127</v>
      </c>
      <c r="L67" s="480"/>
      <c r="M67" s="51" t="s">
        <v>309</v>
      </c>
      <c r="N67" s="481" t="s">
        <v>230</v>
      </c>
      <c r="O67" s="481"/>
      <c r="P67" s="482">
        <v>500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 t="s">
        <v>119</v>
      </c>
      <c r="D68" s="263"/>
      <c r="E68" s="260" t="s">
        <v>219</v>
      </c>
      <c r="F68" s="477" t="s">
        <v>368</v>
      </c>
      <c r="G68" s="478"/>
      <c r="H68" s="478"/>
      <c r="I68" s="478"/>
      <c r="J68" s="479"/>
      <c r="K68" s="480" t="s">
        <v>149</v>
      </c>
      <c r="L68" s="480"/>
      <c r="M68" s="51" t="s">
        <v>309</v>
      </c>
      <c r="N68" s="481" t="s">
        <v>230</v>
      </c>
      <c r="O68" s="481"/>
      <c r="P68" s="482">
        <v>500</v>
      </c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 t="s">
        <v>119</v>
      </c>
      <c r="D69" s="263"/>
      <c r="E69" s="260" t="s">
        <v>220</v>
      </c>
      <c r="F69" s="477" t="s">
        <v>222</v>
      </c>
      <c r="G69" s="478"/>
      <c r="H69" s="478"/>
      <c r="I69" s="478"/>
      <c r="J69" s="479"/>
      <c r="K69" s="480" t="s">
        <v>223</v>
      </c>
      <c r="L69" s="480"/>
      <c r="M69" s="51" t="s">
        <v>309</v>
      </c>
      <c r="N69" s="481" t="s">
        <v>224</v>
      </c>
      <c r="O69" s="481"/>
      <c r="P69" s="482">
        <v>250</v>
      </c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63"/>
      <c r="E70" s="260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63"/>
      <c r="E71" s="260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63"/>
      <c r="E72" s="260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63"/>
      <c r="E73" s="260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370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62" t="s">
        <v>2</v>
      </c>
      <c r="D75" s="262" t="s">
        <v>37</v>
      </c>
      <c r="E75" s="262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64" t="s">
        <v>112</v>
      </c>
      <c r="D76" s="264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63"/>
      <c r="D77" s="263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63"/>
      <c r="D78" s="263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63"/>
      <c r="D79" s="263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63"/>
      <c r="D80" s="263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63"/>
      <c r="D81" s="263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63"/>
      <c r="D82" s="263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371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0502-8F65-4D01-B574-B02A0A15BC8B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372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77" t="s">
        <v>17</v>
      </c>
      <c r="L5" s="277" t="s">
        <v>18</v>
      </c>
      <c r="M5" s="277" t="s">
        <v>19</v>
      </c>
      <c r="N5" s="27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</f>
        <v>6593</v>
      </c>
      <c r="L6" s="15">
        <f>3174+227</f>
        <v>3401</v>
      </c>
      <c r="M6" s="15">
        <f t="shared" ref="M6:M22" si="0">L6-N6</f>
        <v>3401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18</v>
      </c>
      <c r="Q6" s="40">
        <f t="shared" ref="Q6:Q22" si="3">SUM(R6:AA6)</f>
        <v>6</v>
      </c>
      <c r="R6" s="7"/>
      <c r="S6" s="6"/>
      <c r="T6" s="16"/>
      <c r="U6" s="16"/>
      <c r="V6" s="17">
        <v>6</v>
      </c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0.75</v>
      </c>
      <c r="AD6" s="10">
        <f t="shared" ref="AD6:AD22" si="6">AC6*AB6*(1-O6)</f>
        <v>0.75</v>
      </c>
      <c r="AE6" s="36">
        <f t="shared" ref="AE6:AE22" si="7">$AD$23</f>
        <v>0.22303921568627452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L7+1624</f>
        <v>1624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0.22303921568627452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190880</v>
      </c>
      <c r="K8" s="15">
        <f>L8+447616+509024+190880</f>
        <v>1147520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0.22303921568627452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50000</v>
      </c>
      <c r="J9" s="14">
        <v>4081</v>
      </c>
      <c r="K9" s="15">
        <f>L9+1962+4980+5366+4717+5345+5204+2562+5349+2492+411+3600+4186+4134</f>
        <v>54389</v>
      </c>
      <c r="L9" s="15">
        <f>2631+1450</f>
        <v>4081</v>
      </c>
      <c r="M9" s="15">
        <f t="shared" si="0"/>
        <v>4081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0.22303921568627452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0.22303921568627452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5627</v>
      </c>
      <c r="K11" s="15">
        <f>L11+3558+2547+3474+5896+5955+5813+5627</f>
        <v>32870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0.22303921568627452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332</v>
      </c>
      <c r="F12" s="30" t="s">
        <v>138</v>
      </c>
      <c r="G12" s="12">
        <v>1</v>
      </c>
      <c r="H12" s="13">
        <v>22</v>
      </c>
      <c r="I12" s="31">
        <v>500</v>
      </c>
      <c r="J12" s="5">
        <v>680</v>
      </c>
      <c r="K12" s="15">
        <f>L12</f>
        <v>680</v>
      </c>
      <c r="L12" s="15">
        <v>680</v>
      </c>
      <c r="M12" s="15">
        <f t="shared" si="0"/>
        <v>680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6">
        <f t="shared" si="7"/>
        <v>0.22303921568627452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362</v>
      </c>
      <c r="F13" s="30" t="s">
        <v>127</v>
      </c>
      <c r="G13" s="33">
        <v>1</v>
      </c>
      <c r="H13" s="35">
        <v>24</v>
      </c>
      <c r="I13" s="7">
        <v>300</v>
      </c>
      <c r="J13" s="14">
        <v>861</v>
      </c>
      <c r="K13" s="15">
        <f>L13</f>
        <v>861</v>
      </c>
      <c r="L13" s="15">
        <v>861</v>
      </c>
      <c r="M13" s="15">
        <f t="shared" si="0"/>
        <v>861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/>
      <c r="T13" s="16">
        <v>11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 t="shared" si="6"/>
        <v>0.54166666666666663</v>
      </c>
      <c r="AE13" s="36">
        <f t="shared" si="7"/>
        <v>0.22303921568627452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364</v>
      </c>
      <c r="D14" s="52" t="s">
        <v>115</v>
      </c>
      <c r="E14" s="53" t="s">
        <v>363</v>
      </c>
      <c r="F14" s="30" t="s">
        <v>373</v>
      </c>
      <c r="G14" s="33">
        <v>1</v>
      </c>
      <c r="H14" s="35">
        <v>50</v>
      </c>
      <c r="I14" s="7">
        <v>100</v>
      </c>
      <c r="J14" s="5">
        <v>210</v>
      </c>
      <c r="K14" s="15">
        <f>L14</f>
        <v>210</v>
      </c>
      <c r="L14" s="15">
        <v>210</v>
      </c>
      <c r="M14" s="15">
        <f t="shared" ref="M14" si="9">L14-N14</f>
        <v>210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5</v>
      </c>
      <c r="Q14" s="40">
        <f t="shared" ref="Q14" si="12">SUM(R14:AA14)</f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0.20833333333333334</v>
      </c>
      <c r="AD14" s="10">
        <f t="shared" ref="AD14" si="15">AC14*AB14*(1-O14)</f>
        <v>0.20833333333333334</v>
      </c>
      <c r="AE14" s="36">
        <f t="shared" si="7"/>
        <v>0.22303921568627452</v>
      </c>
      <c r="AF14" s="84">
        <f t="shared" ref="AF14" si="16">A14</f>
        <v>9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354</v>
      </c>
      <c r="F15" s="30" t="s">
        <v>206</v>
      </c>
      <c r="G15" s="33">
        <v>1</v>
      </c>
      <c r="H15" s="35">
        <v>50</v>
      </c>
      <c r="I15" s="7">
        <v>300</v>
      </c>
      <c r="J15" s="5">
        <v>50</v>
      </c>
      <c r="K15" s="15">
        <f>L15+50</f>
        <v>50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0.22303921568627452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119</v>
      </c>
      <c r="D16" s="52"/>
      <c r="E16" s="53" t="s">
        <v>263</v>
      </c>
      <c r="F16" s="12" t="s">
        <v>264</v>
      </c>
      <c r="G16" s="12">
        <v>5</v>
      </c>
      <c r="H16" s="13">
        <v>24</v>
      </c>
      <c r="I16" s="31">
        <v>100000</v>
      </c>
      <c r="J16" s="14">
        <v>31820</v>
      </c>
      <c r="K16" s="15">
        <f>L16+19700+34515+36330+34975+31820</f>
        <v>157340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0.22303921568627452</v>
      </c>
      <c r="AF16" s="84">
        <f t="shared" si="8"/>
        <v>10</v>
      </c>
    </row>
    <row r="17" spans="1:32" ht="30" customHeight="1">
      <c r="A17" s="112">
        <v>11</v>
      </c>
      <c r="B17" s="11" t="s">
        <v>374</v>
      </c>
      <c r="C17" s="34" t="s">
        <v>118</v>
      </c>
      <c r="D17" s="52" t="s">
        <v>148</v>
      </c>
      <c r="E17" s="53" t="s">
        <v>175</v>
      </c>
      <c r="F17" s="30" t="s">
        <v>141</v>
      </c>
      <c r="G17" s="12">
        <v>2</v>
      </c>
      <c r="H17" s="13">
        <v>24</v>
      </c>
      <c r="I17" s="7">
        <v>100000</v>
      </c>
      <c r="J17" s="14">
        <v>3140</v>
      </c>
      <c r="K17" s="15">
        <f>L17</f>
        <v>3140</v>
      </c>
      <c r="L17" s="15">
        <f>1570*2</f>
        <v>3140</v>
      </c>
      <c r="M17" s="15">
        <f t="shared" si="0"/>
        <v>3140</v>
      </c>
      <c r="N17" s="15">
        <v>0</v>
      </c>
      <c r="O17" s="58">
        <f t="shared" si="1"/>
        <v>0</v>
      </c>
      <c r="P17" s="39">
        <f t="shared" si="2"/>
        <v>8</v>
      </c>
      <c r="Q17" s="40">
        <f t="shared" si="3"/>
        <v>16</v>
      </c>
      <c r="R17" s="7"/>
      <c r="S17" s="6">
        <v>16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0.33333333333333331</v>
      </c>
      <c r="AD17" s="10">
        <f t="shared" si="6"/>
        <v>0.33333333333333331</v>
      </c>
      <c r="AE17" s="36">
        <f t="shared" si="7"/>
        <v>0.22303921568627452</v>
      </c>
      <c r="AF17" s="84">
        <f t="shared" si="8"/>
        <v>11</v>
      </c>
    </row>
    <row r="18" spans="1:32" ht="30" customHeight="1">
      <c r="A18" s="95">
        <v>12</v>
      </c>
      <c r="B18" s="11" t="s">
        <v>163</v>
      </c>
      <c r="C18" s="34" t="s">
        <v>121</v>
      </c>
      <c r="D18" s="52" t="s">
        <v>125</v>
      </c>
      <c r="E18" s="53" t="s">
        <v>155</v>
      </c>
      <c r="F18" s="30" t="s">
        <v>136</v>
      </c>
      <c r="G18" s="12">
        <v>1</v>
      </c>
      <c r="H18" s="13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0.22303921568627452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121</v>
      </c>
      <c r="D19" s="52" t="s">
        <v>115</v>
      </c>
      <c r="E19" s="53" t="s">
        <v>345</v>
      </c>
      <c r="F19" s="30" t="s">
        <v>154</v>
      </c>
      <c r="G19" s="33">
        <v>1</v>
      </c>
      <c r="H19" s="35">
        <v>24</v>
      </c>
      <c r="I19" s="7">
        <v>500</v>
      </c>
      <c r="J19" s="14">
        <v>600</v>
      </c>
      <c r="K19" s="15">
        <f>L19+600</f>
        <v>600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0.22303921568627452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168</v>
      </c>
      <c r="E20" s="53" t="s">
        <v>375</v>
      </c>
      <c r="F20" s="30" t="s">
        <v>206</v>
      </c>
      <c r="G20" s="33">
        <v>1</v>
      </c>
      <c r="H20" s="35">
        <v>24</v>
      </c>
      <c r="I20" s="7">
        <v>300</v>
      </c>
      <c r="J20" s="14">
        <v>4056</v>
      </c>
      <c r="K20" s="15">
        <f>L20</f>
        <v>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0.22303921568627452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119</v>
      </c>
      <c r="D21" s="52" t="s">
        <v>115</v>
      </c>
      <c r="E21" s="53" t="s">
        <v>176</v>
      </c>
      <c r="F21" s="30" t="s">
        <v>149</v>
      </c>
      <c r="G21" s="12">
        <v>2</v>
      </c>
      <c r="H21" s="13">
        <v>24</v>
      </c>
      <c r="I21" s="7">
        <v>15000</v>
      </c>
      <c r="J21" s="14">
        <v>8776</v>
      </c>
      <c r="K21" s="15">
        <f>L21+9922+9172+8776</f>
        <v>27870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0.22303921568627452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356</v>
      </c>
      <c r="F22" s="12" t="s">
        <v>114</v>
      </c>
      <c r="G22" s="12">
        <v>4</v>
      </c>
      <c r="H22" s="35">
        <v>20</v>
      </c>
      <c r="I22" s="7">
        <v>1000000</v>
      </c>
      <c r="J22" s="14">
        <v>69392</v>
      </c>
      <c r="K22" s="15">
        <f>L22+63388</f>
        <v>132780</v>
      </c>
      <c r="L22" s="15">
        <f>8642*4+8706*4</f>
        <v>69392</v>
      </c>
      <c r="M22" s="15">
        <f t="shared" si="0"/>
        <v>69392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0.22303921568627452</v>
      </c>
      <c r="AF22" s="84">
        <f t="shared" si="8"/>
        <v>16</v>
      </c>
    </row>
    <row r="23" spans="1:32" ht="31.5" customHeight="1" thickBot="1">
      <c r="A23" s="422" t="s">
        <v>34</v>
      </c>
      <c r="B23" s="423"/>
      <c r="C23" s="423"/>
      <c r="D23" s="423"/>
      <c r="E23" s="423"/>
      <c r="F23" s="423"/>
      <c r="G23" s="423"/>
      <c r="H23" s="424"/>
      <c r="I23" s="22">
        <f t="shared" ref="I23:N23" si="17">SUM(I6:I22)</f>
        <v>2350000</v>
      </c>
      <c r="J23" s="19">
        <f t="shared" si="17"/>
        <v>330674</v>
      </c>
      <c r="K23" s="20">
        <f t="shared" si="17"/>
        <v>1609527</v>
      </c>
      <c r="L23" s="21">
        <f t="shared" si="17"/>
        <v>81765</v>
      </c>
      <c r="M23" s="20">
        <f t="shared" si="17"/>
        <v>81765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91</v>
      </c>
      <c r="Q23" s="43">
        <f t="shared" si="18"/>
        <v>313</v>
      </c>
      <c r="R23" s="23">
        <f t="shared" si="18"/>
        <v>0</v>
      </c>
      <c r="S23" s="24">
        <f t="shared" si="18"/>
        <v>69</v>
      </c>
      <c r="T23" s="24">
        <f t="shared" si="18"/>
        <v>11</v>
      </c>
      <c r="U23" s="24">
        <f t="shared" si="18"/>
        <v>0</v>
      </c>
      <c r="V23" s="25">
        <f t="shared" si="18"/>
        <v>6</v>
      </c>
      <c r="W23" s="26">
        <f t="shared" si="18"/>
        <v>155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72</v>
      </c>
      <c r="AB23" s="28">
        <f>AVERAGE(AB6:AB22)</f>
        <v>0.41176470588235292</v>
      </c>
      <c r="AC23" s="4">
        <f>AVERAGE(AC6:AC22)</f>
        <v>0.22303921568627452</v>
      </c>
      <c r="AD23" s="4">
        <f>AVERAGE(AD6:AD22)</f>
        <v>0.22303921568627452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5" t="s">
        <v>45</v>
      </c>
      <c r="B50" s="425"/>
      <c r="C50" s="425"/>
      <c r="D50" s="425"/>
      <c r="E50" s="425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6" t="s">
        <v>376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8"/>
      <c r="N51" s="429" t="s">
        <v>378</v>
      </c>
      <c r="O51" s="430"/>
      <c r="P51" s="430"/>
      <c r="Q51" s="430"/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32" t="s">
        <v>2</v>
      </c>
      <c r="B52" s="433"/>
      <c r="C52" s="276" t="s">
        <v>46</v>
      </c>
      <c r="D52" s="276" t="s">
        <v>47</v>
      </c>
      <c r="E52" s="276" t="s">
        <v>107</v>
      </c>
      <c r="F52" s="434" t="s">
        <v>106</v>
      </c>
      <c r="G52" s="435"/>
      <c r="H52" s="435"/>
      <c r="I52" s="435"/>
      <c r="J52" s="435"/>
      <c r="K52" s="435"/>
      <c r="L52" s="435"/>
      <c r="M52" s="436"/>
      <c r="N52" s="67" t="s">
        <v>110</v>
      </c>
      <c r="O52" s="276" t="s">
        <v>46</v>
      </c>
      <c r="P52" s="434" t="s">
        <v>47</v>
      </c>
      <c r="Q52" s="437"/>
      <c r="R52" s="434" t="s">
        <v>38</v>
      </c>
      <c r="S52" s="435"/>
      <c r="T52" s="435"/>
      <c r="U52" s="437"/>
      <c r="V52" s="434" t="s">
        <v>48</v>
      </c>
      <c r="W52" s="435"/>
      <c r="X52" s="435"/>
      <c r="Y52" s="435"/>
      <c r="Z52" s="435"/>
      <c r="AA52" s="435"/>
      <c r="AB52" s="435"/>
      <c r="AC52" s="435"/>
      <c r="AD52" s="436"/>
    </row>
    <row r="53" spans="1:32" ht="27" customHeight="1">
      <c r="A53" s="448" t="s">
        <v>118</v>
      </c>
      <c r="B53" s="449"/>
      <c r="C53" s="271" t="s">
        <v>254</v>
      </c>
      <c r="D53" s="271" t="s">
        <v>217</v>
      </c>
      <c r="E53" s="272" t="s">
        <v>150</v>
      </c>
      <c r="F53" s="450" t="s">
        <v>379</v>
      </c>
      <c r="G53" s="451"/>
      <c r="H53" s="451"/>
      <c r="I53" s="451"/>
      <c r="J53" s="451"/>
      <c r="K53" s="451"/>
      <c r="L53" s="451"/>
      <c r="M53" s="452"/>
      <c r="N53" s="275" t="s">
        <v>112</v>
      </c>
      <c r="O53" s="269" t="s">
        <v>190</v>
      </c>
      <c r="P53" s="453" t="s">
        <v>115</v>
      </c>
      <c r="Q53" s="454"/>
      <c r="R53" s="453" t="s">
        <v>354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271" t="s">
        <v>190</v>
      </c>
      <c r="D54" s="271" t="s">
        <v>115</v>
      </c>
      <c r="E54" s="272" t="s">
        <v>354</v>
      </c>
      <c r="F54" s="450" t="s">
        <v>249</v>
      </c>
      <c r="G54" s="451"/>
      <c r="H54" s="451"/>
      <c r="I54" s="451"/>
      <c r="J54" s="451"/>
      <c r="K54" s="451"/>
      <c r="L54" s="451"/>
      <c r="M54" s="452"/>
      <c r="N54" s="275" t="s">
        <v>112</v>
      </c>
      <c r="O54" s="269" t="s">
        <v>134</v>
      </c>
      <c r="P54" s="453" t="s">
        <v>217</v>
      </c>
      <c r="Q54" s="454"/>
      <c r="R54" s="453" t="s">
        <v>375</v>
      </c>
      <c r="S54" s="455"/>
      <c r="T54" s="455"/>
      <c r="U54" s="454"/>
      <c r="V54" s="456" t="s">
        <v>126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364</v>
      </c>
      <c r="B55" s="449"/>
      <c r="C55" s="271" t="s">
        <v>190</v>
      </c>
      <c r="D55" s="271" t="s">
        <v>115</v>
      </c>
      <c r="E55" s="272" t="s">
        <v>363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275" t="s">
        <v>118</v>
      </c>
      <c r="O55" s="269" t="s">
        <v>179</v>
      </c>
      <c r="P55" s="453" t="s">
        <v>148</v>
      </c>
      <c r="Q55" s="454"/>
      <c r="R55" s="453" t="s">
        <v>175</v>
      </c>
      <c r="S55" s="455"/>
      <c r="T55" s="455"/>
      <c r="U55" s="454"/>
      <c r="V55" s="456" t="s">
        <v>126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121</v>
      </c>
      <c r="B56" s="449"/>
      <c r="C56" s="271" t="s">
        <v>289</v>
      </c>
      <c r="D56" s="271"/>
      <c r="E56" s="272" t="s">
        <v>332</v>
      </c>
      <c r="F56" s="450" t="s">
        <v>130</v>
      </c>
      <c r="G56" s="451"/>
      <c r="H56" s="451"/>
      <c r="I56" s="451"/>
      <c r="J56" s="451"/>
      <c r="K56" s="451"/>
      <c r="L56" s="451"/>
      <c r="M56" s="452"/>
      <c r="N56" s="275" t="s">
        <v>118</v>
      </c>
      <c r="O56" s="269" t="s">
        <v>254</v>
      </c>
      <c r="P56" s="453" t="s">
        <v>217</v>
      </c>
      <c r="Q56" s="454"/>
      <c r="R56" s="453" t="s">
        <v>150</v>
      </c>
      <c r="S56" s="455"/>
      <c r="T56" s="455"/>
      <c r="U56" s="454"/>
      <c r="V56" s="456" t="s">
        <v>126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112</v>
      </c>
      <c r="B57" s="449"/>
      <c r="C57" s="271" t="s">
        <v>134</v>
      </c>
      <c r="D57" s="271" t="s">
        <v>217</v>
      </c>
      <c r="E57" s="272" t="s">
        <v>375</v>
      </c>
      <c r="F57" s="450" t="s">
        <v>359</v>
      </c>
      <c r="G57" s="451"/>
      <c r="H57" s="451"/>
      <c r="I57" s="451"/>
      <c r="J57" s="451"/>
      <c r="K57" s="451"/>
      <c r="L57" s="451"/>
      <c r="M57" s="452"/>
      <c r="N57" s="275"/>
      <c r="O57" s="269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112</v>
      </c>
      <c r="B58" s="449"/>
      <c r="C58" s="271" t="s">
        <v>135</v>
      </c>
      <c r="D58" s="271" t="s">
        <v>115</v>
      </c>
      <c r="E58" s="272" t="s">
        <v>362</v>
      </c>
      <c r="F58" s="450" t="s">
        <v>130</v>
      </c>
      <c r="G58" s="451"/>
      <c r="H58" s="451"/>
      <c r="I58" s="451"/>
      <c r="J58" s="451"/>
      <c r="K58" s="451"/>
      <c r="L58" s="451"/>
      <c r="M58" s="452"/>
      <c r="N58" s="275"/>
      <c r="O58" s="269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48" t="s">
        <v>118</v>
      </c>
      <c r="B59" s="449"/>
      <c r="C59" s="271" t="s">
        <v>179</v>
      </c>
      <c r="D59" s="271" t="s">
        <v>148</v>
      </c>
      <c r="E59" s="272" t="s">
        <v>175</v>
      </c>
      <c r="F59" s="450" t="s">
        <v>377</v>
      </c>
      <c r="G59" s="451"/>
      <c r="H59" s="451"/>
      <c r="I59" s="451"/>
      <c r="J59" s="451"/>
      <c r="K59" s="451"/>
      <c r="L59" s="451"/>
      <c r="M59" s="452"/>
      <c r="N59" s="275"/>
      <c r="O59" s="269"/>
      <c r="P59" s="453"/>
      <c r="Q59" s="454"/>
      <c r="R59" s="453"/>
      <c r="S59" s="455"/>
      <c r="T59" s="455"/>
      <c r="U59" s="454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58"/>
      <c r="B60" s="459"/>
      <c r="C60" s="272"/>
      <c r="D60" s="272"/>
      <c r="E60" s="272"/>
      <c r="F60" s="450"/>
      <c r="G60" s="451"/>
      <c r="H60" s="451"/>
      <c r="I60" s="451"/>
      <c r="J60" s="451"/>
      <c r="K60" s="451"/>
      <c r="L60" s="451"/>
      <c r="M60" s="452"/>
      <c r="N60" s="275"/>
      <c r="O60" s="269"/>
      <c r="P60" s="453"/>
      <c r="Q60" s="454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</row>
    <row r="61" spans="1:32" ht="27" customHeight="1">
      <c r="A61" s="448"/>
      <c r="B61" s="449"/>
      <c r="C61" s="271"/>
      <c r="D61" s="271"/>
      <c r="E61" s="272"/>
      <c r="F61" s="450"/>
      <c r="G61" s="451"/>
      <c r="H61" s="451"/>
      <c r="I61" s="451"/>
      <c r="J61" s="451"/>
      <c r="K61" s="451"/>
      <c r="L61" s="451"/>
      <c r="M61" s="452"/>
      <c r="N61" s="275"/>
      <c r="O61" s="269"/>
      <c r="P61" s="459"/>
      <c r="Q61" s="459"/>
      <c r="R61" s="459"/>
      <c r="S61" s="459"/>
      <c r="T61" s="459"/>
      <c r="U61" s="459"/>
      <c r="V61" s="456"/>
      <c r="W61" s="456"/>
      <c r="X61" s="456"/>
      <c r="Y61" s="456"/>
      <c r="Z61" s="456"/>
      <c r="AA61" s="456"/>
      <c r="AB61" s="456"/>
      <c r="AC61" s="456"/>
      <c r="AD61" s="457"/>
      <c r="AF61" s="84">
        <f>8*3000</f>
        <v>24000</v>
      </c>
    </row>
    <row r="62" spans="1:32" ht="27" customHeight="1" thickBot="1">
      <c r="A62" s="460"/>
      <c r="B62" s="461"/>
      <c r="C62" s="273"/>
      <c r="D62" s="274"/>
      <c r="E62" s="274"/>
      <c r="F62" s="462"/>
      <c r="G62" s="463"/>
      <c r="H62" s="463"/>
      <c r="I62" s="463"/>
      <c r="J62" s="463"/>
      <c r="K62" s="463"/>
      <c r="L62" s="463"/>
      <c r="M62" s="464"/>
      <c r="N62" s="111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380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270" t="s">
        <v>2</v>
      </c>
      <c r="D64" s="270" t="s">
        <v>37</v>
      </c>
      <c r="E64" s="270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270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4" t="s">
        <v>118</v>
      </c>
      <c r="D65" s="265"/>
      <c r="E65" s="268" t="s">
        <v>131</v>
      </c>
      <c r="F65" s="477" t="s">
        <v>159</v>
      </c>
      <c r="G65" s="478"/>
      <c r="H65" s="478"/>
      <c r="I65" s="478"/>
      <c r="J65" s="479"/>
      <c r="K65" s="480" t="s">
        <v>158</v>
      </c>
      <c r="L65" s="480"/>
      <c r="M65" s="51" t="s">
        <v>137</v>
      </c>
      <c r="N65" s="481" t="s">
        <v>129</v>
      </c>
      <c r="O65" s="481"/>
      <c r="P65" s="482">
        <v>200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2</v>
      </c>
      <c r="B66" s="476"/>
      <c r="C66" s="104" t="s">
        <v>118</v>
      </c>
      <c r="D66" s="265"/>
      <c r="E66" s="268" t="s">
        <v>131</v>
      </c>
      <c r="F66" s="477" t="s">
        <v>305</v>
      </c>
      <c r="G66" s="478"/>
      <c r="H66" s="478"/>
      <c r="I66" s="478"/>
      <c r="J66" s="479"/>
      <c r="K66" s="480" t="s">
        <v>158</v>
      </c>
      <c r="L66" s="480"/>
      <c r="M66" s="51" t="s">
        <v>137</v>
      </c>
      <c r="N66" s="481" t="s">
        <v>129</v>
      </c>
      <c r="O66" s="481"/>
      <c r="P66" s="482">
        <v>100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3</v>
      </c>
      <c r="B67" s="476"/>
      <c r="C67" s="104" t="s">
        <v>118</v>
      </c>
      <c r="D67" s="265"/>
      <c r="E67" s="268" t="s">
        <v>131</v>
      </c>
      <c r="F67" s="477" t="s">
        <v>306</v>
      </c>
      <c r="G67" s="478"/>
      <c r="H67" s="478"/>
      <c r="I67" s="478"/>
      <c r="J67" s="479"/>
      <c r="K67" s="480" t="s">
        <v>156</v>
      </c>
      <c r="L67" s="480"/>
      <c r="M67" s="51" t="s">
        <v>137</v>
      </c>
      <c r="N67" s="481" t="s">
        <v>139</v>
      </c>
      <c r="O67" s="481"/>
      <c r="P67" s="482">
        <v>50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4</v>
      </c>
      <c r="B68" s="476"/>
      <c r="C68" s="104" t="s">
        <v>118</v>
      </c>
      <c r="D68" s="265"/>
      <c r="E68" s="268" t="s">
        <v>131</v>
      </c>
      <c r="F68" s="477" t="s">
        <v>381</v>
      </c>
      <c r="G68" s="478"/>
      <c r="H68" s="478"/>
      <c r="I68" s="478"/>
      <c r="J68" s="479"/>
      <c r="K68" s="480" t="s">
        <v>156</v>
      </c>
      <c r="L68" s="480"/>
      <c r="M68" s="51" t="s">
        <v>137</v>
      </c>
      <c r="N68" s="481" t="s">
        <v>139</v>
      </c>
      <c r="O68" s="481"/>
      <c r="P68" s="482">
        <v>50</v>
      </c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5</v>
      </c>
      <c r="B69" s="476"/>
      <c r="C69" s="104" t="s">
        <v>118</v>
      </c>
      <c r="D69" s="265"/>
      <c r="E69" s="268" t="s">
        <v>140</v>
      </c>
      <c r="F69" s="477" t="s">
        <v>320</v>
      </c>
      <c r="G69" s="478"/>
      <c r="H69" s="478"/>
      <c r="I69" s="478"/>
      <c r="J69" s="479"/>
      <c r="K69" s="480" t="s">
        <v>138</v>
      </c>
      <c r="L69" s="480"/>
      <c r="M69" s="51" t="s">
        <v>137</v>
      </c>
      <c r="N69" s="481" t="s">
        <v>142</v>
      </c>
      <c r="O69" s="481"/>
      <c r="P69" s="482">
        <v>100</v>
      </c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6</v>
      </c>
      <c r="B70" s="476"/>
      <c r="C70" s="104"/>
      <c r="D70" s="265"/>
      <c r="E70" s="268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7</v>
      </c>
      <c r="B71" s="476"/>
      <c r="C71" s="104"/>
      <c r="D71" s="265"/>
      <c r="E71" s="268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8</v>
      </c>
      <c r="B72" s="476"/>
      <c r="C72" s="104"/>
      <c r="D72" s="265"/>
      <c r="E72" s="268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9</v>
      </c>
      <c r="B73" s="476"/>
      <c r="C73" s="104"/>
      <c r="D73" s="265"/>
      <c r="E73" s="268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5.5" customHeight="1">
      <c r="A74" s="475">
        <v>10</v>
      </c>
      <c r="B74" s="476"/>
      <c r="C74" s="104"/>
      <c r="D74" s="265"/>
      <c r="E74" s="268"/>
      <c r="F74" s="484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80"/>
      <c r="AC74" s="480"/>
      <c r="AD74" s="483"/>
      <c r="AF74" s="50"/>
    </row>
    <row r="75" spans="1:32" ht="26.25" customHeight="1" thickBot="1">
      <c r="A75" s="485" t="s">
        <v>382</v>
      </c>
      <c r="B75" s="485"/>
      <c r="C75" s="485"/>
      <c r="D75" s="485"/>
      <c r="E75" s="48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6" t="s">
        <v>133</v>
      </c>
      <c r="B76" s="487"/>
      <c r="C76" s="267" t="s">
        <v>2</v>
      </c>
      <c r="D76" s="267" t="s">
        <v>37</v>
      </c>
      <c r="E76" s="267" t="s">
        <v>128</v>
      </c>
      <c r="F76" s="487" t="s">
        <v>38</v>
      </c>
      <c r="G76" s="487"/>
      <c r="H76" s="487"/>
      <c r="I76" s="487"/>
      <c r="J76" s="487"/>
      <c r="K76" s="488" t="s">
        <v>58</v>
      </c>
      <c r="L76" s="489"/>
      <c r="M76" s="489"/>
      <c r="N76" s="489"/>
      <c r="O76" s="489"/>
      <c r="P76" s="489"/>
      <c r="Q76" s="489"/>
      <c r="R76" s="489"/>
      <c r="S76" s="490"/>
      <c r="T76" s="487" t="s">
        <v>49</v>
      </c>
      <c r="U76" s="487"/>
      <c r="V76" s="488" t="s">
        <v>50</v>
      </c>
      <c r="W76" s="490"/>
      <c r="X76" s="489" t="s">
        <v>51</v>
      </c>
      <c r="Y76" s="489"/>
      <c r="Z76" s="489"/>
      <c r="AA76" s="489"/>
      <c r="AB76" s="489"/>
      <c r="AC76" s="489"/>
      <c r="AD76" s="491"/>
      <c r="AF76" s="50"/>
    </row>
    <row r="77" spans="1:32" ht="33.75" customHeight="1">
      <c r="A77" s="500">
        <v>1</v>
      </c>
      <c r="B77" s="501"/>
      <c r="C77" s="266" t="s">
        <v>112</v>
      </c>
      <c r="D77" s="266"/>
      <c r="E77" s="65" t="s">
        <v>117</v>
      </c>
      <c r="F77" s="502" t="s">
        <v>116</v>
      </c>
      <c r="G77" s="503"/>
      <c r="H77" s="503"/>
      <c r="I77" s="503"/>
      <c r="J77" s="504"/>
      <c r="K77" s="505" t="s">
        <v>120</v>
      </c>
      <c r="L77" s="506"/>
      <c r="M77" s="506"/>
      <c r="N77" s="506"/>
      <c r="O77" s="506"/>
      <c r="P77" s="506"/>
      <c r="Q77" s="506"/>
      <c r="R77" s="506"/>
      <c r="S77" s="507"/>
      <c r="T77" s="508">
        <v>44118</v>
      </c>
      <c r="U77" s="509"/>
      <c r="V77" s="510"/>
      <c r="W77" s="510"/>
      <c r="X77" s="511"/>
      <c r="Y77" s="511"/>
      <c r="Z77" s="511"/>
      <c r="AA77" s="511"/>
      <c r="AB77" s="511"/>
      <c r="AC77" s="511"/>
      <c r="AD77" s="512"/>
      <c r="AF77" s="50"/>
    </row>
    <row r="78" spans="1:32" ht="30" customHeight="1">
      <c r="A78" s="492">
        <f>A77+1</f>
        <v>2</v>
      </c>
      <c r="B78" s="493"/>
      <c r="C78" s="265"/>
      <c r="D78" s="265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ref="A79:A83" si="19">A78+1</f>
        <v>3</v>
      </c>
      <c r="B79" s="493"/>
      <c r="C79" s="265"/>
      <c r="D79" s="265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9"/>
        <v>4</v>
      </c>
      <c r="B80" s="493"/>
      <c r="C80" s="265"/>
      <c r="D80" s="265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9"/>
        <v>5</v>
      </c>
      <c r="B81" s="493"/>
      <c r="C81" s="265"/>
      <c r="D81" s="265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9"/>
        <v>6</v>
      </c>
      <c r="B82" s="493"/>
      <c r="C82" s="265"/>
      <c r="D82" s="265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0" customHeight="1">
      <c r="A83" s="492">
        <f t="shared" si="19"/>
        <v>7</v>
      </c>
      <c r="B83" s="493"/>
      <c r="C83" s="265"/>
      <c r="D83" s="265"/>
      <c r="E83" s="32"/>
      <c r="F83" s="493"/>
      <c r="G83" s="493"/>
      <c r="H83" s="493"/>
      <c r="I83" s="493"/>
      <c r="J83" s="493"/>
      <c r="K83" s="494"/>
      <c r="L83" s="495"/>
      <c r="M83" s="495"/>
      <c r="N83" s="495"/>
      <c r="O83" s="495"/>
      <c r="P83" s="495"/>
      <c r="Q83" s="495"/>
      <c r="R83" s="495"/>
      <c r="S83" s="496"/>
      <c r="T83" s="497"/>
      <c r="U83" s="497"/>
      <c r="V83" s="497"/>
      <c r="W83" s="497"/>
      <c r="X83" s="498"/>
      <c r="Y83" s="498"/>
      <c r="Z83" s="498"/>
      <c r="AA83" s="498"/>
      <c r="AB83" s="498"/>
      <c r="AC83" s="498"/>
      <c r="AD83" s="499"/>
      <c r="AF83" s="50"/>
    </row>
    <row r="84" spans="1:32" ht="36" thickBot="1">
      <c r="A84" s="485" t="s">
        <v>383</v>
      </c>
      <c r="B84" s="485"/>
      <c r="C84" s="485"/>
      <c r="D84" s="485"/>
      <c r="E84" s="48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6" t="s">
        <v>111</v>
      </c>
      <c r="B85" s="487"/>
      <c r="C85" s="513" t="s">
        <v>52</v>
      </c>
      <c r="D85" s="513"/>
      <c r="E85" s="513" t="s">
        <v>53</v>
      </c>
      <c r="F85" s="513"/>
      <c r="G85" s="513"/>
      <c r="H85" s="513"/>
      <c r="I85" s="513"/>
      <c r="J85" s="513"/>
      <c r="K85" s="513" t="s">
        <v>54</v>
      </c>
      <c r="L85" s="513"/>
      <c r="M85" s="513"/>
      <c r="N85" s="513"/>
      <c r="O85" s="513"/>
      <c r="P85" s="513"/>
      <c r="Q85" s="513"/>
      <c r="R85" s="513"/>
      <c r="S85" s="513"/>
      <c r="T85" s="513" t="s">
        <v>55</v>
      </c>
      <c r="U85" s="513"/>
      <c r="V85" s="513" t="s">
        <v>56</v>
      </c>
      <c r="W85" s="513"/>
      <c r="X85" s="513"/>
      <c r="Y85" s="513" t="s">
        <v>51</v>
      </c>
      <c r="Z85" s="513"/>
      <c r="AA85" s="513"/>
      <c r="AB85" s="513"/>
      <c r="AC85" s="513"/>
      <c r="AD85" s="514"/>
      <c r="AF85" s="50"/>
    </row>
    <row r="86" spans="1:32" ht="30.75" customHeight="1">
      <c r="A86" s="500">
        <v>1</v>
      </c>
      <c r="B86" s="501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0"/>
    </row>
    <row r="87" spans="1:32" ht="30.75" customHeight="1">
      <c r="A87" s="492">
        <v>2</v>
      </c>
      <c r="B87" s="493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7"/>
      <c r="U87" s="527"/>
      <c r="V87" s="528"/>
      <c r="W87" s="528"/>
      <c r="X87" s="528"/>
      <c r="Y87" s="519"/>
      <c r="Z87" s="519"/>
      <c r="AA87" s="519"/>
      <c r="AB87" s="519"/>
      <c r="AC87" s="519"/>
      <c r="AD87" s="520"/>
      <c r="AF87" s="50"/>
    </row>
    <row r="88" spans="1:32" ht="30.75" customHeight="1" thickBot="1">
      <c r="A88" s="521">
        <v>3</v>
      </c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4"/>
      <c r="Z88" s="524"/>
      <c r="AA88" s="524"/>
      <c r="AB88" s="524"/>
      <c r="AC88" s="524"/>
      <c r="AD88" s="525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2A67-32D0-41A2-80D0-4CB8A10F3520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384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278" t="s">
        <v>17</v>
      </c>
      <c r="L5" s="278" t="s">
        <v>18</v>
      </c>
      <c r="M5" s="278" t="s">
        <v>19</v>
      </c>
      <c r="N5" s="27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7.5520833333333329E-2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L7+1624</f>
        <v>1624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7.5520833333333329E-2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190880</v>
      </c>
      <c r="K8" s="15">
        <f>L8+447616+509024+190880</f>
        <v>1147520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7.5520833333333329E-2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25000</v>
      </c>
      <c r="J9" s="14">
        <v>1344</v>
      </c>
      <c r="K9" s="15">
        <f>L9</f>
        <v>1344</v>
      </c>
      <c r="L9" s="15">
        <v>1344</v>
      </c>
      <c r="M9" s="15">
        <f t="shared" si="0"/>
        <v>1344</v>
      </c>
      <c r="N9" s="15">
        <v>0</v>
      </c>
      <c r="O9" s="58">
        <f t="shared" si="1"/>
        <v>0</v>
      </c>
      <c r="P9" s="39">
        <f t="shared" si="2"/>
        <v>5</v>
      </c>
      <c r="Q9" s="40">
        <f t="shared" si="3"/>
        <v>19</v>
      </c>
      <c r="R9" s="7"/>
      <c r="S9" s="6">
        <v>3</v>
      </c>
      <c r="T9" s="16"/>
      <c r="U9" s="16"/>
      <c r="V9" s="17">
        <v>16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6">
        <f t="shared" si="7"/>
        <v>7.5520833333333329E-2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7.5520833333333329E-2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157</v>
      </c>
      <c r="F11" s="30" t="s">
        <v>127</v>
      </c>
      <c r="G11" s="33">
        <v>1</v>
      </c>
      <c r="H11" s="35">
        <v>24</v>
      </c>
      <c r="I11" s="7">
        <v>32000</v>
      </c>
      <c r="J11" s="14">
        <v>5627</v>
      </c>
      <c r="K11" s="15">
        <f>L11+3558+2547+3474+5896+5955+5813+5627</f>
        <v>32870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7.5520833333333329E-2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332</v>
      </c>
      <c r="F12" s="30" t="s">
        <v>138</v>
      </c>
      <c r="G12" s="12">
        <v>1</v>
      </c>
      <c r="H12" s="13">
        <v>22</v>
      </c>
      <c r="I12" s="31">
        <v>500</v>
      </c>
      <c r="J12" s="5">
        <v>680</v>
      </c>
      <c r="K12" s="15">
        <f>L12+680</f>
        <v>680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7.5520833333333329E-2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362</v>
      </c>
      <c r="F13" s="30" t="s">
        <v>127</v>
      </c>
      <c r="G13" s="33">
        <v>1</v>
      </c>
      <c r="H13" s="35">
        <v>24</v>
      </c>
      <c r="I13" s="7">
        <v>300</v>
      </c>
      <c r="J13" s="14">
        <v>861</v>
      </c>
      <c r="K13" s="15">
        <f>L13+861</f>
        <v>861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11</v>
      </c>
      <c r="R13" s="7"/>
      <c r="S13" s="6"/>
      <c r="T13" s="16">
        <v>11</v>
      </c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7.5520833333333329E-2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354</v>
      </c>
      <c r="F14" s="30" t="s">
        <v>206</v>
      </c>
      <c r="G14" s="33">
        <v>1</v>
      </c>
      <c r="H14" s="35">
        <v>50</v>
      </c>
      <c r="I14" s="7">
        <v>300</v>
      </c>
      <c r="J14" s="5">
        <v>385</v>
      </c>
      <c r="K14" s="15">
        <f>L14+50</f>
        <v>435</v>
      </c>
      <c r="L14" s="15">
        <f>385</f>
        <v>385</v>
      </c>
      <c r="M14" s="15">
        <f t="shared" si="0"/>
        <v>385</v>
      </c>
      <c r="N14" s="15">
        <v>0</v>
      </c>
      <c r="O14" s="58">
        <f t="shared" si="1"/>
        <v>0</v>
      </c>
      <c r="P14" s="39">
        <f t="shared" si="2"/>
        <v>8</v>
      </c>
      <c r="Q14" s="40">
        <f t="shared" si="3"/>
        <v>16</v>
      </c>
      <c r="R14" s="7"/>
      <c r="S14" s="6"/>
      <c r="T14" s="16"/>
      <c r="U14" s="16"/>
      <c r="V14" s="17">
        <v>16</v>
      </c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6">
        <f t="shared" si="7"/>
        <v>7.5520833333333329E-2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7.5520833333333329E-2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3140</v>
      </c>
      <c r="K16" s="15">
        <f>L16+3140</f>
        <v>3140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16</v>
      </c>
      <c r="R16" s="7"/>
      <c r="S16" s="6">
        <v>16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7.5520833333333329E-2</v>
      </c>
      <c r="AF16" s="84">
        <f t="shared" si="8"/>
        <v>11</v>
      </c>
    </row>
    <row r="17" spans="1:32" ht="30" customHeight="1">
      <c r="A17" s="95">
        <v>12</v>
      </c>
      <c r="B17" s="11" t="s">
        <v>163</v>
      </c>
      <c r="C17" s="34" t="s">
        <v>121</v>
      </c>
      <c r="D17" s="52" t="s">
        <v>125</v>
      </c>
      <c r="E17" s="53" t="s">
        <v>155</v>
      </c>
      <c r="F17" s="30" t="s">
        <v>136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7.5520833333333329E-2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345</v>
      </c>
      <c r="F18" s="30" t="s">
        <v>154</v>
      </c>
      <c r="G18" s="33">
        <v>1</v>
      </c>
      <c r="H18" s="35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7.5520833333333329E-2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168</v>
      </c>
      <c r="E19" s="53" t="s">
        <v>375</v>
      </c>
      <c r="F19" s="30" t="s">
        <v>206</v>
      </c>
      <c r="G19" s="33">
        <v>1</v>
      </c>
      <c r="H19" s="35">
        <v>24</v>
      </c>
      <c r="I19" s="7">
        <v>300</v>
      </c>
      <c r="J19" s="14">
        <v>842</v>
      </c>
      <c r="K19" s="15">
        <f>L19</f>
        <v>842</v>
      </c>
      <c r="L19" s="15">
        <v>842</v>
      </c>
      <c r="M19" s="15">
        <f t="shared" si="0"/>
        <v>842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/>
      <c r="T19" s="16"/>
      <c r="U19" s="16"/>
      <c r="V19" s="17">
        <v>16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7.5520833333333329E-2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7.5520833333333329E-2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1000000</v>
      </c>
      <c r="J21" s="14">
        <v>28968</v>
      </c>
      <c r="K21" s="15">
        <f>L21+63388+69392</f>
        <v>161748</v>
      </c>
      <c r="L21" s="15">
        <f>7242*4</f>
        <v>28968</v>
      </c>
      <c r="M21" s="15">
        <f t="shared" si="0"/>
        <v>28968</v>
      </c>
      <c r="N21" s="15">
        <v>0</v>
      </c>
      <c r="O21" s="58">
        <f t="shared" si="1"/>
        <v>0</v>
      </c>
      <c r="P21" s="39">
        <f t="shared" si="2"/>
        <v>8</v>
      </c>
      <c r="Q21" s="40">
        <f t="shared" si="3"/>
        <v>16</v>
      </c>
      <c r="R21" s="7"/>
      <c r="S21" s="6"/>
      <c r="T21" s="16"/>
      <c r="U21" s="16"/>
      <c r="V21" s="17">
        <v>16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0.33333333333333331</v>
      </c>
      <c r="AD21" s="10">
        <f t="shared" si="6"/>
        <v>0.33333333333333331</v>
      </c>
      <c r="AE21" s="36">
        <f t="shared" si="7"/>
        <v>7.5520833333333329E-2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2324900</v>
      </c>
      <c r="J22" s="19">
        <f t="shared" si="9"/>
        <v>284424</v>
      </c>
      <c r="K22" s="20">
        <f t="shared" si="9"/>
        <v>1586467</v>
      </c>
      <c r="L22" s="21">
        <f t="shared" si="9"/>
        <v>31539</v>
      </c>
      <c r="M22" s="20">
        <f t="shared" si="9"/>
        <v>31539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29</v>
      </c>
      <c r="Q22" s="43">
        <f t="shared" si="10"/>
        <v>326</v>
      </c>
      <c r="R22" s="23">
        <f t="shared" si="10"/>
        <v>0</v>
      </c>
      <c r="S22" s="24">
        <f t="shared" si="10"/>
        <v>19</v>
      </c>
      <c r="T22" s="24">
        <f t="shared" si="10"/>
        <v>11</v>
      </c>
      <c r="U22" s="24">
        <f t="shared" si="10"/>
        <v>0</v>
      </c>
      <c r="V22" s="25">
        <f t="shared" si="10"/>
        <v>88</v>
      </c>
      <c r="W22" s="26">
        <f t="shared" si="10"/>
        <v>136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0.25</v>
      </c>
      <c r="AC22" s="4">
        <f>AVERAGE(AC6:AC21)</f>
        <v>7.5520833333333329E-2</v>
      </c>
      <c r="AD22" s="4">
        <f>AVERAGE(AD6:AD21)</f>
        <v>7.5520833333333329E-2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385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387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279" t="s">
        <v>46</v>
      </c>
      <c r="D51" s="279" t="s">
        <v>47</v>
      </c>
      <c r="E51" s="279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279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280" t="s">
        <v>254</v>
      </c>
      <c r="D52" s="280" t="s">
        <v>217</v>
      </c>
      <c r="E52" s="282" t="s">
        <v>150</v>
      </c>
      <c r="F52" s="450" t="s">
        <v>386</v>
      </c>
      <c r="G52" s="451"/>
      <c r="H52" s="451"/>
      <c r="I52" s="451"/>
      <c r="J52" s="451"/>
      <c r="K52" s="451"/>
      <c r="L52" s="451"/>
      <c r="M52" s="452"/>
      <c r="N52" s="281" t="s">
        <v>118</v>
      </c>
      <c r="O52" s="287" t="s">
        <v>179</v>
      </c>
      <c r="P52" s="453" t="s">
        <v>148</v>
      </c>
      <c r="Q52" s="454"/>
      <c r="R52" s="453" t="s">
        <v>175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280" t="s">
        <v>190</v>
      </c>
      <c r="D53" s="280" t="s">
        <v>115</v>
      </c>
      <c r="E53" s="282" t="s">
        <v>354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281" t="s">
        <v>112</v>
      </c>
      <c r="O53" s="287" t="s">
        <v>241</v>
      </c>
      <c r="P53" s="453" t="s">
        <v>307</v>
      </c>
      <c r="Q53" s="454"/>
      <c r="R53" s="453" t="s">
        <v>304</v>
      </c>
      <c r="S53" s="455"/>
      <c r="T53" s="455"/>
      <c r="U53" s="454"/>
      <c r="V53" s="456" t="s">
        <v>195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280" t="s">
        <v>134</v>
      </c>
      <c r="D54" s="280" t="s">
        <v>217</v>
      </c>
      <c r="E54" s="282" t="s">
        <v>375</v>
      </c>
      <c r="F54" s="450" t="s">
        <v>126</v>
      </c>
      <c r="G54" s="451"/>
      <c r="H54" s="451"/>
      <c r="I54" s="451"/>
      <c r="J54" s="451"/>
      <c r="K54" s="451"/>
      <c r="L54" s="451"/>
      <c r="M54" s="452"/>
      <c r="N54" s="281"/>
      <c r="O54" s="287"/>
      <c r="P54" s="453"/>
      <c r="Q54" s="454"/>
      <c r="R54" s="453"/>
      <c r="S54" s="455"/>
      <c r="T54" s="455"/>
      <c r="U54" s="454"/>
      <c r="V54" s="456"/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280"/>
      <c r="D55" s="280"/>
      <c r="E55" s="282"/>
      <c r="F55" s="450"/>
      <c r="G55" s="451"/>
      <c r="H55" s="451"/>
      <c r="I55" s="451"/>
      <c r="J55" s="451"/>
      <c r="K55" s="451"/>
      <c r="L55" s="451"/>
      <c r="M55" s="452"/>
      <c r="N55" s="281"/>
      <c r="O55" s="287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280"/>
      <c r="D56" s="280"/>
      <c r="E56" s="282"/>
      <c r="F56" s="450"/>
      <c r="G56" s="451"/>
      <c r="H56" s="451"/>
      <c r="I56" s="451"/>
      <c r="J56" s="451"/>
      <c r="K56" s="451"/>
      <c r="L56" s="451"/>
      <c r="M56" s="452"/>
      <c r="N56" s="281"/>
      <c r="O56" s="287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80"/>
      <c r="D57" s="280"/>
      <c r="E57" s="282"/>
      <c r="F57" s="450"/>
      <c r="G57" s="451"/>
      <c r="H57" s="451"/>
      <c r="I57" s="451"/>
      <c r="J57" s="451"/>
      <c r="K57" s="451"/>
      <c r="L57" s="451"/>
      <c r="M57" s="452"/>
      <c r="N57" s="281"/>
      <c r="O57" s="287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80"/>
      <c r="D58" s="280"/>
      <c r="E58" s="282"/>
      <c r="F58" s="450"/>
      <c r="G58" s="451"/>
      <c r="H58" s="451"/>
      <c r="I58" s="451"/>
      <c r="J58" s="451"/>
      <c r="K58" s="451"/>
      <c r="L58" s="451"/>
      <c r="M58" s="452"/>
      <c r="N58" s="281"/>
      <c r="O58" s="287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82"/>
      <c r="D59" s="282"/>
      <c r="E59" s="282"/>
      <c r="F59" s="450"/>
      <c r="G59" s="451"/>
      <c r="H59" s="451"/>
      <c r="I59" s="451"/>
      <c r="J59" s="451"/>
      <c r="K59" s="451"/>
      <c r="L59" s="451"/>
      <c r="M59" s="452"/>
      <c r="N59" s="281"/>
      <c r="O59" s="287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80"/>
      <c r="D60" s="280"/>
      <c r="E60" s="282"/>
      <c r="F60" s="450"/>
      <c r="G60" s="451"/>
      <c r="H60" s="451"/>
      <c r="I60" s="451"/>
      <c r="J60" s="451"/>
      <c r="K60" s="451"/>
      <c r="L60" s="451"/>
      <c r="M60" s="452"/>
      <c r="N60" s="281"/>
      <c r="O60" s="287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83"/>
      <c r="D61" s="284"/>
      <c r="E61" s="284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388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85" t="s">
        <v>2</v>
      </c>
      <c r="D63" s="285" t="s">
        <v>37</v>
      </c>
      <c r="E63" s="285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85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118</v>
      </c>
      <c r="D64" s="289"/>
      <c r="E64" s="286" t="s">
        <v>140</v>
      </c>
      <c r="F64" s="477" t="s">
        <v>389</v>
      </c>
      <c r="G64" s="478"/>
      <c r="H64" s="478"/>
      <c r="I64" s="478"/>
      <c r="J64" s="479"/>
      <c r="K64" s="480" t="s">
        <v>158</v>
      </c>
      <c r="L64" s="480"/>
      <c r="M64" s="51" t="s">
        <v>309</v>
      </c>
      <c r="N64" s="481" t="s">
        <v>129</v>
      </c>
      <c r="O64" s="481"/>
      <c r="P64" s="482">
        <v>200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289"/>
      <c r="E65" s="286" t="s">
        <v>131</v>
      </c>
      <c r="F65" s="477" t="s">
        <v>390</v>
      </c>
      <c r="G65" s="478"/>
      <c r="H65" s="478"/>
      <c r="I65" s="478"/>
      <c r="J65" s="479"/>
      <c r="K65" s="480" t="s">
        <v>144</v>
      </c>
      <c r="L65" s="480"/>
      <c r="M65" s="51" t="s">
        <v>137</v>
      </c>
      <c r="N65" s="481" t="s">
        <v>224</v>
      </c>
      <c r="O65" s="481"/>
      <c r="P65" s="482">
        <v>200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289"/>
      <c r="E66" s="286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289"/>
      <c r="E67" s="286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289"/>
      <c r="E68" s="286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289"/>
      <c r="E69" s="286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89"/>
      <c r="E70" s="286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89"/>
      <c r="E71" s="286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89"/>
      <c r="E72" s="286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89"/>
      <c r="E73" s="286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391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88" t="s">
        <v>2</v>
      </c>
      <c r="D75" s="288" t="s">
        <v>37</v>
      </c>
      <c r="E75" s="288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90" t="s">
        <v>112</v>
      </c>
      <c r="D76" s="290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89"/>
      <c r="D77" s="289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89"/>
      <c r="D78" s="289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89"/>
      <c r="D79" s="289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89"/>
      <c r="D80" s="289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89"/>
      <c r="D81" s="289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89"/>
      <c r="D82" s="289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392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54A5-11BD-4754-8886-556ABA5EE2B2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393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03" t="s">
        <v>17</v>
      </c>
      <c r="L5" s="303" t="s">
        <v>18</v>
      </c>
      <c r="M5" s="303" t="s">
        <v>19</v>
      </c>
      <c r="N5" s="30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0.1640625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1500</v>
      </c>
      <c r="J7" s="14">
        <v>1624</v>
      </c>
      <c r="K7" s="15">
        <f>L7+1624</f>
        <v>1624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0.1640625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302</v>
      </c>
      <c r="D8" s="52"/>
      <c r="E8" s="53" t="s">
        <v>301</v>
      </c>
      <c r="F8" s="30" t="s">
        <v>314</v>
      </c>
      <c r="G8" s="33">
        <v>32</v>
      </c>
      <c r="H8" s="35">
        <v>24</v>
      </c>
      <c r="I8" s="7">
        <v>1000000</v>
      </c>
      <c r="J8" s="5">
        <v>190880</v>
      </c>
      <c r="K8" s="15">
        <f>L8+447616+509024+190880</f>
        <v>1147520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0.1640625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25000</v>
      </c>
      <c r="J9" s="14">
        <v>2695</v>
      </c>
      <c r="K9" s="15">
        <f>L9+1344</f>
        <v>4039</v>
      </c>
      <c r="L9" s="15">
        <v>2695</v>
      </c>
      <c r="M9" s="15">
        <f t="shared" si="0"/>
        <v>2695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/>
      <c r="T9" s="16"/>
      <c r="U9" s="16"/>
      <c r="V9" s="17">
        <v>12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0.1640625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0.1640625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7995</v>
      </c>
      <c r="K11" s="15">
        <f>L11</f>
        <v>7995</v>
      </c>
      <c r="L11" s="15">
        <f>2665*3</f>
        <v>7995</v>
      </c>
      <c r="M11" s="15">
        <f t="shared" si="0"/>
        <v>7995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/>
      <c r="T11" s="16"/>
      <c r="U11" s="16"/>
      <c r="V11" s="17">
        <v>12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0.1640625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332</v>
      </c>
      <c r="F12" s="30" t="s">
        <v>138</v>
      </c>
      <c r="G12" s="12">
        <v>1</v>
      </c>
      <c r="H12" s="13">
        <v>22</v>
      </c>
      <c r="I12" s="31">
        <v>500</v>
      </c>
      <c r="J12" s="5">
        <v>680</v>
      </c>
      <c r="K12" s="15">
        <f>L12+680</f>
        <v>680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0.1640625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362</v>
      </c>
      <c r="F13" s="30" t="s">
        <v>127</v>
      </c>
      <c r="G13" s="33">
        <v>1</v>
      </c>
      <c r="H13" s="35">
        <v>24</v>
      </c>
      <c r="I13" s="7">
        <v>300</v>
      </c>
      <c r="J13" s="14">
        <v>861</v>
      </c>
      <c r="K13" s="15">
        <f>L13+861</f>
        <v>861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0.1640625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330</v>
      </c>
      <c r="F14" s="30" t="s">
        <v>206</v>
      </c>
      <c r="G14" s="33">
        <v>1</v>
      </c>
      <c r="H14" s="35">
        <v>50</v>
      </c>
      <c r="I14" s="7">
        <v>200</v>
      </c>
      <c r="J14" s="5">
        <v>275</v>
      </c>
      <c r="K14" s="15">
        <f>L14</f>
        <v>275</v>
      </c>
      <c r="L14" s="15">
        <v>275</v>
      </c>
      <c r="M14" s="15">
        <f t="shared" si="0"/>
        <v>275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0.1640625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0.1640625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8796</v>
      </c>
      <c r="K16" s="15">
        <f>L16+3140</f>
        <v>11936</v>
      </c>
      <c r="L16" s="15">
        <f>4398*2</f>
        <v>8796</v>
      </c>
      <c r="M16" s="15">
        <f t="shared" si="0"/>
        <v>8796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/>
      <c r="T16" s="16"/>
      <c r="U16" s="16"/>
      <c r="V16" s="17">
        <v>12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0.1640625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1657</v>
      </c>
      <c r="K17" s="15">
        <f>L17</f>
        <v>1657</v>
      </c>
      <c r="L17" s="15">
        <f>1657</f>
        <v>1657</v>
      </c>
      <c r="M17" s="15">
        <f t="shared" si="0"/>
        <v>1657</v>
      </c>
      <c r="N17" s="15">
        <v>0</v>
      </c>
      <c r="O17" s="58">
        <f t="shared" si="1"/>
        <v>0</v>
      </c>
      <c r="P17" s="39">
        <f t="shared" si="2"/>
        <v>9</v>
      </c>
      <c r="Q17" s="40">
        <f t="shared" si="3"/>
        <v>15</v>
      </c>
      <c r="R17" s="7"/>
      <c r="S17" s="6"/>
      <c r="T17" s="16">
        <v>3</v>
      </c>
      <c r="U17" s="16"/>
      <c r="V17" s="17">
        <v>12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0.375</v>
      </c>
      <c r="AD17" s="10">
        <f t="shared" si="6"/>
        <v>0.375</v>
      </c>
      <c r="AE17" s="36">
        <f t="shared" si="7"/>
        <v>0.1640625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345</v>
      </c>
      <c r="F18" s="30" t="s">
        <v>154</v>
      </c>
      <c r="G18" s="33">
        <v>1</v>
      </c>
      <c r="H18" s="35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0.1640625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168</v>
      </c>
      <c r="E19" s="53" t="s">
        <v>375</v>
      </c>
      <c r="F19" s="30" t="s">
        <v>206</v>
      </c>
      <c r="G19" s="33">
        <v>1</v>
      </c>
      <c r="H19" s="35">
        <v>24</v>
      </c>
      <c r="I19" s="7">
        <v>300</v>
      </c>
      <c r="J19" s="14">
        <v>842</v>
      </c>
      <c r="K19" s="15">
        <f>L19+842</f>
        <v>842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0.1640625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119</v>
      </c>
      <c r="D20" s="52" t="s">
        <v>115</v>
      </c>
      <c r="E20" s="53" t="s">
        <v>176</v>
      </c>
      <c r="F20" s="30" t="s">
        <v>149</v>
      </c>
      <c r="G20" s="12">
        <v>2</v>
      </c>
      <c r="H20" s="13">
        <v>24</v>
      </c>
      <c r="I20" s="7">
        <v>15000</v>
      </c>
      <c r="J20" s="14">
        <v>8776</v>
      </c>
      <c r="K20" s="15">
        <f>L20+9922+9172+8776</f>
        <v>27870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0.1640625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1000000</v>
      </c>
      <c r="J21" s="14">
        <v>33256</v>
      </c>
      <c r="K21" s="15">
        <f>L21+63388+69392+28968</f>
        <v>195004</v>
      </c>
      <c r="L21" s="15">
        <f>8314*4</f>
        <v>33256</v>
      </c>
      <c r="M21" s="15">
        <f t="shared" si="0"/>
        <v>33256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0.1640625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2352300</v>
      </c>
      <c r="J22" s="19">
        <f t="shared" si="9"/>
        <v>299034</v>
      </c>
      <c r="K22" s="20">
        <f t="shared" si="9"/>
        <v>1607236</v>
      </c>
      <c r="L22" s="21">
        <f t="shared" si="9"/>
        <v>54674</v>
      </c>
      <c r="M22" s="20">
        <f t="shared" si="9"/>
        <v>54674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63</v>
      </c>
      <c r="Q22" s="43">
        <f t="shared" si="10"/>
        <v>321</v>
      </c>
      <c r="R22" s="23">
        <f t="shared" si="10"/>
        <v>0</v>
      </c>
      <c r="S22" s="24">
        <f t="shared" si="10"/>
        <v>18</v>
      </c>
      <c r="T22" s="24">
        <f t="shared" si="10"/>
        <v>3</v>
      </c>
      <c r="U22" s="24">
        <f t="shared" si="10"/>
        <v>0</v>
      </c>
      <c r="V22" s="25">
        <f t="shared" si="10"/>
        <v>84</v>
      </c>
      <c r="W22" s="26">
        <f t="shared" si="10"/>
        <v>168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0.375</v>
      </c>
      <c r="AC22" s="4">
        <f>AVERAGE(AC6:AC21)</f>
        <v>0.1640625</v>
      </c>
      <c r="AD22" s="4">
        <f>AVERAGE(AD6:AD21)</f>
        <v>0.1640625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400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403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02" t="s">
        <v>46</v>
      </c>
      <c r="D51" s="302" t="s">
        <v>47</v>
      </c>
      <c r="E51" s="302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02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112</v>
      </c>
      <c r="B52" s="449"/>
      <c r="C52" s="297" t="s">
        <v>190</v>
      </c>
      <c r="D52" s="297" t="s">
        <v>115</v>
      </c>
      <c r="E52" s="298" t="s">
        <v>330</v>
      </c>
      <c r="F52" s="450" t="s">
        <v>342</v>
      </c>
      <c r="G52" s="451"/>
      <c r="H52" s="451"/>
      <c r="I52" s="451"/>
      <c r="J52" s="451"/>
      <c r="K52" s="451"/>
      <c r="L52" s="451"/>
      <c r="M52" s="452"/>
      <c r="N52" s="301" t="s">
        <v>112</v>
      </c>
      <c r="O52" s="295" t="s">
        <v>143</v>
      </c>
      <c r="P52" s="453" t="s">
        <v>115</v>
      </c>
      <c r="Q52" s="454"/>
      <c r="R52" s="453" t="s">
        <v>288</v>
      </c>
      <c r="S52" s="455"/>
      <c r="T52" s="455"/>
      <c r="U52" s="454"/>
      <c r="V52" s="456" t="s">
        <v>130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297" t="s">
        <v>179</v>
      </c>
      <c r="D53" s="297" t="s">
        <v>148</v>
      </c>
      <c r="E53" s="298" t="s">
        <v>175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301" t="s">
        <v>119</v>
      </c>
      <c r="O53" s="295" t="s">
        <v>135</v>
      </c>
      <c r="P53" s="453" t="s">
        <v>405</v>
      </c>
      <c r="Q53" s="454"/>
      <c r="R53" s="453" t="s">
        <v>404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394</v>
      </c>
      <c r="B54" s="449"/>
      <c r="C54" s="297" t="s">
        <v>224</v>
      </c>
      <c r="D54" s="297" t="s">
        <v>397</v>
      </c>
      <c r="E54" s="298" t="s">
        <v>401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301" t="s">
        <v>112</v>
      </c>
      <c r="O54" s="295" t="s">
        <v>129</v>
      </c>
      <c r="P54" s="453" t="s">
        <v>125</v>
      </c>
      <c r="Q54" s="454"/>
      <c r="R54" s="453" t="s">
        <v>325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394</v>
      </c>
      <c r="B55" s="449"/>
      <c r="C55" s="297" t="s">
        <v>230</v>
      </c>
      <c r="D55" s="297" t="s">
        <v>402</v>
      </c>
      <c r="E55" s="298" t="s">
        <v>395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301"/>
      <c r="O55" s="295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297"/>
      <c r="D56" s="297"/>
      <c r="E56" s="298"/>
      <c r="F56" s="450"/>
      <c r="G56" s="451"/>
      <c r="H56" s="451"/>
      <c r="I56" s="451"/>
      <c r="J56" s="451"/>
      <c r="K56" s="451"/>
      <c r="L56" s="451"/>
      <c r="M56" s="452"/>
      <c r="N56" s="301"/>
      <c r="O56" s="295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297"/>
      <c r="D57" s="297"/>
      <c r="E57" s="298"/>
      <c r="F57" s="450"/>
      <c r="G57" s="451"/>
      <c r="H57" s="451"/>
      <c r="I57" s="451"/>
      <c r="J57" s="451"/>
      <c r="K57" s="451"/>
      <c r="L57" s="451"/>
      <c r="M57" s="452"/>
      <c r="N57" s="301"/>
      <c r="O57" s="295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297"/>
      <c r="D58" s="297"/>
      <c r="E58" s="298"/>
      <c r="F58" s="450"/>
      <c r="G58" s="451"/>
      <c r="H58" s="451"/>
      <c r="I58" s="451"/>
      <c r="J58" s="451"/>
      <c r="K58" s="451"/>
      <c r="L58" s="451"/>
      <c r="M58" s="452"/>
      <c r="N58" s="301"/>
      <c r="O58" s="295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298"/>
      <c r="D59" s="298"/>
      <c r="E59" s="298"/>
      <c r="F59" s="450"/>
      <c r="G59" s="451"/>
      <c r="H59" s="451"/>
      <c r="I59" s="451"/>
      <c r="J59" s="451"/>
      <c r="K59" s="451"/>
      <c r="L59" s="451"/>
      <c r="M59" s="452"/>
      <c r="N59" s="301"/>
      <c r="O59" s="295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297"/>
      <c r="D60" s="297"/>
      <c r="E60" s="298"/>
      <c r="F60" s="450"/>
      <c r="G60" s="451"/>
      <c r="H60" s="451"/>
      <c r="I60" s="451"/>
      <c r="J60" s="451"/>
      <c r="K60" s="451"/>
      <c r="L60" s="451"/>
      <c r="M60" s="452"/>
      <c r="N60" s="301"/>
      <c r="O60" s="295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299"/>
      <c r="D61" s="300"/>
      <c r="E61" s="300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406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296" t="s">
        <v>2</v>
      </c>
      <c r="D63" s="296" t="s">
        <v>37</v>
      </c>
      <c r="E63" s="296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296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291"/>
      <c r="E64" s="294" t="s">
        <v>307</v>
      </c>
      <c r="F64" s="477" t="s">
        <v>304</v>
      </c>
      <c r="G64" s="478"/>
      <c r="H64" s="478"/>
      <c r="I64" s="478"/>
      <c r="J64" s="479"/>
      <c r="K64" s="480" t="s">
        <v>144</v>
      </c>
      <c r="L64" s="480"/>
      <c r="M64" s="51" t="s">
        <v>137</v>
      </c>
      <c r="N64" s="481" t="s">
        <v>241</v>
      </c>
      <c r="O64" s="481"/>
      <c r="P64" s="482">
        <v>30</v>
      </c>
      <c r="Q64" s="482"/>
      <c r="R64" s="456" t="s">
        <v>407</v>
      </c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/>
      <c r="D65" s="291"/>
      <c r="E65" s="294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291"/>
      <c r="E66" s="294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291"/>
      <c r="E67" s="294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291"/>
      <c r="E68" s="294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291"/>
      <c r="E69" s="294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291"/>
      <c r="E70" s="294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291"/>
      <c r="E71" s="294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291"/>
      <c r="E72" s="294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291"/>
      <c r="E73" s="294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408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293" t="s">
        <v>2</v>
      </c>
      <c r="D75" s="293" t="s">
        <v>37</v>
      </c>
      <c r="E75" s="293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292" t="s">
        <v>112</v>
      </c>
      <c r="D76" s="292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291"/>
      <c r="D77" s="291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291"/>
      <c r="D78" s="291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291"/>
      <c r="D79" s="291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291"/>
      <c r="D80" s="291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291"/>
      <c r="D81" s="291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291"/>
      <c r="D82" s="291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409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1ABE-5AC2-4CDA-9633-8848CE99EC31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410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04" t="s">
        <v>17</v>
      </c>
      <c r="L5" s="304" t="s">
        <v>18</v>
      </c>
      <c r="M5" s="304" t="s">
        <v>19</v>
      </c>
      <c r="N5" s="30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0.22395833333333331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200000</v>
      </c>
      <c r="J7" s="14">
        <v>1633</v>
      </c>
      <c r="K7" s="15">
        <f>L7</f>
        <v>1633</v>
      </c>
      <c r="L7" s="15">
        <f>1633</f>
        <v>1633</v>
      </c>
      <c r="M7" s="15">
        <f t="shared" si="0"/>
        <v>1633</v>
      </c>
      <c r="N7" s="15">
        <v>0</v>
      </c>
      <c r="O7" s="58">
        <f t="shared" si="1"/>
        <v>0</v>
      </c>
      <c r="P7" s="39">
        <f t="shared" si="2"/>
        <v>8</v>
      </c>
      <c r="Q7" s="40">
        <f t="shared" si="3"/>
        <v>16</v>
      </c>
      <c r="R7" s="7"/>
      <c r="S7" s="6"/>
      <c r="T7" s="16">
        <v>4</v>
      </c>
      <c r="U7" s="16"/>
      <c r="V7" s="17">
        <v>12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0.33333333333333331</v>
      </c>
      <c r="AD7" s="10">
        <f t="shared" si="6"/>
        <v>0.33333333333333331</v>
      </c>
      <c r="AE7" s="36">
        <f t="shared" si="7"/>
        <v>0.22395833333333331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2416</v>
      </c>
      <c r="K8" s="15">
        <f>L8</f>
        <v>2416</v>
      </c>
      <c r="L8" s="15">
        <f>1208*2</f>
        <v>2416</v>
      </c>
      <c r="M8" s="15">
        <f t="shared" si="0"/>
        <v>2416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/>
      <c r="T8" s="16">
        <v>4</v>
      </c>
      <c r="U8" s="16"/>
      <c r="V8" s="17">
        <v>12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0.22395833333333331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25000</v>
      </c>
      <c r="J9" s="14">
        <v>2818</v>
      </c>
      <c r="K9" s="15">
        <f>L9+1344+2695</f>
        <v>6857</v>
      </c>
      <c r="L9" s="15">
        <f>2818</f>
        <v>2818</v>
      </c>
      <c r="M9" s="15">
        <f t="shared" si="0"/>
        <v>2818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/>
      <c r="T9" s="16"/>
      <c r="U9" s="16"/>
      <c r="V9" s="17">
        <v>12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0.22395833333333331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0.22395833333333331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10959</v>
      </c>
      <c r="K11" s="15">
        <f>L11+7995</f>
        <v>18954</v>
      </c>
      <c r="L11" s="15">
        <f>3653*3</f>
        <v>10959</v>
      </c>
      <c r="M11" s="15">
        <f t="shared" si="0"/>
        <v>10959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/>
      <c r="T11" s="16"/>
      <c r="U11" s="16"/>
      <c r="V11" s="17">
        <v>12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0.22395833333333331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/>
      <c r="E12" s="53" t="s">
        <v>332</v>
      </c>
      <c r="F12" s="30" t="s">
        <v>138</v>
      </c>
      <c r="G12" s="12">
        <v>1</v>
      </c>
      <c r="H12" s="13">
        <v>22</v>
      </c>
      <c r="I12" s="31">
        <v>500</v>
      </c>
      <c r="J12" s="5">
        <v>680</v>
      </c>
      <c r="K12" s="15">
        <f>L12+680</f>
        <v>680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/>
      <c r="W12" s="5">
        <v>24</v>
      </c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0.22395833333333331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168</v>
      </c>
      <c r="E13" s="53" t="s">
        <v>411</v>
      </c>
      <c r="F13" s="30" t="s">
        <v>127</v>
      </c>
      <c r="G13" s="33">
        <v>4</v>
      </c>
      <c r="H13" s="35">
        <v>24</v>
      </c>
      <c r="I13" s="7">
        <v>40000</v>
      </c>
      <c r="J13" s="14">
        <v>3300</v>
      </c>
      <c r="K13" s="15">
        <f>L13</f>
        <v>3300</v>
      </c>
      <c r="L13" s="15">
        <f>825*4</f>
        <v>3300</v>
      </c>
      <c r="M13" s="15">
        <f t="shared" si="0"/>
        <v>3300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>
        <v>6</v>
      </c>
      <c r="U13" s="16"/>
      <c r="V13" s="17">
        <v>12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6">
        <f t="shared" si="7"/>
        <v>0.22395833333333331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330</v>
      </c>
      <c r="F14" s="30" t="s">
        <v>206</v>
      </c>
      <c r="G14" s="33">
        <v>1</v>
      </c>
      <c r="H14" s="35">
        <v>50</v>
      </c>
      <c r="I14" s="7">
        <v>200</v>
      </c>
      <c r="J14" s="5">
        <v>275</v>
      </c>
      <c r="K14" s="15">
        <f>L14+275</f>
        <v>275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0.22395833333333331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0.22395833333333331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100000</v>
      </c>
      <c r="J16" s="14">
        <v>9536</v>
      </c>
      <c r="K16" s="15">
        <f>L16+3140+8796</f>
        <v>21472</v>
      </c>
      <c r="L16" s="15">
        <f>4768*2</f>
        <v>9536</v>
      </c>
      <c r="M16" s="15">
        <f t="shared" si="0"/>
        <v>9536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/>
      <c r="T16" s="16"/>
      <c r="U16" s="16"/>
      <c r="V16" s="17">
        <v>12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0.22395833333333331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9918</v>
      </c>
      <c r="K17" s="15">
        <f>L17+1657</f>
        <v>11575</v>
      </c>
      <c r="L17" s="15">
        <f>3306*3</f>
        <v>9918</v>
      </c>
      <c r="M17" s="15">
        <f t="shared" si="0"/>
        <v>9918</v>
      </c>
      <c r="N17" s="15">
        <v>0</v>
      </c>
      <c r="O17" s="58">
        <f t="shared" si="1"/>
        <v>0</v>
      </c>
      <c r="P17" s="39">
        <f t="shared" si="2"/>
        <v>12</v>
      </c>
      <c r="Q17" s="40">
        <f t="shared" si="3"/>
        <v>12</v>
      </c>
      <c r="R17" s="7"/>
      <c r="S17" s="6"/>
      <c r="T17" s="16"/>
      <c r="U17" s="16"/>
      <c r="V17" s="17">
        <v>12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0.5</v>
      </c>
      <c r="AD17" s="10">
        <f t="shared" si="6"/>
        <v>0.5</v>
      </c>
      <c r="AE17" s="36">
        <f t="shared" si="7"/>
        <v>0.22395833333333331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345</v>
      </c>
      <c r="F18" s="30" t="s">
        <v>154</v>
      </c>
      <c r="G18" s="33">
        <v>1</v>
      </c>
      <c r="H18" s="35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0.22395833333333331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168</v>
      </c>
      <c r="E19" s="53" t="s">
        <v>375</v>
      </c>
      <c r="F19" s="30" t="s">
        <v>206</v>
      </c>
      <c r="G19" s="33">
        <v>1</v>
      </c>
      <c r="H19" s="35">
        <v>24</v>
      </c>
      <c r="I19" s="7">
        <v>300</v>
      </c>
      <c r="J19" s="14">
        <v>842</v>
      </c>
      <c r="K19" s="15">
        <f>L19+842</f>
        <v>842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0.22395833333333331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200000</v>
      </c>
      <c r="J20" s="14">
        <v>582</v>
      </c>
      <c r="K20" s="15">
        <f>L20</f>
        <v>582</v>
      </c>
      <c r="L20" s="15">
        <v>582</v>
      </c>
      <c r="M20" s="15">
        <f t="shared" si="0"/>
        <v>582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>
        <v>8</v>
      </c>
      <c r="U20" s="16"/>
      <c r="V20" s="17">
        <v>12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0.22395833333333331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1000000</v>
      </c>
      <c r="J21" s="14">
        <v>34460</v>
      </c>
      <c r="K21" s="15">
        <f>L21+63388+69392+28968+33256</f>
        <v>229464</v>
      </c>
      <c r="L21" s="15">
        <f>8615*4</f>
        <v>34460</v>
      </c>
      <c r="M21" s="15">
        <f t="shared" si="0"/>
        <v>34460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0.22395833333333331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1790500</v>
      </c>
      <c r="J22" s="19">
        <f t="shared" si="9"/>
        <v>118116</v>
      </c>
      <c r="K22" s="20">
        <f t="shared" si="9"/>
        <v>504983</v>
      </c>
      <c r="L22" s="21">
        <f t="shared" si="9"/>
        <v>75622</v>
      </c>
      <c r="M22" s="20">
        <f t="shared" si="9"/>
        <v>75622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86</v>
      </c>
      <c r="Q22" s="43">
        <f t="shared" si="10"/>
        <v>298</v>
      </c>
      <c r="R22" s="23">
        <f t="shared" si="10"/>
        <v>0</v>
      </c>
      <c r="S22" s="24">
        <f t="shared" si="10"/>
        <v>0</v>
      </c>
      <c r="T22" s="24">
        <f t="shared" si="10"/>
        <v>22</v>
      </c>
      <c r="U22" s="24">
        <f t="shared" si="10"/>
        <v>0</v>
      </c>
      <c r="V22" s="25">
        <f t="shared" si="10"/>
        <v>132</v>
      </c>
      <c r="W22" s="26">
        <f t="shared" si="10"/>
        <v>144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0.5625</v>
      </c>
      <c r="AC22" s="4">
        <f>AVERAGE(AC6:AC21)</f>
        <v>0.22395833333333331</v>
      </c>
      <c r="AD22" s="4">
        <f>AVERAGE(AD6:AD21)</f>
        <v>0.22395833333333331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412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415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05" t="s">
        <v>46</v>
      </c>
      <c r="D51" s="305" t="s">
        <v>47</v>
      </c>
      <c r="E51" s="305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05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112</v>
      </c>
      <c r="B52" s="449"/>
      <c r="C52" s="306" t="s">
        <v>129</v>
      </c>
      <c r="D52" s="306" t="s">
        <v>413</v>
      </c>
      <c r="E52" s="308" t="s">
        <v>325</v>
      </c>
      <c r="F52" s="450" t="s">
        <v>130</v>
      </c>
      <c r="G52" s="451"/>
      <c r="H52" s="451"/>
      <c r="I52" s="451"/>
      <c r="J52" s="451"/>
      <c r="K52" s="451"/>
      <c r="L52" s="451"/>
      <c r="M52" s="452"/>
      <c r="N52" s="307" t="s">
        <v>118</v>
      </c>
      <c r="O52" s="313" t="s">
        <v>289</v>
      </c>
      <c r="P52" s="453" t="s">
        <v>115</v>
      </c>
      <c r="Q52" s="454"/>
      <c r="R52" s="453" t="s">
        <v>146</v>
      </c>
      <c r="S52" s="455"/>
      <c r="T52" s="455"/>
      <c r="U52" s="454"/>
      <c r="V52" s="456" t="s">
        <v>130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119</v>
      </c>
      <c r="B53" s="449"/>
      <c r="C53" s="306" t="s">
        <v>139</v>
      </c>
      <c r="D53" s="306" t="s">
        <v>405</v>
      </c>
      <c r="E53" s="308" t="s">
        <v>404</v>
      </c>
      <c r="F53" s="450" t="s">
        <v>130</v>
      </c>
      <c r="G53" s="451"/>
      <c r="H53" s="451"/>
      <c r="I53" s="451"/>
      <c r="J53" s="451"/>
      <c r="K53" s="451"/>
      <c r="L53" s="451"/>
      <c r="M53" s="452"/>
      <c r="N53" s="307" t="s">
        <v>112</v>
      </c>
      <c r="O53" s="313" t="s">
        <v>241</v>
      </c>
      <c r="P53" s="453" t="s">
        <v>307</v>
      </c>
      <c r="Q53" s="454"/>
      <c r="R53" s="453" t="s">
        <v>304</v>
      </c>
      <c r="S53" s="455"/>
      <c r="T53" s="455"/>
      <c r="U53" s="454"/>
      <c r="V53" s="456" t="s">
        <v>195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119</v>
      </c>
      <c r="B54" s="449"/>
      <c r="C54" s="306" t="s">
        <v>135</v>
      </c>
      <c r="D54" s="306" t="s">
        <v>217</v>
      </c>
      <c r="E54" s="308" t="s">
        <v>411</v>
      </c>
      <c r="F54" s="450" t="s">
        <v>130</v>
      </c>
      <c r="G54" s="451"/>
      <c r="H54" s="451"/>
      <c r="I54" s="451"/>
      <c r="J54" s="451"/>
      <c r="K54" s="451"/>
      <c r="L54" s="451"/>
      <c r="M54" s="452"/>
      <c r="N54" s="307" t="s">
        <v>112</v>
      </c>
      <c r="O54" s="313" t="s">
        <v>134</v>
      </c>
      <c r="P54" s="453" t="s">
        <v>115</v>
      </c>
      <c r="Q54" s="454"/>
      <c r="R54" s="453" t="s">
        <v>416</v>
      </c>
      <c r="S54" s="455"/>
      <c r="T54" s="455"/>
      <c r="U54" s="454"/>
      <c r="V54" s="456" t="s">
        <v>195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112</v>
      </c>
      <c r="B55" s="449"/>
      <c r="C55" s="306" t="s">
        <v>143</v>
      </c>
      <c r="D55" s="306" t="s">
        <v>115</v>
      </c>
      <c r="E55" s="308" t="s">
        <v>288</v>
      </c>
      <c r="F55" s="450" t="s">
        <v>414</v>
      </c>
      <c r="G55" s="451"/>
      <c r="H55" s="451"/>
      <c r="I55" s="451"/>
      <c r="J55" s="451"/>
      <c r="K55" s="451"/>
      <c r="L55" s="451"/>
      <c r="M55" s="452"/>
      <c r="N55" s="307"/>
      <c r="O55" s="313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306"/>
      <c r="D56" s="306"/>
      <c r="E56" s="308"/>
      <c r="F56" s="450"/>
      <c r="G56" s="451"/>
      <c r="H56" s="451"/>
      <c r="I56" s="451"/>
      <c r="J56" s="451"/>
      <c r="K56" s="451"/>
      <c r="L56" s="451"/>
      <c r="M56" s="452"/>
      <c r="N56" s="307"/>
      <c r="O56" s="313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306"/>
      <c r="D57" s="306"/>
      <c r="E57" s="308"/>
      <c r="F57" s="450"/>
      <c r="G57" s="451"/>
      <c r="H57" s="451"/>
      <c r="I57" s="451"/>
      <c r="J57" s="451"/>
      <c r="K57" s="451"/>
      <c r="L57" s="451"/>
      <c r="M57" s="452"/>
      <c r="N57" s="307"/>
      <c r="O57" s="313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306"/>
      <c r="D58" s="306"/>
      <c r="E58" s="308"/>
      <c r="F58" s="450"/>
      <c r="G58" s="451"/>
      <c r="H58" s="451"/>
      <c r="I58" s="451"/>
      <c r="J58" s="451"/>
      <c r="K58" s="451"/>
      <c r="L58" s="451"/>
      <c r="M58" s="452"/>
      <c r="N58" s="307"/>
      <c r="O58" s="313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08"/>
      <c r="D59" s="308"/>
      <c r="E59" s="308"/>
      <c r="F59" s="450"/>
      <c r="G59" s="451"/>
      <c r="H59" s="451"/>
      <c r="I59" s="451"/>
      <c r="J59" s="451"/>
      <c r="K59" s="451"/>
      <c r="L59" s="451"/>
      <c r="M59" s="452"/>
      <c r="N59" s="307"/>
      <c r="O59" s="313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06"/>
      <c r="D60" s="306"/>
      <c r="E60" s="308"/>
      <c r="F60" s="450"/>
      <c r="G60" s="451"/>
      <c r="H60" s="451"/>
      <c r="I60" s="451"/>
      <c r="J60" s="451"/>
      <c r="K60" s="451"/>
      <c r="L60" s="451"/>
      <c r="M60" s="452"/>
      <c r="N60" s="307"/>
      <c r="O60" s="313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09"/>
      <c r="D61" s="310"/>
      <c r="E61" s="310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417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11" t="s">
        <v>2</v>
      </c>
      <c r="D63" s="311" t="s">
        <v>37</v>
      </c>
      <c r="E63" s="311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11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315"/>
      <c r="E64" s="312" t="s">
        <v>307</v>
      </c>
      <c r="F64" s="477" t="s">
        <v>304</v>
      </c>
      <c r="G64" s="478"/>
      <c r="H64" s="478"/>
      <c r="I64" s="478"/>
      <c r="J64" s="479"/>
      <c r="K64" s="480" t="s">
        <v>144</v>
      </c>
      <c r="L64" s="480"/>
      <c r="M64" s="51" t="s">
        <v>137</v>
      </c>
      <c r="N64" s="481" t="s">
        <v>241</v>
      </c>
      <c r="O64" s="481"/>
      <c r="P64" s="482">
        <v>200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119</v>
      </c>
      <c r="D65" s="315"/>
      <c r="E65" s="312" t="s">
        <v>220</v>
      </c>
      <c r="F65" s="477" t="s">
        <v>418</v>
      </c>
      <c r="G65" s="478"/>
      <c r="H65" s="478"/>
      <c r="I65" s="478"/>
      <c r="J65" s="479"/>
      <c r="K65" s="480">
        <v>8301</v>
      </c>
      <c r="L65" s="480"/>
      <c r="M65" s="51" t="s">
        <v>419</v>
      </c>
      <c r="N65" s="481" t="s">
        <v>129</v>
      </c>
      <c r="O65" s="481"/>
      <c r="P65" s="482">
        <v>100</v>
      </c>
      <c r="Q65" s="482"/>
      <c r="R65" s="456" t="s">
        <v>420</v>
      </c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112</v>
      </c>
      <c r="D66" s="315"/>
      <c r="E66" s="312" t="s">
        <v>115</v>
      </c>
      <c r="F66" s="477" t="s">
        <v>416</v>
      </c>
      <c r="G66" s="478"/>
      <c r="H66" s="478"/>
      <c r="I66" s="478"/>
      <c r="J66" s="479"/>
      <c r="K66" s="480" t="s">
        <v>246</v>
      </c>
      <c r="L66" s="480"/>
      <c r="M66" s="51" t="s">
        <v>137</v>
      </c>
      <c r="N66" s="481" t="s">
        <v>134</v>
      </c>
      <c r="O66" s="481"/>
      <c r="P66" s="482">
        <v>50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315"/>
      <c r="E67" s="312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15"/>
      <c r="E68" s="312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15"/>
      <c r="E69" s="312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15"/>
      <c r="E70" s="312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15"/>
      <c r="E71" s="312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15"/>
      <c r="E72" s="312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15"/>
      <c r="E73" s="312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421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14" t="s">
        <v>2</v>
      </c>
      <c r="D75" s="314" t="s">
        <v>37</v>
      </c>
      <c r="E75" s="314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16" t="s">
        <v>112</v>
      </c>
      <c r="D76" s="316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15"/>
      <c r="D77" s="315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15"/>
      <c r="D78" s="315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15"/>
      <c r="D79" s="315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15"/>
      <c r="D80" s="315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15"/>
      <c r="D81" s="315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15"/>
      <c r="D82" s="315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422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E2E-4908-41B1-B563-761F8D6A2791}">
  <dimension ref="A1:AF87"/>
  <sheetViews>
    <sheetView view="pageBreakPreview" zoomScale="70" zoomScaleNormal="72" zoomScaleSheetLayoutView="70" workbookViewId="0">
      <selection activeCell="F56" sqref="F56:M5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423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29" t="s">
        <v>17</v>
      </c>
      <c r="L5" s="329" t="s">
        <v>18</v>
      </c>
      <c r="M5" s="329" t="s">
        <v>19</v>
      </c>
      <c r="N5" s="3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0.50520833333333326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200000</v>
      </c>
      <c r="J7" s="14">
        <v>5441</v>
      </c>
      <c r="K7" s="15">
        <f>L7+1633</f>
        <v>7074</v>
      </c>
      <c r="L7" s="15">
        <f>2794+2647</f>
        <v>5441</v>
      </c>
      <c r="M7" s="15">
        <f t="shared" si="0"/>
        <v>5441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0.50520833333333326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8858</v>
      </c>
      <c r="K8" s="15">
        <f>L8+2416</f>
        <v>11274</v>
      </c>
      <c r="L8" s="15">
        <f>2266*2+2163*2</f>
        <v>8858</v>
      </c>
      <c r="M8" s="15">
        <f t="shared" si="0"/>
        <v>8858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0.50520833333333326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1363</v>
      </c>
      <c r="K9" s="15">
        <f>L9+1344+2695+2818</f>
        <v>8220</v>
      </c>
      <c r="L9" s="15">
        <f>1363</f>
        <v>1363</v>
      </c>
      <c r="M9" s="15">
        <f t="shared" si="0"/>
        <v>1363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0.50520833333333326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0.50520833333333326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19650</v>
      </c>
      <c r="K11" s="15">
        <f>L11+7995+10959</f>
        <v>38604</v>
      </c>
      <c r="L11" s="15">
        <f>3469*3+3081*3</f>
        <v>19650</v>
      </c>
      <c r="M11" s="15">
        <f t="shared" si="0"/>
        <v>19650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0.50520833333333326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50000</v>
      </c>
      <c r="J12" s="5">
        <v>5135</v>
      </c>
      <c r="K12" s="15">
        <f>L12</f>
        <v>5135</v>
      </c>
      <c r="L12" s="15">
        <f>2430+2705</f>
        <v>5135</v>
      </c>
      <c r="M12" s="15">
        <f t="shared" si="0"/>
        <v>5135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0.50520833333333326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168</v>
      </c>
      <c r="E13" s="53" t="s">
        <v>411</v>
      </c>
      <c r="F13" s="30" t="s">
        <v>127</v>
      </c>
      <c r="G13" s="33">
        <v>4</v>
      </c>
      <c r="H13" s="35">
        <v>24</v>
      </c>
      <c r="I13" s="7">
        <v>40000</v>
      </c>
      <c r="J13" s="14">
        <v>22068</v>
      </c>
      <c r="K13" s="15">
        <f>L13+3300</f>
        <v>25368</v>
      </c>
      <c r="L13" s="15">
        <f>2905*4+2612*4</f>
        <v>22068</v>
      </c>
      <c r="M13" s="15">
        <f t="shared" si="0"/>
        <v>22068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0.50520833333333326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330</v>
      </c>
      <c r="F14" s="30" t="s">
        <v>206</v>
      </c>
      <c r="G14" s="33">
        <v>1</v>
      </c>
      <c r="H14" s="35">
        <v>50</v>
      </c>
      <c r="I14" s="7">
        <v>200</v>
      </c>
      <c r="J14" s="5">
        <v>275</v>
      </c>
      <c r="K14" s="15">
        <f>L14+275</f>
        <v>275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0.50520833333333326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0.50520833333333326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5660</v>
      </c>
      <c r="K16" s="15">
        <f>L16+3140+8796+9536</f>
        <v>27132</v>
      </c>
      <c r="L16" s="15">
        <f>2830*2</f>
        <v>5660</v>
      </c>
      <c r="M16" s="15">
        <f t="shared" si="0"/>
        <v>5660</v>
      </c>
      <c r="N16" s="15">
        <v>0</v>
      </c>
      <c r="O16" s="58">
        <f t="shared" si="1"/>
        <v>0</v>
      </c>
      <c r="P16" s="39">
        <f t="shared" si="2"/>
        <v>8</v>
      </c>
      <c r="Q16" s="40">
        <f t="shared" si="3"/>
        <v>16</v>
      </c>
      <c r="R16" s="7"/>
      <c r="S16" s="6">
        <v>16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0.33333333333333331</v>
      </c>
      <c r="AD16" s="10">
        <f t="shared" si="6"/>
        <v>0.33333333333333331</v>
      </c>
      <c r="AE16" s="36">
        <f t="shared" si="7"/>
        <v>0.50520833333333326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17475</v>
      </c>
      <c r="K17" s="15">
        <f>L17+1657+9918</f>
        <v>29050</v>
      </c>
      <c r="L17" s="15">
        <f>3043*3+2782*3</f>
        <v>17475</v>
      </c>
      <c r="M17" s="15">
        <f t="shared" si="0"/>
        <v>17475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0.50520833333333326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345</v>
      </c>
      <c r="F18" s="30" t="s">
        <v>154</v>
      </c>
      <c r="G18" s="33">
        <v>1</v>
      </c>
      <c r="H18" s="35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0.50520833333333326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168</v>
      </c>
      <c r="E19" s="53" t="s">
        <v>375</v>
      </c>
      <c r="F19" s="30" t="s">
        <v>206</v>
      </c>
      <c r="G19" s="33">
        <v>1</v>
      </c>
      <c r="H19" s="35">
        <v>24</v>
      </c>
      <c r="I19" s="7">
        <v>300</v>
      </c>
      <c r="J19" s="14">
        <v>842</v>
      </c>
      <c r="K19" s="15">
        <f>L19+842</f>
        <v>842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0.50520833333333326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200000</v>
      </c>
      <c r="J20" s="14">
        <v>5215</v>
      </c>
      <c r="K20" s="15">
        <f>L20+582</f>
        <v>5797</v>
      </c>
      <c r="L20" s="15">
        <f>2787+2428</f>
        <v>5215</v>
      </c>
      <c r="M20" s="15">
        <f t="shared" si="0"/>
        <v>5215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0.50520833333333326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34384</v>
      </c>
      <c r="K21" s="15">
        <f>L21+63388+69392+28968+33256+34460</f>
        <v>263848</v>
      </c>
      <c r="L21" s="15">
        <f>8596*4</f>
        <v>34384</v>
      </c>
      <c r="M21" s="15">
        <f t="shared" si="0"/>
        <v>34384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0.50520833333333326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2930000</v>
      </c>
      <c r="J22" s="19">
        <f t="shared" si="9"/>
        <v>167063</v>
      </c>
      <c r="K22" s="20">
        <f t="shared" si="9"/>
        <v>629552</v>
      </c>
      <c r="L22" s="21">
        <f t="shared" si="9"/>
        <v>125249</v>
      </c>
      <c r="M22" s="20">
        <f t="shared" si="9"/>
        <v>125249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194</v>
      </c>
      <c r="Q22" s="43">
        <f t="shared" si="10"/>
        <v>190</v>
      </c>
      <c r="R22" s="23">
        <f t="shared" si="10"/>
        <v>0</v>
      </c>
      <c r="S22" s="24">
        <f t="shared" si="10"/>
        <v>34</v>
      </c>
      <c r="T22" s="24">
        <f t="shared" si="10"/>
        <v>0</v>
      </c>
      <c r="U22" s="24">
        <f t="shared" si="10"/>
        <v>0</v>
      </c>
      <c r="V22" s="25">
        <f t="shared" si="10"/>
        <v>36</v>
      </c>
      <c r="W22" s="26">
        <f t="shared" si="10"/>
        <v>120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0.625</v>
      </c>
      <c r="AC22" s="4">
        <f>AVERAGE(AC6:AC21)</f>
        <v>0.50520833333333326</v>
      </c>
      <c r="AD22" s="4">
        <f>AVERAGE(AD6:AD21)</f>
        <v>0.50520833333333326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424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425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28" t="s">
        <v>46</v>
      </c>
      <c r="D51" s="328" t="s">
        <v>47</v>
      </c>
      <c r="E51" s="328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28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323" t="s">
        <v>254</v>
      </c>
      <c r="D52" s="323" t="s">
        <v>217</v>
      </c>
      <c r="E52" s="324" t="s">
        <v>252</v>
      </c>
      <c r="F52" s="450" t="s">
        <v>268</v>
      </c>
      <c r="G52" s="451"/>
      <c r="H52" s="451"/>
      <c r="I52" s="451"/>
      <c r="J52" s="451"/>
      <c r="K52" s="451"/>
      <c r="L52" s="451"/>
      <c r="M52" s="452"/>
      <c r="N52" s="327" t="s">
        <v>118</v>
      </c>
      <c r="O52" s="321" t="s">
        <v>254</v>
      </c>
      <c r="P52" s="453" t="s">
        <v>217</v>
      </c>
      <c r="Q52" s="454"/>
      <c r="R52" s="453" t="s">
        <v>252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323" t="s">
        <v>289</v>
      </c>
      <c r="D53" s="323" t="s">
        <v>115</v>
      </c>
      <c r="E53" s="324" t="s">
        <v>146</v>
      </c>
      <c r="F53" s="450" t="s">
        <v>130</v>
      </c>
      <c r="G53" s="451"/>
      <c r="H53" s="451"/>
      <c r="I53" s="451"/>
      <c r="J53" s="451"/>
      <c r="K53" s="451"/>
      <c r="L53" s="451"/>
      <c r="M53" s="452"/>
      <c r="N53" s="327" t="s">
        <v>112</v>
      </c>
      <c r="O53" s="321" t="s">
        <v>241</v>
      </c>
      <c r="P53" s="453" t="s">
        <v>307</v>
      </c>
      <c r="Q53" s="454"/>
      <c r="R53" s="453" t="s">
        <v>304</v>
      </c>
      <c r="S53" s="455"/>
      <c r="T53" s="455"/>
      <c r="U53" s="454"/>
      <c r="V53" s="456" t="s">
        <v>195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118</v>
      </c>
      <c r="B54" s="449"/>
      <c r="C54" s="323" t="s">
        <v>179</v>
      </c>
      <c r="D54" s="323" t="s">
        <v>148</v>
      </c>
      <c r="E54" s="324" t="s">
        <v>175</v>
      </c>
      <c r="F54" s="450" t="s">
        <v>268</v>
      </c>
      <c r="G54" s="451"/>
      <c r="H54" s="451"/>
      <c r="I54" s="451"/>
      <c r="J54" s="451"/>
      <c r="K54" s="451"/>
      <c r="L54" s="451"/>
      <c r="M54" s="452"/>
      <c r="N54" s="327" t="s">
        <v>112</v>
      </c>
      <c r="O54" s="321" t="s">
        <v>134</v>
      </c>
      <c r="P54" s="453" t="s">
        <v>115</v>
      </c>
      <c r="Q54" s="454"/>
      <c r="R54" s="453" t="s">
        <v>416</v>
      </c>
      <c r="S54" s="455"/>
      <c r="T54" s="455"/>
      <c r="U54" s="454"/>
      <c r="V54" s="456" t="s">
        <v>195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323"/>
      <c r="D55" s="323"/>
      <c r="E55" s="324"/>
      <c r="F55" s="450"/>
      <c r="G55" s="451"/>
      <c r="H55" s="451"/>
      <c r="I55" s="451"/>
      <c r="J55" s="451"/>
      <c r="K55" s="451"/>
      <c r="L55" s="451"/>
      <c r="M55" s="452"/>
      <c r="N55" s="327" t="s">
        <v>364</v>
      </c>
      <c r="O55" s="321" t="s">
        <v>190</v>
      </c>
      <c r="P55" s="453" t="s">
        <v>115</v>
      </c>
      <c r="Q55" s="454"/>
      <c r="R55" s="453" t="s">
        <v>363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323"/>
      <c r="D56" s="323"/>
      <c r="E56" s="324"/>
      <c r="F56" s="450"/>
      <c r="G56" s="451"/>
      <c r="H56" s="451"/>
      <c r="I56" s="451"/>
      <c r="J56" s="451"/>
      <c r="K56" s="451"/>
      <c r="L56" s="451"/>
      <c r="M56" s="452"/>
      <c r="N56" s="327" t="s">
        <v>118</v>
      </c>
      <c r="O56" s="321" t="s">
        <v>179</v>
      </c>
      <c r="P56" s="453" t="s">
        <v>148</v>
      </c>
      <c r="Q56" s="454"/>
      <c r="R56" s="453" t="s">
        <v>175</v>
      </c>
      <c r="S56" s="455"/>
      <c r="T56" s="455"/>
      <c r="U56" s="454"/>
      <c r="V56" s="456" t="s">
        <v>126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323"/>
      <c r="D57" s="323"/>
      <c r="E57" s="324"/>
      <c r="F57" s="450"/>
      <c r="G57" s="451"/>
      <c r="H57" s="451"/>
      <c r="I57" s="451"/>
      <c r="J57" s="451"/>
      <c r="K57" s="451"/>
      <c r="L57" s="451"/>
      <c r="M57" s="452"/>
      <c r="N57" s="327" t="s">
        <v>121</v>
      </c>
      <c r="O57" s="321" t="s">
        <v>142</v>
      </c>
      <c r="P57" s="453"/>
      <c r="Q57" s="454"/>
      <c r="R57" s="453" t="s">
        <v>426</v>
      </c>
      <c r="S57" s="455"/>
      <c r="T57" s="455"/>
      <c r="U57" s="454"/>
      <c r="V57" s="456" t="s">
        <v>130</v>
      </c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323"/>
      <c r="D58" s="323"/>
      <c r="E58" s="324"/>
      <c r="F58" s="450"/>
      <c r="G58" s="451"/>
      <c r="H58" s="451"/>
      <c r="I58" s="451"/>
      <c r="J58" s="451"/>
      <c r="K58" s="451"/>
      <c r="L58" s="451"/>
      <c r="M58" s="452"/>
      <c r="N58" s="327"/>
      <c r="O58" s="321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24"/>
      <c r="D59" s="324"/>
      <c r="E59" s="324"/>
      <c r="F59" s="450"/>
      <c r="G59" s="451"/>
      <c r="H59" s="451"/>
      <c r="I59" s="451"/>
      <c r="J59" s="451"/>
      <c r="K59" s="451"/>
      <c r="L59" s="451"/>
      <c r="M59" s="452"/>
      <c r="N59" s="327"/>
      <c r="O59" s="321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23"/>
      <c r="D60" s="323"/>
      <c r="E60" s="324"/>
      <c r="F60" s="450"/>
      <c r="G60" s="451"/>
      <c r="H60" s="451"/>
      <c r="I60" s="451"/>
      <c r="J60" s="451"/>
      <c r="K60" s="451"/>
      <c r="L60" s="451"/>
      <c r="M60" s="452"/>
      <c r="N60" s="327"/>
      <c r="O60" s="321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25"/>
      <c r="D61" s="326"/>
      <c r="E61" s="326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427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22" t="s">
        <v>2</v>
      </c>
      <c r="D63" s="322" t="s">
        <v>37</v>
      </c>
      <c r="E63" s="322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22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317"/>
      <c r="E64" s="320" t="s">
        <v>429</v>
      </c>
      <c r="F64" s="477" t="s">
        <v>428</v>
      </c>
      <c r="G64" s="478"/>
      <c r="H64" s="478"/>
      <c r="I64" s="478"/>
      <c r="J64" s="479"/>
      <c r="K64" s="480" t="s">
        <v>246</v>
      </c>
      <c r="L64" s="480"/>
      <c r="M64" s="51" t="s">
        <v>240</v>
      </c>
      <c r="N64" s="481" t="s">
        <v>142</v>
      </c>
      <c r="O64" s="481"/>
      <c r="P64" s="482"/>
      <c r="Q64" s="482"/>
      <c r="R64" s="456" t="s">
        <v>430</v>
      </c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/>
      <c r="D65" s="317"/>
      <c r="E65" s="320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317"/>
      <c r="E66" s="320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317"/>
      <c r="E67" s="320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17"/>
      <c r="E68" s="320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17"/>
      <c r="E69" s="320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17"/>
      <c r="E70" s="320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17"/>
      <c r="E71" s="320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17"/>
      <c r="E72" s="320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17"/>
      <c r="E73" s="320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431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19" t="s">
        <v>2</v>
      </c>
      <c r="D75" s="319" t="s">
        <v>37</v>
      </c>
      <c r="E75" s="319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18" t="s">
        <v>112</v>
      </c>
      <c r="D76" s="318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17"/>
      <c r="D77" s="317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17"/>
      <c r="D78" s="317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17"/>
      <c r="D79" s="317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17"/>
      <c r="D80" s="317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17"/>
      <c r="D81" s="317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17"/>
      <c r="D82" s="317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432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D152-B240-4418-8DF1-620B462D8449}">
  <dimension ref="A1:AF87"/>
  <sheetViews>
    <sheetView view="pageBreakPreview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433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30" t="s">
        <v>17</v>
      </c>
      <c r="L5" s="330" t="s">
        <v>18</v>
      </c>
      <c r="M5" s="330" t="s">
        <v>19</v>
      </c>
      <c r="N5" s="33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0.65364583333333337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130000</v>
      </c>
      <c r="J7" s="14">
        <v>5677</v>
      </c>
      <c r="K7" s="15">
        <f>L7+1633+5441</f>
        <v>12751</v>
      </c>
      <c r="L7" s="15">
        <f>2878+2799</f>
        <v>5677</v>
      </c>
      <c r="M7" s="15">
        <f t="shared" si="0"/>
        <v>5677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0.65364583333333337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9242</v>
      </c>
      <c r="K8" s="15">
        <f>L8+2416+8858</f>
        <v>20516</v>
      </c>
      <c r="L8" s="15">
        <f>2355*2+2266*2</f>
        <v>9242</v>
      </c>
      <c r="M8" s="15">
        <f t="shared" si="0"/>
        <v>9242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0.65364583333333337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3398</v>
      </c>
      <c r="K9" s="15">
        <f>L9+1344+2695+2818+1363</f>
        <v>11618</v>
      </c>
      <c r="L9" s="15">
        <f>1331+2067</f>
        <v>3398</v>
      </c>
      <c r="M9" s="15">
        <f t="shared" si="0"/>
        <v>3398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0.65364583333333337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0.65364583333333337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21906</v>
      </c>
      <c r="K11" s="15">
        <f>L11+7995+10959+19650</f>
        <v>60510</v>
      </c>
      <c r="L11" s="15">
        <f>3676*3+3626*3</f>
        <v>21906</v>
      </c>
      <c r="M11" s="15">
        <f t="shared" si="0"/>
        <v>21906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0.65364583333333337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50000</v>
      </c>
      <c r="J12" s="5">
        <v>5549</v>
      </c>
      <c r="K12" s="15">
        <f>L12+5135</f>
        <v>10684</v>
      </c>
      <c r="L12" s="15">
        <f>2811+2738</f>
        <v>5549</v>
      </c>
      <c r="M12" s="15">
        <f t="shared" si="0"/>
        <v>5549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0.65364583333333337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168</v>
      </c>
      <c r="E13" s="53" t="s">
        <v>411</v>
      </c>
      <c r="F13" s="30" t="s">
        <v>127</v>
      </c>
      <c r="G13" s="33">
        <v>4</v>
      </c>
      <c r="H13" s="35">
        <v>24</v>
      </c>
      <c r="I13" s="7">
        <v>40000</v>
      </c>
      <c r="J13" s="14">
        <v>15216</v>
      </c>
      <c r="K13" s="15">
        <f>L13+3300+22068</f>
        <v>40584</v>
      </c>
      <c r="L13" s="15">
        <f>2911*4+893*4</f>
        <v>15216</v>
      </c>
      <c r="M13" s="15">
        <f t="shared" si="0"/>
        <v>15216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/>
      <c r="T13" s="16"/>
      <c r="U13" s="16"/>
      <c r="V13" s="17"/>
      <c r="W13" s="5">
        <v>4</v>
      </c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0.65364583333333337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330</v>
      </c>
      <c r="F14" s="30" t="s">
        <v>206</v>
      </c>
      <c r="G14" s="33">
        <v>1</v>
      </c>
      <c r="H14" s="35">
        <v>50</v>
      </c>
      <c r="I14" s="7">
        <v>200</v>
      </c>
      <c r="J14" s="5">
        <v>275</v>
      </c>
      <c r="K14" s="15">
        <f>L14+275</f>
        <v>275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0.65364583333333337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0.65364583333333337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12138</v>
      </c>
      <c r="K16" s="15">
        <f>L16+3140+8796+9536+5660</f>
        <v>39270</v>
      </c>
      <c r="L16" s="15">
        <f>1540*2+4529*2</f>
        <v>12138</v>
      </c>
      <c r="M16" s="15">
        <f t="shared" si="0"/>
        <v>12138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>
        <v>5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0.65364583333333337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18603</v>
      </c>
      <c r="K17" s="15">
        <f>L17+1657+9918+17475</f>
        <v>47653</v>
      </c>
      <c r="L17" s="15">
        <f>3150*3+3051*3</f>
        <v>18603</v>
      </c>
      <c r="M17" s="15">
        <f t="shared" si="0"/>
        <v>18603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0.65364583333333337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/>
      <c r="E18" s="53" t="s">
        <v>434</v>
      </c>
      <c r="F18" s="30" t="s">
        <v>435</v>
      </c>
      <c r="G18" s="33" t="s">
        <v>205</v>
      </c>
      <c r="H18" s="35">
        <v>24</v>
      </c>
      <c r="I18" s="7">
        <v>1200</v>
      </c>
      <c r="J18" s="14">
        <v>3150</v>
      </c>
      <c r="K18" s="15">
        <f>L18</f>
        <v>3150</v>
      </c>
      <c r="L18" s="15">
        <f>717+2433</f>
        <v>3150</v>
      </c>
      <c r="M18" s="15">
        <f t="shared" si="0"/>
        <v>3150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/>
      <c r="T18" s="16"/>
      <c r="U18" s="16"/>
      <c r="V18" s="17"/>
      <c r="W18" s="5">
        <v>6</v>
      </c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0.65364583333333337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416</v>
      </c>
      <c r="F19" s="30" t="s">
        <v>246</v>
      </c>
      <c r="G19" s="33">
        <v>1</v>
      </c>
      <c r="H19" s="35">
        <v>24</v>
      </c>
      <c r="I19" s="7">
        <v>300</v>
      </c>
      <c r="J19" s="14">
        <v>576</v>
      </c>
      <c r="K19" s="15">
        <f>L19</f>
        <v>576</v>
      </c>
      <c r="L19" s="15">
        <f>576</f>
        <v>576</v>
      </c>
      <c r="M19" s="15">
        <f t="shared" si="0"/>
        <v>576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/>
      <c r="T19" s="16"/>
      <c r="U19" s="16"/>
      <c r="V19" s="17">
        <v>8</v>
      </c>
      <c r="W19" s="5">
        <v>8</v>
      </c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0.65364583333333337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200000</v>
      </c>
      <c r="J20" s="14">
        <v>5575</v>
      </c>
      <c r="K20" s="15">
        <f>L20+582+5215</f>
        <v>11372</v>
      </c>
      <c r="L20" s="15">
        <f>2850+2725</f>
        <v>5575</v>
      </c>
      <c r="M20" s="15">
        <f t="shared" si="0"/>
        <v>5575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0.65364583333333337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70208</v>
      </c>
      <c r="K21" s="15">
        <f>L21+63388+69392+28968+33256+34460+34384</f>
        <v>334056</v>
      </c>
      <c r="L21" s="15">
        <f>8905*4+8647*4</f>
        <v>70208</v>
      </c>
      <c r="M21" s="15">
        <f t="shared" si="0"/>
        <v>70208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0.65364583333333337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2860700</v>
      </c>
      <c r="J22" s="19">
        <f t="shared" si="9"/>
        <v>211610</v>
      </c>
      <c r="K22" s="20">
        <f t="shared" si="9"/>
        <v>799348</v>
      </c>
      <c r="L22" s="21">
        <f t="shared" si="9"/>
        <v>171238</v>
      </c>
      <c r="M22" s="20">
        <f t="shared" si="9"/>
        <v>171238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251</v>
      </c>
      <c r="Q22" s="43">
        <f t="shared" si="10"/>
        <v>133</v>
      </c>
      <c r="R22" s="23">
        <f t="shared" si="10"/>
        <v>0</v>
      </c>
      <c r="S22" s="24">
        <f t="shared" si="10"/>
        <v>11</v>
      </c>
      <c r="T22" s="24">
        <f t="shared" si="10"/>
        <v>0</v>
      </c>
      <c r="U22" s="24">
        <f t="shared" si="10"/>
        <v>0</v>
      </c>
      <c r="V22" s="25">
        <f t="shared" si="10"/>
        <v>32</v>
      </c>
      <c r="W22" s="26">
        <f t="shared" si="10"/>
        <v>90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0.75</v>
      </c>
      <c r="AC22" s="4">
        <f>AVERAGE(AC6:AC21)</f>
        <v>0.65364583333333337</v>
      </c>
      <c r="AD22" s="4">
        <f>AVERAGE(AD6:AD21)</f>
        <v>0.65364583333333337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436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438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31" t="s">
        <v>46</v>
      </c>
      <c r="D51" s="331" t="s">
        <v>47</v>
      </c>
      <c r="E51" s="331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31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332" t="s">
        <v>254</v>
      </c>
      <c r="D52" s="332" t="s">
        <v>217</v>
      </c>
      <c r="E52" s="334" t="s">
        <v>252</v>
      </c>
      <c r="F52" s="450" t="s">
        <v>437</v>
      </c>
      <c r="G52" s="451"/>
      <c r="H52" s="451"/>
      <c r="I52" s="451"/>
      <c r="J52" s="451"/>
      <c r="K52" s="451"/>
      <c r="L52" s="451"/>
      <c r="M52" s="452"/>
      <c r="N52" s="333" t="s">
        <v>118</v>
      </c>
      <c r="O52" s="339" t="s">
        <v>254</v>
      </c>
      <c r="P52" s="453" t="s">
        <v>217</v>
      </c>
      <c r="Q52" s="454"/>
      <c r="R52" s="453" t="s">
        <v>252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332" t="s">
        <v>179</v>
      </c>
      <c r="D53" s="332" t="s">
        <v>148</v>
      </c>
      <c r="E53" s="334" t="s">
        <v>175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333" t="s">
        <v>118</v>
      </c>
      <c r="O53" s="339" t="s">
        <v>134</v>
      </c>
      <c r="P53" s="453" t="s">
        <v>429</v>
      </c>
      <c r="Q53" s="454"/>
      <c r="R53" s="453" t="s">
        <v>439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332" t="s">
        <v>134</v>
      </c>
      <c r="D54" s="332" t="s">
        <v>115</v>
      </c>
      <c r="E54" s="334" t="s">
        <v>416</v>
      </c>
      <c r="F54" s="450" t="s">
        <v>195</v>
      </c>
      <c r="G54" s="451"/>
      <c r="H54" s="451"/>
      <c r="I54" s="451"/>
      <c r="J54" s="451"/>
      <c r="K54" s="451"/>
      <c r="L54" s="451"/>
      <c r="M54" s="452"/>
      <c r="N54" s="333"/>
      <c r="O54" s="339"/>
      <c r="P54" s="453"/>
      <c r="Q54" s="454"/>
      <c r="R54" s="453"/>
      <c r="S54" s="455"/>
      <c r="T54" s="455"/>
      <c r="U54" s="454"/>
      <c r="V54" s="456"/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364</v>
      </c>
      <c r="B55" s="449"/>
      <c r="C55" s="332" t="s">
        <v>190</v>
      </c>
      <c r="D55" s="332" t="s">
        <v>115</v>
      </c>
      <c r="E55" s="334" t="s">
        <v>363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333"/>
      <c r="O55" s="339"/>
      <c r="P55" s="453"/>
      <c r="Q55" s="454"/>
      <c r="R55" s="453"/>
      <c r="S55" s="455"/>
      <c r="T55" s="455"/>
      <c r="U55" s="454"/>
      <c r="V55" s="456"/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121</v>
      </c>
      <c r="B56" s="449"/>
      <c r="C56" s="332" t="s">
        <v>142</v>
      </c>
      <c r="D56" s="332"/>
      <c r="E56" s="334" t="s">
        <v>426</v>
      </c>
      <c r="F56" s="450" t="s">
        <v>130</v>
      </c>
      <c r="G56" s="451"/>
      <c r="H56" s="451"/>
      <c r="I56" s="451"/>
      <c r="J56" s="451"/>
      <c r="K56" s="451"/>
      <c r="L56" s="451"/>
      <c r="M56" s="452"/>
      <c r="N56" s="333"/>
      <c r="O56" s="339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332"/>
      <c r="D57" s="332"/>
      <c r="E57" s="334"/>
      <c r="F57" s="450"/>
      <c r="G57" s="451"/>
      <c r="H57" s="451"/>
      <c r="I57" s="451"/>
      <c r="J57" s="451"/>
      <c r="K57" s="451"/>
      <c r="L57" s="451"/>
      <c r="M57" s="452"/>
      <c r="N57" s="333"/>
      <c r="O57" s="339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332"/>
      <c r="D58" s="332"/>
      <c r="E58" s="334"/>
      <c r="F58" s="450"/>
      <c r="G58" s="451"/>
      <c r="H58" s="451"/>
      <c r="I58" s="451"/>
      <c r="J58" s="451"/>
      <c r="K58" s="451"/>
      <c r="L58" s="451"/>
      <c r="M58" s="452"/>
      <c r="N58" s="333"/>
      <c r="O58" s="339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34"/>
      <c r="D59" s="334"/>
      <c r="E59" s="334"/>
      <c r="F59" s="450"/>
      <c r="G59" s="451"/>
      <c r="H59" s="451"/>
      <c r="I59" s="451"/>
      <c r="J59" s="451"/>
      <c r="K59" s="451"/>
      <c r="L59" s="451"/>
      <c r="M59" s="452"/>
      <c r="N59" s="333"/>
      <c r="O59" s="339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32"/>
      <c r="D60" s="332"/>
      <c r="E60" s="334"/>
      <c r="F60" s="450"/>
      <c r="G60" s="451"/>
      <c r="H60" s="451"/>
      <c r="I60" s="451"/>
      <c r="J60" s="451"/>
      <c r="K60" s="451"/>
      <c r="L60" s="451"/>
      <c r="M60" s="452"/>
      <c r="N60" s="333"/>
      <c r="O60" s="339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35"/>
      <c r="D61" s="336"/>
      <c r="E61" s="336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440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37" t="s">
        <v>2</v>
      </c>
      <c r="D63" s="337" t="s">
        <v>37</v>
      </c>
      <c r="E63" s="337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37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119</v>
      </c>
      <c r="D64" s="341"/>
      <c r="E64" s="338" t="s">
        <v>131</v>
      </c>
      <c r="F64" s="477" t="s">
        <v>390</v>
      </c>
      <c r="G64" s="478"/>
      <c r="H64" s="478"/>
      <c r="I64" s="478"/>
      <c r="J64" s="479"/>
      <c r="K64" s="480" t="s">
        <v>144</v>
      </c>
      <c r="L64" s="480"/>
      <c r="M64" s="51" t="s">
        <v>137</v>
      </c>
      <c r="N64" s="481" t="s">
        <v>269</v>
      </c>
      <c r="O64" s="481"/>
      <c r="P64" s="482">
        <v>200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121</v>
      </c>
      <c r="D65" s="341"/>
      <c r="E65" s="338"/>
      <c r="F65" s="477" t="s">
        <v>441</v>
      </c>
      <c r="G65" s="478"/>
      <c r="H65" s="478"/>
      <c r="I65" s="478"/>
      <c r="J65" s="479"/>
      <c r="K65" s="480" t="s">
        <v>136</v>
      </c>
      <c r="L65" s="480"/>
      <c r="M65" s="51" t="s">
        <v>137</v>
      </c>
      <c r="N65" s="481" t="s">
        <v>269</v>
      </c>
      <c r="O65" s="481"/>
      <c r="P65" s="482">
        <v>200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341"/>
      <c r="E66" s="338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341"/>
      <c r="E67" s="338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41"/>
      <c r="E68" s="338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41"/>
      <c r="E69" s="338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41"/>
      <c r="E70" s="338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41"/>
      <c r="E71" s="338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41"/>
      <c r="E72" s="338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41"/>
      <c r="E73" s="338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442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40" t="s">
        <v>2</v>
      </c>
      <c r="D75" s="340" t="s">
        <v>37</v>
      </c>
      <c r="E75" s="340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42" t="s">
        <v>112</v>
      </c>
      <c r="D76" s="342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41"/>
      <c r="D77" s="341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41"/>
      <c r="D78" s="341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41"/>
      <c r="D79" s="341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41"/>
      <c r="D80" s="341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41"/>
      <c r="D81" s="341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41"/>
      <c r="D82" s="341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443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8F9B-856C-41E7-9411-CF877EF7558E}"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444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55" t="s">
        <v>17</v>
      </c>
      <c r="L5" s="355" t="s">
        <v>18</v>
      </c>
      <c r="M5" s="355" t="s">
        <v>19</v>
      </c>
      <c r="N5" s="3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0.58072916666666663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130000</v>
      </c>
      <c r="J7" s="14">
        <v>5958</v>
      </c>
      <c r="K7" s="15">
        <f>L7+1633+5441+5677</f>
        <v>18709</v>
      </c>
      <c r="L7" s="15">
        <f>3243+2715</f>
        <v>5958</v>
      </c>
      <c r="M7" s="15">
        <f t="shared" si="0"/>
        <v>5958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0.58072916666666663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9102</v>
      </c>
      <c r="K8" s="15">
        <f>L8+2416+8858+9242</f>
        <v>29618</v>
      </c>
      <c r="L8" s="15">
        <f>2231*2+2320*2</f>
        <v>9102</v>
      </c>
      <c r="M8" s="15">
        <f t="shared" si="0"/>
        <v>9102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0.58072916666666663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4807</v>
      </c>
      <c r="K9" s="15">
        <f>L9+1344+2695+2818+1363+3398</f>
        <v>16425</v>
      </c>
      <c r="L9" s="15">
        <f>2974+1833</f>
        <v>4807</v>
      </c>
      <c r="M9" s="15">
        <f t="shared" si="0"/>
        <v>4807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0.58072916666666663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0.58072916666666663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22581</v>
      </c>
      <c r="K11" s="15">
        <f>L11+7995+10959+19650+21906</f>
        <v>83091</v>
      </c>
      <c r="L11" s="15">
        <f>4017*3+3510*3</f>
        <v>22581</v>
      </c>
      <c r="M11" s="15">
        <f t="shared" si="0"/>
        <v>22581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0.58072916666666663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50000</v>
      </c>
      <c r="J12" s="5">
        <v>5689</v>
      </c>
      <c r="K12" s="15">
        <f>L12+5135+5549</f>
        <v>16373</v>
      </c>
      <c r="L12" s="15">
        <f>2656+3033</f>
        <v>5689</v>
      </c>
      <c r="M12" s="15">
        <f t="shared" si="0"/>
        <v>5689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0.58072916666666663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168</v>
      </c>
      <c r="E13" s="53" t="s">
        <v>411</v>
      </c>
      <c r="F13" s="30" t="s">
        <v>127</v>
      </c>
      <c r="G13" s="33">
        <v>4</v>
      </c>
      <c r="H13" s="35">
        <v>24</v>
      </c>
      <c r="I13" s="7">
        <v>40000</v>
      </c>
      <c r="J13" s="14">
        <v>15216</v>
      </c>
      <c r="K13" s="15">
        <f>L13+3300+22068+15216</f>
        <v>40584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0.58072916666666663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330</v>
      </c>
      <c r="F14" s="30" t="s">
        <v>206</v>
      </c>
      <c r="G14" s="33">
        <v>1</v>
      </c>
      <c r="H14" s="35">
        <v>50</v>
      </c>
      <c r="I14" s="7">
        <v>200</v>
      </c>
      <c r="J14" s="5">
        <v>275</v>
      </c>
      <c r="K14" s="15">
        <f>L14+275</f>
        <v>275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0.58072916666666663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0.58072916666666663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18972</v>
      </c>
      <c r="K16" s="15">
        <f>L16+3140+8796+9536+5660+12138</f>
        <v>58242</v>
      </c>
      <c r="L16" s="15">
        <f>5097*2+4389*2</f>
        <v>18972</v>
      </c>
      <c r="M16" s="15">
        <f t="shared" si="0"/>
        <v>18972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0.58072916666666663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19137</v>
      </c>
      <c r="K17" s="15">
        <f>L17+1657+9918+17475+18603</f>
        <v>66790</v>
      </c>
      <c r="L17" s="15">
        <f>3416*3+2963*3</f>
        <v>19137</v>
      </c>
      <c r="M17" s="15">
        <f t="shared" si="0"/>
        <v>19137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0.58072916666666663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/>
      <c r="E18" s="53" t="s">
        <v>434</v>
      </c>
      <c r="F18" s="30" t="s">
        <v>435</v>
      </c>
      <c r="G18" s="33" t="s">
        <v>205</v>
      </c>
      <c r="H18" s="35">
        <v>24</v>
      </c>
      <c r="I18" s="7">
        <v>1200</v>
      </c>
      <c r="J18" s="14">
        <v>3150</v>
      </c>
      <c r="K18" s="15">
        <f>L18+3150</f>
        <v>3150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0.58072916666666663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429</v>
      </c>
      <c r="E19" s="53" t="s">
        <v>439</v>
      </c>
      <c r="F19" s="30" t="s">
        <v>127</v>
      </c>
      <c r="G19" s="33">
        <v>1</v>
      </c>
      <c r="H19" s="35">
        <v>24</v>
      </c>
      <c r="I19" s="7">
        <v>3000</v>
      </c>
      <c r="J19" s="14">
        <v>5613</v>
      </c>
      <c r="K19" s="15">
        <f>L19</f>
        <v>5613</v>
      </c>
      <c r="L19" s="15">
        <f>2296+3317</f>
        <v>5613</v>
      </c>
      <c r="M19" s="15">
        <f t="shared" si="0"/>
        <v>5613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0.58072916666666663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130000</v>
      </c>
      <c r="J20" s="14">
        <v>2206</v>
      </c>
      <c r="K20" s="15">
        <f>L20+582+5215+5575</f>
        <v>13578</v>
      </c>
      <c r="L20" s="15">
        <v>2206</v>
      </c>
      <c r="M20" s="15">
        <f t="shared" si="0"/>
        <v>2206</v>
      </c>
      <c r="N20" s="15">
        <v>0</v>
      </c>
      <c r="O20" s="58">
        <f t="shared" si="1"/>
        <v>0</v>
      </c>
      <c r="P20" s="39">
        <f t="shared" si="2"/>
        <v>11</v>
      </c>
      <c r="Q20" s="40">
        <f t="shared" si="3"/>
        <v>13</v>
      </c>
      <c r="R20" s="7"/>
      <c r="S20" s="6">
        <v>13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0.45833333333333331</v>
      </c>
      <c r="AD20" s="10">
        <f t="shared" si="6"/>
        <v>0.45833333333333331</v>
      </c>
      <c r="AE20" s="36">
        <f t="shared" si="7"/>
        <v>0.58072916666666663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69780</v>
      </c>
      <c r="K21" s="15">
        <f>L21+63388+69392+28968+33256+34460+34384+70208</f>
        <v>403836</v>
      </c>
      <c r="L21" s="15">
        <f>8383*4+9062*4</f>
        <v>69780</v>
      </c>
      <c r="M21" s="15">
        <f t="shared" si="0"/>
        <v>69780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0.58072916666666663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2793400</v>
      </c>
      <c r="J22" s="19">
        <f t="shared" si="9"/>
        <v>222583</v>
      </c>
      <c r="K22" s="20">
        <f t="shared" si="9"/>
        <v>962617</v>
      </c>
      <c r="L22" s="21">
        <f t="shared" si="9"/>
        <v>163845</v>
      </c>
      <c r="M22" s="20">
        <f t="shared" si="9"/>
        <v>163845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223</v>
      </c>
      <c r="Q22" s="43">
        <f t="shared" si="10"/>
        <v>161</v>
      </c>
      <c r="R22" s="23">
        <f t="shared" si="10"/>
        <v>0</v>
      </c>
      <c r="S22" s="24">
        <f t="shared" si="10"/>
        <v>16</v>
      </c>
      <c r="T22" s="24">
        <f t="shared" si="10"/>
        <v>1</v>
      </c>
      <c r="U22" s="24">
        <f t="shared" si="10"/>
        <v>0</v>
      </c>
      <c r="V22" s="25">
        <f t="shared" si="10"/>
        <v>24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0.625</v>
      </c>
      <c r="AC22" s="4">
        <f>AVERAGE(AC6:AC21)</f>
        <v>0.58072916666666663</v>
      </c>
      <c r="AD22" s="4">
        <f>AVERAGE(AD6:AD21)</f>
        <v>0.58072916666666663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445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447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54" t="s">
        <v>46</v>
      </c>
      <c r="D51" s="354" t="s">
        <v>47</v>
      </c>
      <c r="E51" s="354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54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349" t="s">
        <v>254</v>
      </c>
      <c r="D52" s="349" t="s">
        <v>217</v>
      </c>
      <c r="E52" s="350" t="s">
        <v>252</v>
      </c>
      <c r="F52" s="450" t="s">
        <v>126</v>
      </c>
      <c r="G52" s="451"/>
      <c r="H52" s="451"/>
      <c r="I52" s="451"/>
      <c r="J52" s="451"/>
      <c r="K52" s="451"/>
      <c r="L52" s="451"/>
      <c r="M52" s="452"/>
      <c r="N52" s="353" t="s">
        <v>112</v>
      </c>
      <c r="O52" s="347" t="s">
        <v>143</v>
      </c>
      <c r="P52" s="453" t="s">
        <v>115</v>
      </c>
      <c r="Q52" s="454"/>
      <c r="R52" s="453" t="s">
        <v>288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349" t="s">
        <v>134</v>
      </c>
      <c r="D53" s="349" t="s">
        <v>429</v>
      </c>
      <c r="E53" s="350" t="s">
        <v>439</v>
      </c>
      <c r="F53" s="450" t="s">
        <v>130</v>
      </c>
      <c r="G53" s="451"/>
      <c r="H53" s="451"/>
      <c r="I53" s="451"/>
      <c r="J53" s="451"/>
      <c r="K53" s="451"/>
      <c r="L53" s="451"/>
      <c r="M53" s="452"/>
      <c r="N53" s="353" t="s">
        <v>112</v>
      </c>
      <c r="O53" s="347" t="s">
        <v>135</v>
      </c>
      <c r="P53" s="453" t="s">
        <v>115</v>
      </c>
      <c r="Q53" s="454"/>
      <c r="R53" s="453" t="s">
        <v>446</v>
      </c>
      <c r="S53" s="455"/>
      <c r="T53" s="455"/>
      <c r="U53" s="454"/>
      <c r="V53" s="456" t="s">
        <v>130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349" t="s">
        <v>143</v>
      </c>
      <c r="D54" s="349" t="s">
        <v>115</v>
      </c>
      <c r="E54" s="350" t="s">
        <v>288</v>
      </c>
      <c r="F54" s="450" t="s">
        <v>249</v>
      </c>
      <c r="G54" s="451"/>
      <c r="H54" s="451"/>
      <c r="I54" s="451"/>
      <c r="J54" s="451"/>
      <c r="K54" s="451"/>
      <c r="L54" s="451"/>
      <c r="M54" s="452"/>
      <c r="N54" s="353" t="s">
        <v>112</v>
      </c>
      <c r="O54" s="347" t="s">
        <v>190</v>
      </c>
      <c r="P54" s="453" t="s">
        <v>115</v>
      </c>
      <c r="Q54" s="454"/>
      <c r="R54" s="453" t="s">
        <v>173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349"/>
      <c r="D55" s="349"/>
      <c r="E55" s="350"/>
      <c r="F55" s="450"/>
      <c r="G55" s="451"/>
      <c r="H55" s="451"/>
      <c r="I55" s="451"/>
      <c r="J55" s="451"/>
      <c r="K55" s="451"/>
      <c r="L55" s="451"/>
      <c r="M55" s="452"/>
      <c r="N55" s="353" t="s">
        <v>121</v>
      </c>
      <c r="O55" s="347" t="s">
        <v>269</v>
      </c>
      <c r="P55" s="453"/>
      <c r="Q55" s="454"/>
      <c r="R55" s="453" t="s">
        <v>441</v>
      </c>
      <c r="S55" s="455"/>
      <c r="T55" s="455"/>
      <c r="U55" s="454"/>
      <c r="V55" s="456" t="s">
        <v>195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349"/>
      <c r="D56" s="349"/>
      <c r="E56" s="350"/>
      <c r="F56" s="450"/>
      <c r="G56" s="451"/>
      <c r="H56" s="451"/>
      <c r="I56" s="451"/>
      <c r="J56" s="451"/>
      <c r="K56" s="451"/>
      <c r="L56" s="451"/>
      <c r="M56" s="452"/>
      <c r="N56" s="353"/>
      <c r="O56" s="347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349"/>
      <c r="D57" s="349"/>
      <c r="E57" s="350"/>
      <c r="F57" s="450"/>
      <c r="G57" s="451"/>
      <c r="H57" s="451"/>
      <c r="I57" s="451"/>
      <c r="J57" s="451"/>
      <c r="K57" s="451"/>
      <c r="L57" s="451"/>
      <c r="M57" s="452"/>
      <c r="N57" s="353"/>
      <c r="O57" s="347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349"/>
      <c r="D58" s="349"/>
      <c r="E58" s="350"/>
      <c r="F58" s="450"/>
      <c r="G58" s="451"/>
      <c r="H58" s="451"/>
      <c r="I58" s="451"/>
      <c r="J58" s="451"/>
      <c r="K58" s="451"/>
      <c r="L58" s="451"/>
      <c r="M58" s="452"/>
      <c r="N58" s="353"/>
      <c r="O58" s="347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50"/>
      <c r="D59" s="350"/>
      <c r="E59" s="350"/>
      <c r="F59" s="450"/>
      <c r="G59" s="451"/>
      <c r="H59" s="451"/>
      <c r="I59" s="451"/>
      <c r="J59" s="451"/>
      <c r="K59" s="451"/>
      <c r="L59" s="451"/>
      <c r="M59" s="452"/>
      <c r="N59" s="353"/>
      <c r="O59" s="347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49"/>
      <c r="D60" s="349"/>
      <c r="E60" s="350"/>
      <c r="F60" s="450"/>
      <c r="G60" s="451"/>
      <c r="H60" s="451"/>
      <c r="I60" s="451"/>
      <c r="J60" s="451"/>
      <c r="K60" s="451"/>
      <c r="L60" s="451"/>
      <c r="M60" s="452"/>
      <c r="N60" s="353"/>
      <c r="O60" s="347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51"/>
      <c r="D61" s="352"/>
      <c r="E61" s="352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448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48" t="s">
        <v>2</v>
      </c>
      <c r="D63" s="348" t="s">
        <v>37</v>
      </c>
      <c r="E63" s="348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48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343"/>
      <c r="E64" s="346" t="s">
        <v>115</v>
      </c>
      <c r="F64" s="477" t="s">
        <v>449</v>
      </c>
      <c r="G64" s="478"/>
      <c r="H64" s="478"/>
      <c r="I64" s="478"/>
      <c r="J64" s="479"/>
      <c r="K64" s="480" t="s">
        <v>141</v>
      </c>
      <c r="L64" s="480"/>
      <c r="M64" s="51" t="s">
        <v>240</v>
      </c>
      <c r="N64" s="481" t="s">
        <v>135</v>
      </c>
      <c r="O64" s="481"/>
      <c r="P64" s="482">
        <v>50</v>
      </c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/>
      <c r="D65" s="343"/>
      <c r="E65" s="346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343"/>
      <c r="E66" s="346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343"/>
      <c r="E67" s="346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43"/>
      <c r="E68" s="346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43"/>
      <c r="E69" s="346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43"/>
      <c r="E70" s="346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43"/>
      <c r="E71" s="346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43"/>
      <c r="E72" s="346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43"/>
      <c r="E73" s="346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450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45" t="s">
        <v>2</v>
      </c>
      <c r="D75" s="345" t="s">
        <v>37</v>
      </c>
      <c r="E75" s="345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44" t="s">
        <v>112</v>
      </c>
      <c r="D76" s="344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43"/>
      <c r="D77" s="343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43"/>
      <c r="D78" s="343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43"/>
      <c r="D79" s="343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43"/>
      <c r="D80" s="343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43"/>
      <c r="D81" s="343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43"/>
      <c r="D82" s="343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451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2A51-A123-4185-829F-D44EE667CBF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452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56" t="s">
        <v>17</v>
      </c>
      <c r="L5" s="356" t="s">
        <v>18</v>
      </c>
      <c r="M5" s="356" t="s">
        <v>19</v>
      </c>
      <c r="N5" s="35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0.50260416666666663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125</v>
      </c>
      <c r="E7" s="53" t="s">
        <v>325</v>
      </c>
      <c r="F7" s="12" t="s">
        <v>144</v>
      </c>
      <c r="G7" s="12">
        <v>1</v>
      </c>
      <c r="H7" s="13">
        <v>24</v>
      </c>
      <c r="I7" s="31">
        <v>130000</v>
      </c>
      <c r="J7" s="14">
        <v>5958</v>
      </c>
      <c r="K7" s="15">
        <f>L7+1633+5441+5677+5958</f>
        <v>18709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0.50260416666666663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9102</v>
      </c>
      <c r="K8" s="15">
        <f>L8+2416+8858+9242+9102</f>
        <v>29618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0.50260416666666663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5146</v>
      </c>
      <c r="K9" s="15">
        <f>L9+1344+2695+2818+1363+3398+4807</f>
        <v>21571</v>
      </c>
      <c r="L9" s="15">
        <f>2457+2689</f>
        <v>5146</v>
      </c>
      <c r="M9" s="15">
        <f t="shared" si="0"/>
        <v>5146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0.50260416666666663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140</v>
      </c>
      <c r="E10" s="53" t="s">
        <v>157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0.50260416666666663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394</v>
      </c>
      <c r="D11" s="52" t="s">
        <v>140</v>
      </c>
      <c r="E11" s="53" t="s">
        <v>395</v>
      </c>
      <c r="F11" s="30" t="s">
        <v>396</v>
      </c>
      <c r="G11" s="33">
        <v>3</v>
      </c>
      <c r="H11" s="35">
        <v>24</v>
      </c>
      <c r="I11" s="7">
        <v>20000</v>
      </c>
      <c r="J11" s="14">
        <v>18921</v>
      </c>
      <c r="K11" s="15">
        <f>L11+7995+10959+19650+21906+22581</f>
        <v>102012</v>
      </c>
      <c r="L11" s="15">
        <f>3100*3+3207*3</f>
        <v>18921</v>
      </c>
      <c r="M11" s="15">
        <f t="shared" si="0"/>
        <v>18921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0.50260416666666663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50000</v>
      </c>
      <c r="J12" s="5">
        <v>5232</v>
      </c>
      <c r="K12" s="15">
        <f>L12+5135+5549+5689</f>
        <v>21605</v>
      </c>
      <c r="L12" s="15">
        <f>2769+2463</f>
        <v>5232</v>
      </c>
      <c r="M12" s="15">
        <f t="shared" si="0"/>
        <v>5232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0.50260416666666663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446</v>
      </c>
      <c r="F13" s="30" t="s">
        <v>246</v>
      </c>
      <c r="G13" s="33">
        <v>1</v>
      </c>
      <c r="H13" s="35">
        <v>24</v>
      </c>
      <c r="I13" s="7">
        <v>65000</v>
      </c>
      <c r="J13" s="14">
        <v>4842</v>
      </c>
      <c r="K13" s="15">
        <f>L13</f>
        <v>4842</v>
      </c>
      <c r="L13" s="15">
        <f>2386+2456</f>
        <v>4842</v>
      </c>
      <c r="M13" s="15">
        <f t="shared" si="0"/>
        <v>4842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0.50260416666666663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700</v>
      </c>
      <c r="J14" s="5">
        <v>926</v>
      </c>
      <c r="K14" s="15">
        <f>L14</f>
        <v>926</v>
      </c>
      <c r="L14" s="15">
        <v>926</v>
      </c>
      <c r="M14" s="15">
        <f t="shared" si="0"/>
        <v>926</v>
      </c>
      <c r="N14" s="15">
        <v>0</v>
      </c>
      <c r="O14" s="58">
        <f t="shared" si="1"/>
        <v>0</v>
      </c>
      <c r="P14" s="39">
        <f t="shared" si="2"/>
        <v>11</v>
      </c>
      <c r="Q14" s="40">
        <f t="shared" si="3"/>
        <v>13</v>
      </c>
      <c r="R14" s="7"/>
      <c r="S14" s="6"/>
      <c r="T14" s="16"/>
      <c r="U14" s="16"/>
      <c r="V14" s="17"/>
      <c r="W14" s="5">
        <v>13</v>
      </c>
      <c r="X14" s="16"/>
      <c r="Y14" s="16"/>
      <c r="Z14" s="16"/>
      <c r="AA14" s="18"/>
      <c r="AB14" s="8">
        <f t="shared" si="4"/>
        <v>1</v>
      </c>
      <c r="AC14" s="9">
        <f t="shared" si="5"/>
        <v>0.45833333333333331</v>
      </c>
      <c r="AD14" s="10">
        <f t="shared" si="6"/>
        <v>0.45833333333333331</v>
      </c>
      <c r="AE14" s="36">
        <f t="shared" si="7"/>
        <v>0.50260416666666663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/>
      <c r="E15" s="53" t="s">
        <v>263</v>
      </c>
      <c r="F15" s="12" t="s">
        <v>264</v>
      </c>
      <c r="G15" s="12">
        <v>5</v>
      </c>
      <c r="H15" s="13">
        <v>24</v>
      </c>
      <c r="I15" s="31">
        <v>100000</v>
      </c>
      <c r="J15" s="14">
        <v>31820</v>
      </c>
      <c r="K15" s="15">
        <f>L15+19700+34515+36330+34975+31820</f>
        <v>157340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0.50260416666666663</v>
      </c>
      <c r="AF15" s="84">
        <f t="shared" si="8"/>
        <v>10</v>
      </c>
    </row>
    <row r="16" spans="1:32" ht="30" customHeight="1">
      <c r="A16" s="112">
        <v>11</v>
      </c>
      <c r="B16" s="11" t="s">
        <v>374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18052</v>
      </c>
      <c r="K16" s="15">
        <f>L16+3140+8796+9536+5660+12138+18972</f>
        <v>76294</v>
      </c>
      <c r="L16" s="15">
        <f>4247*2+4779*2</f>
        <v>18052</v>
      </c>
      <c r="M16" s="15">
        <f t="shared" si="0"/>
        <v>18052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0.50260416666666663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17427</v>
      </c>
      <c r="K17" s="15">
        <f>L17+1657+9918+17475+18603+19137</f>
        <v>84217</v>
      </c>
      <c r="L17" s="15">
        <f>3081*3+2728*3</f>
        <v>17427</v>
      </c>
      <c r="M17" s="15">
        <f t="shared" si="0"/>
        <v>17427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0.50260416666666663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/>
      <c r="E18" s="53" t="s">
        <v>434</v>
      </c>
      <c r="F18" s="30" t="s">
        <v>435</v>
      </c>
      <c r="G18" s="33" t="s">
        <v>205</v>
      </c>
      <c r="H18" s="35">
        <v>24</v>
      </c>
      <c r="I18" s="7">
        <v>1200</v>
      </c>
      <c r="J18" s="14">
        <v>3150</v>
      </c>
      <c r="K18" s="15">
        <f>L18+3150</f>
        <v>3150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0.50260416666666663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429</v>
      </c>
      <c r="E19" s="53" t="s">
        <v>439</v>
      </c>
      <c r="F19" s="30" t="s">
        <v>127</v>
      </c>
      <c r="G19" s="33">
        <v>1</v>
      </c>
      <c r="H19" s="35">
        <v>24</v>
      </c>
      <c r="I19" s="7">
        <v>3000</v>
      </c>
      <c r="J19" s="14">
        <v>5613</v>
      </c>
      <c r="K19" s="15">
        <f>L19+5613</f>
        <v>5613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0.50260416666666663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130000</v>
      </c>
      <c r="J20" s="14">
        <v>3456</v>
      </c>
      <c r="K20" s="15">
        <f>L20+582+5215+5575+2206</f>
        <v>17034</v>
      </c>
      <c r="L20" s="15">
        <f>1665+1791</f>
        <v>3456</v>
      </c>
      <c r="M20" s="15">
        <f t="shared" si="0"/>
        <v>3456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 t="shared" si="7"/>
        <v>0.50260416666666663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63952</v>
      </c>
      <c r="K21" s="15">
        <f>L21+63388+69392+28968+33256+34460+34384+70208+69780</f>
        <v>467788</v>
      </c>
      <c r="L21" s="15">
        <f>8738*4+7250*4</f>
        <v>63952</v>
      </c>
      <c r="M21" s="15">
        <f t="shared" si="0"/>
        <v>63952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0.50260416666666663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2818900</v>
      </c>
      <c r="J22" s="19">
        <f t="shared" si="9"/>
        <v>201874</v>
      </c>
      <c r="K22" s="20">
        <f t="shared" si="9"/>
        <v>1059712</v>
      </c>
      <c r="L22" s="21">
        <f t="shared" si="9"/>
        <v>137954</v>
      </c>
      <c r="M22" s="20">
        <f t="shared" si="9"/>
        <v>137954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193</v>
      </c>
      <c r="Q22" s="43">
        <f t="shared" si="10"/>
        <v>168</v>
      </c>
      <c r="R22" s="23">
        <f t="shared" si="10"/>
        <v>0</v>
      </c>
      <c r="S22" s="24">
        <f t="shared" si="10"/>
        <v>10</v>
      </c>
      <c r="T22" s="24">
        <f t="shared" si="10"/>
        <v>1</v>
      </c>
      <c r="U22" s="24">
        <f t="shared" si="10"/>
        <v>0</v>
      </c>
      <c r="V22" s="25">
        <f t="shared" si="10"/>
        <v>24</v>
      </c>
      <c r="W22" s="26">
        <f t="shared" si="10"/>
        <v>85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0.5625</v>
      </c>
      <c r="AC22" s="4">
        <f>AVERAGE(AC6:AC21)</f>
        <v>0.50260416666666663</v>
      </c>
      <c r="AD22" s="4">
        <f>AVERAGE(AD6:AD21)</f>
        <v>0.50260416666666663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453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455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57" t="s">
        <v>46</v>
      </c>
      <c r="D51" s="357" t="s">
        <v>47</v>
      </c>
      <c r="E51" s="357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57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112</v>
      </c>
      <c r="B52" s="449"/>
      <c r="C52" s="358" t="s">
        <v>135</v>
      </c>
      <c r="D52" s="358" t="s">
        <v>115</v>
      </c>
      <c r="E52" s="360" t="s">
        <v>446</v>
      </c>
      <c r="F52" s="450" t="s">
        <v>454</v>
      </c>
      <c r="G52" s="451"/>
      <c r="H52" s="451"/>
      <c r="I52" s="451"/>
      <c r="J52" s="451"/>
      <c r="K52" s="451"/>
      <c r="L52" s="451"/>
      <c r="M52" s="452"/>
      <c r="N52" s="359" t="s">
        <v>112</v>
      </c>
      <c r="O52" s="365" t="s">
        <v>143</v>
      </c>
      <c r="P52" s="453" t="s">
        <v>115</v>
      </c>
      <c r="Q52" s="454"/>
      <c r="R52" s="453" t="s">
        <v>288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112</v>
      </c>
      <c r="B53" s="449"/>
      <c r="C53" s="358" t="s">
        <v>190</v>
      </c>
      <c r="D53" s="358" t="s">
        <v>115</v>
      </c>
      <c r="E53" s="360" t="s">
        <v>173</v>
      </c>
      <c r="F53" s="450" t="s">
        <v>130</v>
      </c>
      <c r="G53" s="451"/>
      <c r="H53" s="451"/>
      <c r="I53" s="451"/>
      <c r="J53" s="451"/>
      <c r="K53" s="451"/>
      <c r="L53" s="451"/>
      <c r="M53" s="452"/>
      <c r="N53" s="359" t="s">
        <v>112</v>
      </c>
      <c r="O53" s="365" t="s">
        <v>135</v>
      </c>
      <c r="P53" s="453" t="s">
        <v>115</v>
      </c>
      <c r="Q53" s="454"/>
      <c r="R53" s="453" t="s">
        <v>446</v>
      </c>
      <c r="S53" s="455"/>
      <c r="T53" s="455"/>
      <c r="U53" s="454"/>
      <c r="V53" s="456" t="s">
        <v>456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358" t="s">
        <v>143</v>
      </c>
      <c r="D54" s="358" t="s">
        <v>115</v>
      </c>
      <c r="E54" s="360" t="s">
        <v>288</v>
      </c>
      <c r="F54" s="450" t="s">
        <v>249</v>
      </c>
      <c r="G54" s="451"/>
      <c r="H54" s="451"/>
      <c r="I54" s="451"/>
      <c r="J54" s="451"/>
      <c r="K54" s="451"/>
      <c r="L54" s="451"/>
      <c r="M54" s="452"/>
      <c r="N54" s="359" t="s">
        <v>118</v>
      </c>
      <c r="O54" s="365" t="s">
        <v>142</v>
      </c>
      <c r="P54" s="453" t="s">
        <v>115</v>
      </c>
      <c r="Q54" s="454"/>
      <c r="R54" s="453" t="s">
        <v>457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/>
      <c r="B55" s="449"/>
      <c r="C55" s="358"/>
      <c r="D55" s="358"/>
      <c r="E55" s="360"/>
      <c r="F55" s="450"/>
      <c r="G55" s="451"/>
      <c r="H55" s="451"/>
      <c r="I55" s="451"/>
      <c r="J55" s="451"/>
      <c r="K55" s="451"/>
      <c r="L55" s="451"/>
      <c r="M55" s="452"/>
      <c r="N55" s="359" t="s">
        <v>112</v>
      </c>
      <c r="O55" s="365" t="s">
        <v>230</v>
      </c>
      <c r="P55" s="453" t="s">
        <v>217</v>
      </c>
      <c r="Q55" s="454"/>
      <c r="R55" s="453" t="s">
        <v>245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/>
      <c r="B56" s="449"/>
      <c r="C56" s="358"/>
      <c r="D56" s="358"/>
      <c r="E56" s="360"/>
      <c r="F56" s="450"/>
      <c r="G56" s="451"/>
      <c r="H56" s="451"/>
      <c r="I56" s="451"/>
      <c r="J56" s="451"/>
      <c r="K56" s="451"/>
      <c r="L56" s="451"/>
      <c r="M56" s="452"/>
      <c r="N56" s="359"/>
      <c r="O56" s="365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/>
      <c r="B57" s="449"/>
      <c r="C57" s="358"/>
      <c r="D57" s="358"/>
      <c r="E57" s="360"/>
      <c r="F57" s="450"/>
      <c r="G57" s="451"/>
      <c r="H57" s="451"/>
      <c r="I57" s="451"/>
      <c r="J57" s="451"/>
      <c r="K57" s="451"/>
      <c r="L57" s="451"/>
      <c r="M57" s="452"/>
      <c r="N57" s="359"/>
      <c r="O57" s="365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/>
      <c r="B58" s="449"/>
      <c r="C58" s="358"/>
      <c r="D58" s="358"/>
      <c r="E58" s="360"/>
      <c r="F58" s="450"/>
      <c r="G58" s="451"/>
      <c r="H58" s="451"/>
      <c r="I58" s="451"/>
      <c r="J58" s="451"/>
      <c r="K58" s="451"/>
      <c r="L58" s="451"/>
      <c r="M58" s="452"/>
      <c r="N58" s="359"/>
      <c r="O58" s="365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60"/>
      <c r="D59" s="360"/>
      <c r="E59" s="360"/>
      <c r="F59" s="450"/>
      <c r="G59" s="451"/>
      <c r="H59" s="451"/>
      <c r="I59" s="451"/>
      <c r="J59" s="451"/>
      <c r="K59" s="451"/>
      <c r="L59" s="451"/>
      <c r="M59" s="452"/>
      <c r="N59" s="359"/>
      <c r="O59" s="365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58"/>
      <c r="D60" s="358"/>
      <c r="E60" s="360"/>
      <c r="F60" s="450"/>
      <c r="G60" s="451"/>
      <c r="H60" s="451"/>
      <c r="I60" s="451"/>
      <c r="J60" s="451"/>
      <c r="K60" s="451"/>
      <c r="L60" s="451"/>
      <c r="M60" s="452"/>
      <c r="N60" s="359"/>
      <c r="O60" s="365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61"/>
      <c r="D61" s="362"/>
      <c r="E61" s="362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458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63" t="s">
        <v>2</v>
      </c>
      <c r="D63" s="363" t="s">
        <v>37</v>
      </c>
      <c r="E63" s="363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63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367"/>
      <c r="E64" s="364" t="s">
        <v>429</v>
      </c>
      <c r="F64" s="477" t="s">
        <v>428</v>
      </c>
      <c r="G64" s="478"/>
      <c r="H64" s="478"/>
      <c r="I64" s="478"/>
      <c r="J64" s="479"/>
      <c r="K64" s="480" t="s">
        <v>246</v>
      </c>
      <c r="L64" s="480"/>
      <c r="M64" s="51" t="s">
        <v>240</v>
      </c>
      <c r="N64" s="481" t="s">
        <v>142</v>
      </c>
      <c r="O64" s="481"/>
      <c r="P64" s="482"/>
      <c r="Q64" s="482"/>
      <c r="R64" s="456" t="s">
        <v>459</v>
      </c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112</v>
      </c>
      <c r="D65" s="367"/>
      <c r="E65" s="364" t="s">
        <v>460</v>
      </c>
      <c r="F65" s="477" t="s">
        <v>461</v>
      </c>
      <c r="G65" s="478"/>
      <c r="H65" s="478"/>
      <c r="I65" s="478"/>
      <c r="J65" s="479"/>
      <c r="K65" s="480" t="s">
        <v>141</v>
      </c>
      <c r="L65" s="480"/>
      <c r="M65" s="51" t="s">
        <v>240</v>
      </c>
      <c r="N65" s="481" t="s">
        <v>134</v>
      </c>
      <c r="O65" s="481"/>
      <c r="P65" s="482">
        <v>100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112</v>
      </c>
      <c r="D66" s="367"/>
      <c r="E66" s="364" t="s">
        <v>147</v>
      </c>
      <c r="F66" s="477" t="s">
        <v>238</v>
      </c>
      <c r="G66" s="478"/>
      <c r="H66" s="478"/>
      <c r="I66" s="478"/>
      <c r="J66" s="479"/>
      <c r="K66" s="480" t="s">
        <v>239</v>
      </c>
      <c r="L66" s="480"/>
      <c r="M66" s="51" t="s">
        <v>137</v>
      </c>
      <c r="N66" s="481" t="s">
        <v>129</v>
      </c>
      <c r="O66" s="481"/>
      <c r="P66" s="482">
        <v>50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 t="s">
        <v>119</v>
      </c>
      <c r="D67" s="367"/>
      <c r="E67" s="364" t="s">
        <v>220</v>
      </c>
      <c r="F67" s="477" t="s">
        <v>418</v>
      </c>
      <c r="G67" s="478"/>
      <c r="H67" s="478"/>
      <c r="I67" s="478"/>
      <c r="J67" s="479"/>
      <c r="K67" s="480">
        <v>8301</v>
      </c>
      <c r="L67" s="480"/>
      <c r="M67" s="51" t="s">
        <v>137</v>
      </c>
      <c r="N67" s="481" t="s">
        <v>129</v>
      </c>
      <c r="O67" s="481"/>
      <c r="P67" s="482">
        <v>100</v>
      </c>
      <c r="Q67" s="482"/>
      <c r="R67" s="456" t="s">
        <v>462</v>
      </c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 t="s">
        <v>112</v>
      </c>
      <c r="D68" s="367"/>
      <c r="E68" s="364" t="s">
        <v>220</v>
      </c>
      <c r="F68" s="477" t="s">
        <v>304</v>
      </c>
      <c r="G68" s="478"/>
      <c r="H68" s="478"/>
      <c r="I68" s="478"/>
      <c r="J68" s="479"/>
      <c r="K68" s="480" t="s">
        <v>144</v>
      </c>
      <c r="L68" s="480"/>
      <c r="M68" s="51" t="s">
        <v>137</v>
      </c>
      <c r="N68" s="481" t="s">
        <v>241</v>
      </c>
      <c r="O68" s="481"/>
      <c r="P68" s="482">
        <v>200</v>
      </c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67"/>
      <c r="E69" s="364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67"/>
      <c r="E70" s="364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67"/>
      <c r="E71" s="364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67"/>
      <c r="E72" s="364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67"/>
      <c r="E73" s="364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463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66" t="s">
        <v>2</v>
      </c>
      <c r="D75" s="366" t="s">
        <v>37</v>
      </c>
      <c r="E75" s="366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68" t="s">
        <v>112</v>
      </c>
      <c r="D76" s="368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67"/>
      <c r="D77" s="367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67"/>
      <c r="D78" s="367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67"/>
      <c r="D79" s="367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67"/>
      <c r="D80" s="367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67"/>
      <c r="D81" s="367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67"/>
      <c r="D82" s="367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464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2997-30D5-4EA3-8027-B11DE5F1BCDE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465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81" t="s">
        <v>17</v>
      </c>
      <c r="L5" s="381" t="s">
        <v>18</v>
      </c>
      <c r="M5" s="381" t="s">
        <v>19</v>
      </c>
      <c r="N5" s="3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0.55989583333333326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319</v>
      </c>
      <c r="F7" s="12" t="s">
        <v>158</v>
      </c>
      <c r="G7" s="12">
        <v>1</v>
      </c>
      <c r="H7" s="13">
        <v>24</v>
      </c>
      <c r="I7" s="31">
        <v>18000</v>
      </c>
      <c r="J7" s="14">
        <v>2592</v>
      </c>
      <c r="K7" s="15">
        <f>L7</f>
        <v>2592</v>
      </c>
      <c r="L7" s="15">
        <f>2592</f>
        <v>2592</v>
      </c>
      <c r="M7" s="15">
        <f t="shared" si="0"/>
        <v>2592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0.55989583333333326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405</v>
      </c>
      <c r="E8" s="53" t="s">
        <v>404</v>
      </c>
      <c r="F8" s="30" t="s">
        <v>127</v>
      </c>
      <c r="G8" s="33">
        <v>1</v>
      </c>
      <c r="H8" s="35">
        <v>24</v>
      </c>
      <c r="I8" s="7">
        <v>15000</v>
      </c>
      <c r="J8" s="5">
        <v>9102</v>
      </c>
      <c r="K8" s="15">
        <f>L8+2416+8858+9242+9102</f>
        <v>29618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0.55989583333333326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5399</v>
      </c>
      <c r="K9" s="15">
        <f>L9+1344+2695+2818+1363+3398+4807+5146</f>
        <v>26970</v>
      </c>
      <c r="L9" s="15">
        <f>2690+2709</f>
        <v>5399</v>
      </c>
      <c r="M9" s="15">
        <f t="shared" si="0"/>
        <v>5399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0.55989583333333326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291</v>
      </c>
      <c r="E10" s="53" t="s">
        <v>290</v>
      </c>
      <c r="F10" s="30" t="s">
        <v>127</v>
      </c>
      <c r="G10" s="33">
        <v>2</v>
      </c>
      <c r="H10" s="35">
        <v>24</v>
      </c>
      <c r="I10" s="7">
        <v>36000</v>
      </c>
      <c r="J10" s="14">
        <v>8494</v>
      </c>
      <c r="K10" s="15">
        <f>L10</f>
        <v>8494</v>
      </c>
      <c r="L10" s="15">
        <f>442*2+3805*2</f>
        <v>8494</v>
      </c>
      <c r="M10" s="15">
        <f t="shared" si="0"/>
        <v>8494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si="7"/>
        <v>0.55989583333333326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168</v>
      </c>
      <c r="E11" s="53" t="s">
        <v>245</v>
      </c>
      <c r="F11" s="30" t="s">
        <v>246</v>
      </c>
      <c r="G11" s="33">
        <v>1</v>
      </c>
      <c r="H11" s="35">
        <v>24</v>
      </c>
      <c r="I11" s="7">
        <v>52000</v>
      </c>
      <c r="J11" s="14">
        <v>5150</v>
      </c>
      <c r="K11" s="15">
        <f>L11</f>
        <v>5150</v>
      </c>
      <c r="L11" s="15">
        <f>2432+2718</f>
        <v>5150</v>
      </c>
      <c r="M11" s="15">
        <f t="shared" si="0"/>
        <v>5150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0.55989583333333326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76000</v>
      </c>
      <c r="J12" s="5">
        <v>5555</v>
      </c>
      <c r="K12" s="15">
        <f>L12+5135+5549+5689+5232</f>
        <v>27160</v>
      </c>
      <c r="L12" s="15">
        <f>2768+2787</f>
        <v>5555</v>
      </c>
      <c r="M12" s="15">
        <f t="shared" si="0"/>
        <v>5555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0.55989583333333326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446</v>
      </c>
      <c r="F13" s="30" t="s">
        <v>246</v>
      </c>
      <c r="G13" s="33">
        <v>1</v>
      </c>
      <c r="H13" s="35">
        <v>24</v>
      </c>
      <c r="I13" s="7">
        <v>65000</v>
      </c>
      <c r="J13" s="14">
        <v>4415</v>
      </c>
      <c r="K13" s="15">
        <f>L13+4842</f>
        <v>9257</v>
      </c>
      <c r="L13" s="15">
        <f>2687+1728</f>
        <v>4415</v>
      </c>
      <c r="M13" s="15">
        <f t="shared" si="0"/>
        <v>4415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0.55989583333333326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173</v>
      </c>
      <c r="F14" s="30" t="s">
        <v>162</v>
      </c>
      <c r="G14" s="33">
        <v>1</v>
      </c>
      <c r="H14" s="35">
        <v>50</v>
      </c>
      <c r="I14" s="7">
        <v>700</v>
      </c>
      <c r="J14" s="5">
        <v>926</v>
      </c>
      <c r="K14" s="15">
        <f>L14+926</f>
        <v>926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0.55989583333333326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/>
      <c r="E15" s="53" t="s">
        <v>441</v>
      </c>
      <c r="F15" s="12" t="s">
        <v>136</v>
      </c>
      <c r="G15" s="12">
        <v>1</v>
      </c>
      <c r="H15" s="13">
        <v>24</v>
      </c>
      <c r="I15" s="31">
        <v>900</v>
      </c>
      <c r="J15" s="14">
        <v>1015</v>
      </c>
      <c r="K15" s="15">
        <f>L15</f>
        <v>1015</v>
      </c>
      <c r="L15" s="15">
        <v>1015</v>
      </c>
      <c r="M15" s="15">
        <f t="shared" si="0"/>
        <v>1015</v>
      </c>
      <c r="N15" s="15">
        <v>0</v>
      </c>
      <c r="O15" s="58">
        <f t="shared" si="1"/>
        <v>0</v>
      </c>
      <c r="P15" s="39">
        <f t="shared" si="2"/>
        <v>6</v>
      </c>
      <c r="Q15" s="40">
        <f t="shared" si="3"/>
        <v>18</v>
      </c>
      <c r="R15" s="7"/>
      <c r="S15" s="6"/>
      <c r="T15" s="16"/>
      <c r="U15" s="16"/>
      <c r="V15" s="17">
        <v>18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0.25</v>
      </c>
      <c r="AD15" s="10">
        <f t="shared" si="6"/>
        <v>0.25</v>
      </c>
      <c r="AE15" s="36">
        <f t="shared" si="7"/>
        <v>0.55989583333333326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19140</v>
      </c>
      <c r="K16" s="15">
        <f>L16+3140+8796+9536+5660+12138+18972+18052</f>
        <v>95434</v>
      </c>
      <c r="L16" s="15">
        <f>4806*2+4764*2</f>
        <v>19140</v>
      </c>
      <c r="M16" s="15">
        <f t="shared" si="0"/>
        <v>19140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0.55989583333333326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394</v>
      </c>
      <c r="D17" s="52" t="s">
        <v>397</v>
      </c>
      <c r="E17" s="53" t="s">
        <v>398</v>
      </c>
      <c r="F17" s="30" t="s">
        <v>399</v>
      </c>
      <c r="G17" s="12">
        <v>3</v>
      </c>
      <c r="H17" s="13">
        <v>24</v>
      </c>
      <c r="I17" s="7">
        <v>40000</v>
      </c>
      <c r="J17" s="14">
        <v>11982</v>
      </c>
      <c r="K17" s="15">
        <f>L17+1657+9918+17475+18603+19137+17427</f>
        <v>96199</v>
      </c>
      <c r="L17" s="15">
        <f>887*3+3107*3</f>
        <v>11982</v>
      </c>
      <c r="M17" s="15">
        <f t="shared" si="0"/>
        <v>11982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/>
      <c r="T17" s="16"/>
      <c r="U17" s="16"/>
      <c r="V17" s="17"/>
      <c r="W17" s="5">
        <v>6</v>
      </c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6">
        <f t="shared" si="7"/>
        <v>0.55989583333333326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140</v>
      </c>
      <c r="E18" s="53" t="s">
        <v>320</v>
      </c>
      <c r="F18" s="30" t="s">
        <v>138</v>
      </c>
      <c r="G18" s="33">
        <v>1</v>
      </c>
      <c r="H18" s="35">
        <v>24</v>
      </c>
      <c r="I18" s="7">
        <v>18000</v>
      </c>
      <c r="J18" s="14">
        <v>3150</v>
      </c>
      <c r="K18" s="15">
        <f>L18</f>
        <v>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0.55989583333333326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429</v>
      </c>
      <c r="E19" s="53" t="s">
        <v>439</v>
      </c>
      <c r="F19" s="30" t="s">
        <v>127</v>
      </c>
      <c r="G19" s="33">
        <v>1</v>
      </c>
      <c r="H19" s="35">
        <v>24</v>
      </c>
      <c r="I19" s="7">
        <v>3000</v>
      </c>
      <c r="J19" s="14">
        <v>5613</v>
      </c>
      <c r="K19" s="15">
        <f>L19+5613</f>
        <v>5613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0.55989583333333326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130000</v>
      </c>
      <c r="J20" s="14">
        <v>4708</v>
      </c>
      <c r="K20" s="15">
        <f>L20+582+5215+5575+2206+3456</f>
        <v>21742</v>
      </c>
      <c r="L20" s="15">
        <f>1859+2849</f>
        <v>4708</v>
      </c>
      <c r="M20" s="15">
        <f t="shared" si="0"/>
        <v>4708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/>
      <c r="S20" s="6">
        <v>3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0.55989583333333326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70200</v>
      </c>
      <c r="K21" s="15">
        <f>L21+63388+69392+28968+33256+34460+34384+70208+69780+63952</f>
        <v>537988</v>
      </c>
      <c r="L21" s="15">
        <f>8799*4+8751*4</f>
        <v>70200</v>
      </c>
      <c r="M21" s="15">
        <f t="shared" si="0"/>
        <v>70200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0.55989583333333326</v>
      </c>
      <c r="AF21" s="84">
        <f t="shared" si="8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 t="shared" ref="I22:N22" si="9">SUM(I6:I21)</f>
        <v>2682600</v>
      </c>
      <c r="J22" s="19">
        <f t="shared" si="9"/>
        <v>160842</v>
      </c>
      <c r="K22" s="20">
        <f t="shared" si="9"/>
        <v>874751</v>
      </c>
      <c r="L22" s="21">
        <f t="shared" si="9"/>
        <v>138650</v>
      </c>
      <c r="M22" s="20">
        <f t="shared" si="9"/>
        <v>138650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215</v>
      </c>
      <c r="Q22" s="43">
        <f t="shared" si="10"/>
        <v>169</v>
      </c>
      <c r="R22" s="23">
        <f t="shared" si="10"/>
        <v>0</v>
      </c>
      <c r="S22" s="24">
        <f t="shared" si="10"/>
        <v>41</v>
      </c>
      <c r="T22" s="24">
        <f t="shared" si="10"/>
        <v>8</v>
      </c>
      <c r="U22" s="24">
        <f t="shared" si="10"/>
        <v>0</v>
      </c>
      <c r="V22" s="25">
        <f t="shared" si="10"/>
        <v>42</v>
      </c>
      <c r="W22" s="26">
        <f t="shared" si="10"/>
        <v>30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0.6875</v>
      </c>
      <c r="AC22" s="4">
        <f>AVERAGE(AC6:AC21)</f>
        <v>0.55989583333333326</v>
      </c>
      <c r="AD22" s="4">
        <f>AVERAGE(AD6:AD21)</f>
        <v>0.55989583333333326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466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469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380" t="s">
        <v>46</v>
      </c>
      <c r="D51" s="380" t="s">
        <v>47</v>
      </c>
      <c r="E51" s="380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380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112</v>
      </c>
      <c r="B52" s="449"/>
      <c r="C52" s="375" t="s">
        <v>135</v>
      </c>
      <c r="D52" s="375" t="s">
        <v>115</v>
      </c>
      <c r="E52" s="376" t="s">
        <v>446</v>
      </c>
      <c r="F52" s="450" t="s">
        <v>456</v>
      </c>
      <c r="G52" s="451"/>
      <c r="H52" s="451"/>
      <c r="I52" s="451"/>
      <c r="J52" s="451"/>
      <c r="K52" s="451"/>
      <c r="L52" s="451"/>
      <c r="M52" s="452"/>
      <c r="N52" s="379" t="s">
        <v>112</v>
      </c>
      <c r="O52" s="373" t="s">
        <v>143</v>
      </c>
      <c r="P52" s="453" t="s">
        <v>115</v>
      </c>
      <c r="Q52" s="454"/>
      <c r="R52" s="453" t="s">
        <v>288</v>
      </c>
      <c r="S52" s="455"/>
      <c r="T52" s="455"/>
      <c r="U52" s="454"/>
      <c r="V52" s="456" t="s">
        <v>470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375" t="s">
        <v>129</v>
      </c>
      <c r="D53" s="375" t="s">
        <v>115</v>
      </c>
      <c r="E53" s="376" t="s">
        <v>319</v>
      </c>
      <c r="F53" s="450" t="s">
        <v>267</v>
      </c>
      <c r="G53" s="451"/>
      <c r="H53" s="451"/>
      <c r="I53" s="451"/>
      <c r="J53" s="451"/>
      <c r="K53" s="451"/>
      <c r="L53" s="451"/>
      <c r="M53" s="452"/>
      <c r="N53" s="379" t="s">
        <v>118</v>
      </c>
      <c r="O53" s="373" t="s">
        <v>134</v>
      </c>
      <c r="P53" s="453" t="s">
        <v>140</v>
      </c>
      <c r="Q53" s="454"/>
      <c r="R53" s="453" t="s">
        <v>320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375" t="s">
        <v>143</v>
      </c>
      <c r="D54" s="375" t="s">
        <v>115</v>
      </c>
      <c r="E54" s="376" t="s">
        <v>288</v>
      </c>
      <c r="F54" s="450" t="s">
        <v>126</v>
      </c>
      <c r="G54" s="451"/>
      <c r="H54" s="451"/>
      <c r="I54" s="451"/>
      <c r="J54" s="451"/>
      <c r="K54" s="451"/>
      <c r="L54" s="451"/>
      <c r="M54" s="452"/>
      <c r="N54" s="379" t="s">
        <v>118</v>
      </c>
      <c r="O54" s="373" t="s">
        <v>142</v>
      </c>
      <c r="P54" s="453" t="s">
        <v>115</v>
      </c>
      <c r="Q54" s="454"/>
      <c r="R54" s="453" t="s">
        <v>457</v>
      </c>
      <c r="S54" s="455"/>
      <c r="T54" s="455"/>
      <c r="U54" s="454"/>
      <c r="V54" s="456" t="s">
        <v>130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118</v>
      </c>
      <c r="B55" s="449"/>
      <c r="C55" s="375" t="s">
        <v>467</v>
      </c>
      <c r="D55" s="375" t="s">
        <v>291</v>
      </c>
      <c r="E55" s="376" t="s">
        <v>290</v>
      </c>
      <c r="F55" s="450" t="s">
        <v>130</v>
      </c>
      <c r="G55" s="451"/>
      <c r="H55" s="451"/>
      <c r="I55" s="451"/>
      <c r="J55" s="451"/>
      <c r="K55" s="451"/>
      <c r="L55" s="451"/>
      <c r="M55" s="452"/>
      <c r="N55" s="379" t="s">
        <v>118</v>
      </c>
      <c r="O55" s="373" t="s">
        <v>224</v>
      </c>
      <c r="P55" s="453" t="s">
        <v>148</v>
      </c>
      <c r="Q55" s="454"/>
      <c r="R55" s="453" t="s">
        <v>292</v>
      </c>
      <c r="S55" s="455"/>
      <c r="T55" s="455"/>
      <c r="U55" s="454"/>
      <c r="V55" s="456" t="s">
        <v>130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118</v>
      </c>
      <c r="B56" s="449"/>
      <c r="C56" s="375" t="s">
        <v>142</v>
      </c>
      <c r="D56" s="375" t="s">
        <v>140</v>
      </c>
      <c r="E56" s="376" t="s">
        <v>320</v>
      </c>
      <c r="F56" s="450" t="s">
        <v>468</v>
      </c>
      <c r="G56" s="451"/>
      <c r="H56" s="451"/>
      <c r="I56" s="451"/>
      <c r="J56" s="451"/>
      <c r="K56" s="451"/>
      <c r="L56" s="451"/>
      <c r="M56" s="452"/>
      <c r="N56" s="379"/>
      <c r="O56" s="373"/>
      <c r="P56" s="453"/>
      <c r="Q56" s="454"/>
      <c r="R56" s="453"/>
      <c r="S56" s="455"/>
      <c r="T56" s="455"/>
      <c r="U56" s="454"/>
      <c r="V56" s="456"/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121</v>
      </c>
      <c r="B57" s="449"/>
      <c r="C57" s="375" t="s">
        <v>269</v>
      </c>
      <c r="D57" s="375"/>
      <c r="E57" s="376" t="s">
        <v>441</v>
      </c>
      <c r="F57" s="450" t="s">
        <v>130</v>
      </c>
      <c r="G57" s="451"/>
      <c r="H57" s="451"/>
      <c r="I57" s="451"/>
      <c r="J57" s="451"/>
      <c r="K57" s="451"/>
      <c r="L57" s="451"/>
      <c r="M57" s="452"/>
      <c r="N57" s="379"/>
      <c r="O57" s="373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112</v>
      </c>
      <c r="B58" s="449"/>
      <c r="C58" s="375" t="s">
        <v>230</v>
      </c>
      <c r="D58" s="375" t="s">
        <v>217</v>
      </c>
      <c r="E58" s="376" t="s">
        <v>245</v>
      </c>
      <c r="F58" s="450" t="s">
        <v>130</v>
      </c>
      <c r="G58" s="451"/>
      <c r="H58" s="451"/>
      <c r="I58" s="451"/>
      <c r="J58" s="451"/>
      <c r="K58" s="451"/>
      <c r="L58" s="451"/>
      <c r="M58" s="452"/>
      <c r="N58" s="379"/>
      <c r="O58" s="373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/>
      <c r="B59" s="459"/>
      <c r="C59" s="376"/>
      <c r="D59" s="376"/>
      <c r="E59" s="376"/>
      <c r="F59" s="450"/>
      <c r="G59" s="451"/>
      <c r="H59" s="451"/>
      <c r="I59" s="451"/>
      <c r="J59" s="451"/>
      <c r="K59" s="451"/>
      <c r="L59" s="451"/>
      <c r="M59" s="452"/>
      <c r="N59" s="379"/>
      <c r="O59" s="373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/>
      <c r="B60" s="449"/>
      <c r="C60" s="375"/>
      <c r="D60" s="375"/>
      <c r="E60" s="376"/>
      <c r="F60" s="450"/>
      <c r="G60" s="451"/>
      <c r="H60" s="451"/>
      <c r="I60" s="451"/>
      <c r="J60" s="451"/>
      <c r="K60" s="451"/>
      <c r="L60" s="451"/>
      <c r="M60" s="452"/>
      <c r="N60" s="379"/>
      <c r="O60" s="373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377"/>
      <c r="D61" s="378"/>
      <c r="E61" s="378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471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374" t="s">
        <v>2</v>
      </c>
      <c r="D63" s="374" t="s">
        <v>37</v>
      </c>
      <c r="E63" s="374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374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 t="s">
        <v>112</v>
      </c>
      <c r="D64" s="369"/>
      <c r="E64" s="372" t="s">
        <v>429</v>
      </c>
      <c r="F64" s="477" t="s">
        <v>428</v>
      </c>
      <c r="G64" s="478"/>
      <c r="H64" s="478"/>
      <c r="I64" s="478"/>
      <c r="J64" s="479"/>
      <c r="K64" s="480" t="s">
        <v>246</v>
      </c>
      <c r="L64" s="480"/>
      <c r="M64" s="51" t="s">
        <v>240</v>
      </c>
      <c r="N64" s="481" t="s">
        <v>142</v>
      </c>
      <c r="O64" s="481"/>
      <c r="P64" s="482">
        <v>50</v>
      </c>
      <c r="Q64" s="482"/>
      <c r="R64" s="456" t="s">
        <v>472</v>
      </c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 t="s">
        <v>112</v>
      </c>
      <c r="D65" s="369"/>
      <c r="E65" s="372" t="s">
        <v>148</v>
      </c>
      <c r="F65" s="477" t="s">
        <v>473</v>
      </c>
      <c r="G65" s="478"/>
      <c r="H65" s="478"/>
      <c r="I65" s="478"/>
      <c r="J65" s="479"/>
      <c r="K65" s="480" t="s">
        <v>141</v>
      </c>
      <c r="L65" s="480"/>
      <c r="M65" s="51" t="s">
        <v>240</v>
      </c>
      <c r="N65" s="481" t="s">
        <v>134</v>
      </c>
      <c r="O65" s="481"/>
      <c r="P65" s="482">
        <v>100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 t="s">
        <v>112</v>
      </c>
      <c r="D66" s="369"/>
      <c r="E66" s="372" t="s">
        <v>307</v>
      </c>
      <c r="F66" s="477" t="s">
        <v>474</v>
      </c>
      <c r="G66" s="478"/>
      <c r="H66" s="478"/>
      <c r="I66" s="478"/>
      <c r="J66" s="479"/>
      <c r="K66" s="480" t="s">
        <v>144</v>
      </c>
      <c r="L66" s="480"/>
      <c r="M66" s="51" t="s">
        <v>240</v>
      </c>
      <c r="N66" s="481" t="s">
        <v>129</v>
      </c>
      <c r="O66" s="481"/>
      <c r="P66" s="482">
        <v>50</v>
      </c>
      <c r="Q66" s="482"/>
      <c r="R66" s="456" t="s">
        <v>475</v>
      </c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 t="s">
        <v>112</v>
      </c>
      <c r="D67" s="369"/>
      <c r="E67" s="372" t="s">
        <v>140</v>
      </c>
      <c r="F67" s="477" t="s">
        <v>476</v>
      </c>
      <c r="G67" s="478"/>
      <c r="H67" s="478"/>
      <c r="I67" s="478"/>
      <c r="J67" s="479"/>
      <c r="K67" s="480" t="s">
        <v>141</v>
      </c>
      <c r="L67" s="480"/>
      <c r="M67" s="51" t="s">
        <v>240</v>
      </c>
      <c r="N67" s="481" t="s">
        <v>139</v>
      </c>
      <c r="O67" s="481"/>
      <c r="P67" s="482">
        <v>50</v>
      </c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69"/>
      <c r="E68" s="372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69"/>
      <c r="E69" s="372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69"/>
      <c r="E70" s="372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69"/>
      <c r="E71" s="372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69"/>
      <c r="E72" s="372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69"/>
      <c r="E73" s="372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477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71" t="s">
        <v>2</v>
      </c>
      <c r="D75" s="371" t="s">
        <v>37</v>
      </c>
      <c r="E75" s="371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70" t="s">
        <v>112</v>
      </c>
      <c r="D76" s="370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69"/>
      <c r="D77" s="369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11">A77+1</f>
        <v>3</v>
      </c>
      <c r="B78" s="493"/>
      <c r="C78" s="369"/>
      <c r="D78" s="369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11"/>
        <v>4</v>
      </c>
      <c r="B79" s="493"/>
      <c r="C79" s="369"/>
      <c r="D79" s="369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11"/>
        <v>5</v>
      </c>
      <c r="B80" s="493"/>
      <c r="C80" s="369"/>
      <c r="D80" s="369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11"/>
        <v>6</v>
      </c>
      <c r="B81" s="493"/>
      <c r="C81" s="369"/>
      <c r="D81" s="369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11"/>
        <v>7</v>
      </c>
      <c r="B82" s="493"/>
      <c r="C82" s="369"/>
      <c r="D82" s="369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478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74B8-3DAB-43F3-BDAD-BBA888ECB061}">
  <dimension ref="A1:AF88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479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382" t="s">
        <v>17</v>
      </c>
      <c r="L5" s="382" t="s">
        <v>18</v>
      </c>
      <c r="M5" s="382" t="s">
        <v>19</v>
      </c>
      <c r="N5" s="3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0.5759803921568627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319</v>
      </c>
      <c r="F7" s="12" t="s">
        <v>158</v>
      </c>
      <c r="G7" s="12">
        <v>1</v>
      </c>
      <c r="H7" s="13">
        <v>24</v>
      </c>
      <c r="I7" s="31">
        <v>18000</v>
      </c>
      <c r="J7" s="14">
        <v>4850</v>
      </c>
      <c r="K7" s="15">
        <f>L7+2592</f>
        <v>7442</v>
      </c>
      <c r="L7" s="15">
        <f>2411+2439</f>
        <v>4850</v>
      </c>
      <c r="M7" s="15">
        <f t="shared" si="0"/>
        <v>4850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>
        <v>5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0.5759803921568627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480</v>
      </c>
      <c r="E8" s="53" t="s">
        <v>481</v>
      </c>
      <c r="F8" s="30" t="s">
        <v>246</v>
      </c>
      <c r="G8" s="33">
        <v>1</v>
      </c>
      <c r="H8" s="35">
        <v>24</v>
      </c>
      <c r="I8" s="7">
        <v>850</v>
      </c>
      <c r="J8" s="5">
        <v>1050</v>
      </c>
      <c r="K8" s="15">
        <f>L8</f>
        <v>1050</v>
      </c>
      <c r="L8" s="15">
        <v>1050</v>
      </c>
      <c r="M8" s="15">
        <f t="shared" si="0"/>
        <v>1050</v>
      </c>
      <c r="N8" s="15">
        <v>0</v>
      </c>
      <c r="O8" s="58">
        <f t="shared" si="1"/>
        <v>0</v>
      </c>
      <c r="P8" s="39">
        <f t="shared" si="2"/>
        <v>6</v>
      </c>
      <c r="Q8" s="40">
        <f t="shared" si="3"/>
        <v>18</v>
      </c>
      <c r="R8" s="7"/>
      <c r="S8" s="6">
        <v>18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0.25</v>
      </c>
      <c r="AD8" s="10">
        <f t="shared" si="6"/>
        <v>0.25</v>
      </c>
      <c r="AE8" s="36">
        <f t="shared" si="7"/>
        <v>0.5759803921568627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118</v>
      </c>
      <c r="D9" s="52" t="s">
        <v>115</v>
      </c>
      <c r="E9" s="53" t="s">
        <v>482</v>
      </c>
      <c r="F9" s="30" t="s">
        <v>206</v>
      </c>
      <c r="G9" s="33">
        <v>1</v>
      </c>
      <c r="H9" s="35">
        <v>24</v>
      </c>
      <c r="I9" s="7">
        <v>15000</v>
      </c>
      <c r="J9" s="5">
        <v>903</v>
      </c>
      <c r="K9" s="15">
        <f>L9</f>
        <v>903</v>
      </c>
      <c r="L9" s="15">
        <v>903</v>
      </c>
      <c r="M9" s="15">
        <f t="shared" ref="M9" si="9">L9-N9</f>
        <v>903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5</v>
      </c>
      <c r="Q9" s="40">
        <f t="shared" ref="Q9" si="12">SUM(R9:AA9)</f>
        <v>19</v>
      </c>
      <c r="R9" s="7"/>
      <c r="S9" s="6">
        <v>11</v>
      </c>
      <c r="T9" s="16">
        <v>8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0.20833333333333334</v>
      </c>
      <c r="AD9" s="10">
        <f t="shared" ref="AD9" si="15">AC9*AB9*(1-O9)</f>
        <v>0.20833333333333334</v>
      </c>
      <c r="AE9" s="36">
        <f t="shared" si="7"/>
        <v>0.5759803921568627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168</v>
      </c>
      <c r="E10" s="53" t="s">
        <v>150</v>
      </c>
      <c r="F10" s="30" t="s">
        <v>145</v>
      </c>
      <c r="G10" s="12">
        <v>1</v>
      </c>
      <c r="H10" s="13">
        <v>24</v>
      </c>
      <c r="I10" s="7">
        <v>65000</v>
      </c>
      <c r="J10" s="14">
        <v>5363</v>
      </c>
      <c r="K10" s="15">
        <f>L10+1344+2695+2818+1363+3398+4807+5146+5399</f>
        <v>32333</v>
      </c>
      <c r="L10" s="15">
        <f>2691+2672</f>
        <v>5363</v>
      </c>
      <c r="M10" s="15">
        <f t="shared" si="0"/>
        <v>5363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0.5759803921568627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291</v>
      </c>
      <c r="E11" s="53" t="s">
        <v>290</v>
      </c>
      <c r="F11" s="30" t="s">
        <v>127</v>
      </c>
      <c r="G11" s="33">
        <v>2</v>
      </c>
      <c r="H11" s="35">
        <v>24</v>
      </c>
      <c r="I11" s="7">
        <v>36000</v>
      </c>
      <c r="J11" s="14">
        <v>15176</v>
      </c>
      <c r="K11" s="15">
        <f>L11+8494</f>
        <v>23670</v>
      </c>
      <c r="L11" s="15">
        <f>3766*2+3822*2</f>
        <v>15176</v>
      </c>
      <c r="M11" s="15">
        <f t="shared" si="0"/>
        <v>15176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0.5759803921568627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168</v>
      </c>
      <c r="E12" s="53" t="s">
        <v>245</v>
      </c>
      <c r="F12" s="30" t="s">
        <v>246</v>
      </c>
      <c r="G12" s="33">
        <v>1</v>
      </c>
      <c r="H12" s="35">
        <v>24</v>
      </c>
      <c r="I12" s="7">
        <v>52000</v>
      </c>
      <c r="J12" s="14">
        <v>4152</v>
      </c>
      <c r="K12" s="15">
        <f>L12+5150</f>
        <v>9302</v>
      </c>
      <c r="L12" s="15">
        <f>2870+1282</f>
        <v>4152</v>
      </c>
      <c r="M12" s="15">
        <f t="shared" si="0"/>
        <v>4152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0.5759803921568627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146</v>
      </c>
      <c r="F13" s="30" t="s">
        <v>138</v>
      </c>
      <c r="G13" s="12">
        <v>1</v>
      </c>
      <c r="H13" s="13">
        <v>22</v>
      </c>
      <c r="I13" s="31">
        <v>76000</v>
      </c>
      <c r="J13" s="5">
        <v>942</v>
      </c>
      <c r="K13" s="15">
        <f>L13+5135+5549+5689+5232+5555</f>
        <v>28102</v>
      </c>
      <c r="L13" s="15">
        <v>942</v>
      </c>
      <c r="M13" s="15">
        <f t="shared" si="0"/>
        <v>942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>
        <v>19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6">
        <f t="shared" si="7"/>
        <v>0.5759803921568627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115</v>
      </c>
      <c r="E14" s="53" t="s">
        <v>446</v>
      </c>
      <c r="F14" s="30" t="s">
        <v>246</v>
      </c>
      <c r="G14" s="33">
        <v>1</v>
      </c>
      <c r="H14" s="35">
        <v>24</v>
      </c>
      <c r="I14" s="7">
        <v>65000</v>
      </c>
      <c r="J14" s="14">
        <v>5372</v>
      </c>
      <c r="K14" s="15">
        <f>L14+4842+4415</f>
        <v>14629</v>
      </c>
      <c r="L14" s="15">
        <f>2685+2687</f>
        <v>5372</v>
      </c>
      <c r="M14" s="15">
        <f t="shared" si="0"/>
        <v>5372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0.5759803921568627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173</v>
      </c>
      <c r="F15" s="30" t="s">
        <v>162</v>
      </c>
      <c r="G15" s="33">
        <v>1</v>
      </c>
      <c r="H15" s="35">
        <v>50</v>
      </c>
      <c r="I15" s="7">
        <v>700</v>
      </c>
      <c r="J15" s="5">
        <v>926</v>
      </c>
      <c r="K15" s="15">
        <f>L15+926</f>
        <v>926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0.5759803921568627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/>
      <c r="E16" s="53" t="s">
        <v>441</v>
      </c>
      <c r="F16" s="12" t="s">
        <v>136</v>
      </c>
      <c r="G16" s="12">
        <v>1</v>
      </c>
      <c r="H16" s="13">
        <v>24</v>
      </c>
      <c r="I16" s="31">
        <v>900</v>
      </c>
      <c r="J16" s="14">
        <v>1015</v>
      </c>
      <c r="K16" s="15">
        <f>L16+1015</f>
        <v>1015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0.5759803921568627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148</v>
      </c>
      <c r="E17" s="53" t="s">
        <v>175</v>
      </c>
      <c r="F17" s="30" t="s">
        <v>141</v>
      </c>
      <c r="G17" s="12">
        <v>2</v>
      </c>
      <c r="H17" s="13">
        <v>24</v>
      </c>
      <c r="I17" s="7">
        <v>150000</v>
      </c>
      <c r="J17" s="14">
        <v>19144</v>
      </c>
      <c r="K17" s="15">
        <f>L17+3140+8796+9536+5660+12138+18972+18052+19140</f>
        <v>114578</v>
      </c>
      <c r="L17" s="15">
        <f>4766*2+4806*2</f>
        <v>19144</v>
      </c>
      <c r="M17" s="15">
        <f t="shared" si="0"/>
        <v>19144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0.5759803921568627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148</v>
      </c>
      <c r="E18" s="53" t="s">
        <v>292</v>
      </c>
      <c r="F18" s="30" t="s">
        <v>223</v>
      </c>
      <c r="G18" s="12">
        <v>2</v>
      </c>
      <c r="H18" s="13">
        <v>24</v>
      </c>
      <c r="I18" s="7">
        <v>36000</v>
      </c>
      <c r="J18" s="14">
        <v>9540</v>
      </c>
      <c r="K18" s="15">
        <f>L18</f>
        <v>9540</v>
      </c>
      <c r="L18" s="15">
        <f>1767*2+3003*2</f>
        <v>9540</v>
      </c>
      <c r="M18" s="15">
        <f t="shared" si="0"/>
        <v>9540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/>
      <c r="T18" s="16">
        <v>6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0.5759803921568627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457</v>
      </c>
      <c r="F19" s="30" t="s">
        <v>206</v>
      </c>
      <c r="G19" s="33">
        <v>1</v>
      </c>
      <c r="H19" s="35">
        <v>24</v>
      </c>
      <c r="I19" s="7">
        <v>95000</v>
      </c>
      <c r="J19" s="14">
        <v>4864</v>
      </c>
      <c r="K19" s="15">
        <f>L19</f>
        <v>4864</v>
      </c>
      <c r="L19" s="15">
        <f>2193+2671</f>
        <v>4864</v>
      </c>
      <c r="M19" s="15">
        <f t="shared" ref="M19" si="17">L19-N19</f>
        <v>4864</v>
      </c>
      <c r="N19" s="15">
        <v>0</v>
      </c>
      <c r="O19" s="58">
        <f t="shared" ref="O19" si="18">IF(L19=0,"0",N19/L19)</f>
        <v>0</v>
      </c>
      <c r="P19" s="39">
        <f t="shared" ref="P19" si="19">IF(L19=0,"0",(24-Q19))</f>
        <v>23</v>
      </c>
      <c r="Q19" s="40">
        <f t="shared" ref="Q19" si="20">SUM(R19:AA19)</f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ref="AB19" si="21">IF(J19=0,"0",(L19/J19))</f>
        <v>1</v>
      </c>
      <c r="AC19" s="9">
        <f t="shared" ref="AC19" si="22">IF(P19=0,"0",(P19/24))</f>
        <v>0.95833333333333337</v>
      </c>
      <c r="AD19" s="10">
        <f t="shared" ref="AD19" si="23">AC19*AB19*(1-O19)</f>
        <v>0.95833333333333337</v>
      </c>
      <c r="AE19" s="36">
        <f t="shared" si="7"/>
        <v>0.5759803921568627</v>
      </c>
      <c r="AF19" s="84">
        <f t="shared" ref="AF19" si="24">A19</f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140</v>
      </c>
      <c r="E20" s="53" t="s">
        <v>320</v>
      </c>
      <c r="F20" s="30" t="s">
        <v>138</v>
      </c>
      <c r="G20" s="33">
        <v>1</v>
      </c>
      <c r="H20" s="35">
        <v>24</v>
      </c>
      <c r="I20" s="7">
        <v>18000</v>
      </c>
      <c r="J20" s="14">
        <v>3150</v>
      </c>
      <c r="K20" s="15">
        <f>L20</f>
        <v>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0.5759803921568627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288</v>
      </c>
      <c r="F21" s="30" t="s">
        <v>138</v>
      </c>
      <c r="G21" s="12">
        <v>1</v>
      </c>
      <c r="H21" s="13">
        <v>24</v>
      </c>
      <c r="I21" s="7">
        <v>130000</v>
      </c>
      <c r="J21" s="14">
        <v>4157</v>
      </c>
      <c r="K21" s="15">
        <f>L21+582+5215+5575+2206+3456+4708</f>
        <v>25899</v>
      </c>
      <c r="L21" s="15">
        <f>2813+1344</f>
        <v>4157</v>
      </c>
      <c r="M21" s="15">
        <f t="shared" si="0"/>
        <v>4157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0.5759803921568627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356</v>
      </c>
      <c r="F22" s="12" t="s">
        <v>114</v>
      </c>
      <c r="G22" s="12">
        <v>4</v>
      </c>
      <c r="H22" s="35">
        <v>20</v>
      </c>
      <c r="I22" s="7">
        <v>2000000</v>
      </c>
      <c r="J22" s="14">
        <v>69756</v>
      </c>
      <c r="K22" s="15">
        <f>L22+63388+69392+28968+33256+34460+34384+70208+69780+63952+70200</f>
        <v>607744</v>
      </c>
      <c r="L22" s="15">
        <f>8695*4+8744*4</f>
        <v>69756</v>
      </c>
      <c r="M22" s="15">
        <f t="shared" si="0"/>
        <v>69756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0.5759803921568627</v>
      </c>
      <c r="AF22" s="84">
        <f t="shared" si="8"/>
        <v>16</v>
      </c>
    </row>
    <row r="23" spans="1:32" ht="31.5" customHeight="1" thickBot="1">
      <c r="A23" s="422" t="s">
        <v>34</v>
      </c>
      <c r="B23" s="423"/>
      <c r="C23" s="423"/>
      <c r="D23" s="423"/>
      <c r="E23" s="423"/>
      <c r="F23" s="423"/>
      <c r="G23" s="423"/>
      <c r="H23" s="424"/>
      <c r="I23" s="22">
        <f t="shared" ref="I23:N23" si="25">SUM(I6:I22)</f>
        <v>2771450</v>
      </c>
      <c r="J23" s="19">
        <f t="shared" si="25"/>
        <v>153761</v>
      </c>
      <c r="K23" s="20">
        <f t="shared" si="25"/>
        <v>888590</v>
      </c>
      <c r="L23" s="21">
        <f t="shared" si="25"/>
        <v>145269</v>
      </c>
      <c r="M23" s="20">
        <f t="shared" si="25"/>
        <v>145269</v>
      </c>
      <c r="N23" s="21">
        <f t="shared" si="25"/>
        <v>0</v>
      </c>
      <c r="O23" s="41">
        <f t="shared" si="1"/>
        <v>0</v>
      </c>
      <c r="P23" s="42">
        <f t="shared" ref="P23:AA23" si="26">SUM(P6:P22)</f>
        <v>235</v>
      </c>
      <c r="Q23" s="43">
        <f t="shared" si="26"/>
        <v>173</v>
      </c>
      <c r="R23" s="23">
        <f t="shared" si="26"/>
        <v>0</v>
      </c>
      <c r="S23" s="24">
        <f t="shared" si="26"/>
        <v>86</v>
      </c>
      <c r="T23" s="24">
        <f t="shared" si="26"/>
        <v>15</v>
      </c>
      <c r="U23" s="24">
        <f t="shared" si="26"/>
        <v>0</v>
      </c>
      <c r="V23" s="25">
        <f t="shared" si="26"/>
        <v>48</v>
      </c>
      <c r="W23" s="26">
        <f t="shared" si="26"/>
        <v>24</v>
      </c>
      <c r="X23" s="27">
        <f t="shared" si="26"/>
        <v>0</v>
      </c>
      <c r="Y23" s="27">
        <f t="shared" si="26"/>
        <v>0</v>
      </c>
      <c r="Z23" s="27">
        <f t="shared" si="26"/>
        <v>0</v>
      </c>
      <c r="AA23" s="27">
        <f t="shared" si="26"/>
        <v>0</v>
      </c>
      <c r="AB23" s="28">
        <f>AVERAGE(AB6:AB22)</f>
        <v>0.76470588235294112</v>
      </c>
      <c r="AC23" s="4">
        <f>AVERAGE(AC6:AC22)</f>
        <v>0.5759803921568627</v>
      </c>
      <c r="AD23" s="4">
        <f>AVERAGE(AD6:AD22)</f>
        <v>0.5759803921568627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25" t="s">
        <v>45</v>
      </c>
      <c r="B50" s="425"/>
      <c r="C50" s="425"/>
      <c r="D50" s="425"/>
      <c r="E50" s="425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26" t="s">
        <v>483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8"/>
      <c r="N51" s="429" t="s">
        <v>491</v>
      </c>
      <c r="O51" s="430"/>
      <c r="P51" s="430"/>
      <c r="Q51" s="430"/>
      <c r="R51" s="430"/>
      <c r="S51" s="430"/>
      <c r="T51" s="430"/>
      <c r="U51" s="430"/>
      <c r="V51" s="430"/>
      <c r="W51" s="430"/>
      <c r="X51" s="430"/>
      <c r="Y51" s="430"/>
      <c r="Z51" s="430"/>
      <c r="AA51" s="430"/>
      <c r="AB51" s="430"/>
      <c r="AC51" s="430"/>
      <c r="AD51" s="431"/>
    </row>
    <row r="52" spans="1:32" ht="27" customHeight="1">
      <c r="A52" s="432" t="s">
        <v>2</v>
      </c>
      <c r="B52" s="433"/>
      <c r="C52" s="383" t="s">
        <v>46</v>
      </c>
      <c r="D52" s="383" t="s">
        <v>47</v>
      </c>
      <c r="E52" s="383" t="s">
        <v>107</v>
      </c>
      <c r="F52" s="434" t="s">
        <v>106</v>
      </c>
      <c r="G52" s="435"/>
      <c r="H52" s="435"/>
      <c r="I52" s="435"/>
      <c r="J52" s="435"/>
      <c r="K52" s="435"/>
      <c r="L52" s="435"/>
      <c r="M52" s="436"/>
      <c r="N52" s="67" t="s">
        <v>110</v>
      </c>
      <c r="O52" s="383" t="s">
        <v>46</v>
      </c>
      <c r="P52" s="434" t="s">
        <v>47</v>
      </c>
      <c r="Q52" s="437"/>
      <c r="R52" s="434" t="s">
        <v>38</v>
      </c>
      <c r="S52" s="435"/>
      <c r="T52" s="435"/>
      <c r="U52" s="437"/>
      <c r="V52" s="434" t="s">
        <v>48</v>
      </c>
      <c r="W52" s="435"/>
      <c r="X52" s="435"/>
      <c r="Y52" s="435"/>
      <c r="Z52" s="435"/>
      <c r="AA52" s="435"/>
      <c r="AB52" s="435"/>
      <c r="AC52" s="435"/>
      <c r="AD52" s="436"/>
    </row>
    <row r="53" spans="1:32" ht="27" customHeight="1">
      <c r="A53" s="448" t="s">
        <v>118</v>
      </c>
      <c r="B53" s="449"/>
      <c r="C53" s="384" t="s">
        <v>129</v>
      </c>
      <c r="D53" s="384" t="s">
        <v>115</v>
      </c>
      <c r="E53" s="386" t="s">
        <v>319</v>
      </c>
      <c r="F53" s="450" t="s">
        <v>484</v>
      </c>
      <c r="G53" s="451"/>
      <c r="H53" s="451"/>
      <c r="I53" s="451"/>
      <c r="J53" s="451"/>
      <c r="K53" s="451"/>
      <c r="L53" s="451"/>
      <c r="M53" s="452"/>
      <c r="N53" s="385" t="s">
        <v>118</v>
      </c>
      <c r="O53" s="391" t="s">
        <v>134</v>
      </c>
      <c r="P53" s="453" t="s">
        <v>140</v>
      </c>
      <c r="Q53" s="454"/>
      <c r="R53" s="453" t="s">
        <v>320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118</v>
      </c>
      <c r="B54" s="449"/>
      <c r="C54" s="384" t="s">
        <v>134</v>
      </c>
      <c r="D54" s="384" t="s">
        <v>140</v>
      </c>
      <c r="E54" s="386" t="s">
        <v>320</v>
      </c>
      <c r="F54" s="450" t="s">
        <v>485</v>
      </c>
      <c r="G54" s="451"/>
      <c r="H54" s="451"/>
      <c r="I54" s="451"/>
      <c r="J54" s="451"/>
      <c r="K54" s="451"/>
      <c r="L54" s="451"/>
      <c r="M54" s="452"/>
      <c r="N54" s="385" t="s">
        <v>118</v>
      </c>
      <c r="O54" s="391" t="s">
        <v>139</v>
      </c>
      <c r="P54" s="453" t="s">
        <v>115</v>
      </c>
      <c r="Q54" s="454"/>
      <c r="R54" s="453" t="s">
        <v>482</v>
      </c>
      <c r="S54" s="455"/>
      <c r="T54" s="455"/>
      <c r="U54" s="454"/>
      <c r="V54" s="456" t="s">
        <v>126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112</v>
      </c>
      <c r="B55" s="449"/>
      <c r="C55" s="384" t="s">
        <v>143</v>
      </c>
      <c r="D55" s="384" t="s">
        <v>115</v>
      </c>
      <c r="E55" s="386" t="s">
        <v>288</v>
      </c>
      <c r="F55" s="450" t="s">
        <v>486</v>
      </c>
      <c r="G55" s="451"/>
      <c r="H55" s="451"/>
      <c r="I55" s="451"/>
      <c r="J55" s="451"/>
      <c r="K55" s="451"/>
      <c r="L55" s="451"/>
      <c r="M55" s="452"/>
      <c r="N55" s="385" t="s">
        <v>118</v>
      </c>
      <c r="O55" s="391" t="s">
        <v>289</v>
      </c>
      <c r="P55" s="453" t="s">
        <v>115</v>
      </c>
      <c r="Q55" s="454"/>
      <c r="R55" s="453" t="s">
        <v>146</v>
      </c>
      <c r="S55" s="455"/>
      <c r="T55" s="455"/>
      <c r="U55" s="454"/>
      <c r="V55" s="456" t="s">
        <v>126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118</v>
      </c>
      <c r="B56" s="449"/>
      <c r="C56" s="384" t="s">
        <v>224</v>
      </c>
      <c r="D56" s="384" t="s">
        <v>148</v>
      </c>
      <c r="E56" s="386" t="s">
        <v>292</v>
      </c>
      <c r="F56" s="450" t="s">
        <v>130</v>
      </c>
      <c r="G56" s="451"/>
      <c r="H56" s="451"/>
      <c r="I56" s="451"/>
      <c r="J56" s="451"/>
      <c r="K56" s="451"/>
      <c r="L56" s="451"/>
      <c r="M56" s="452"/>
      <c r="N56" s="385" t="s">
        <v>118</v>
      </c>
      <c r="O56" s="391" t="s">
        <v>135</v>
      </c>
      <c r="P56" s="453" t="s">
        <v>217</v>
      </c>
      <c r="Q56" s="454"/>
      <c r="R56" s="453" t="s">
        <v>492</v>
      </c>
      <c r="S56" s="455"/>
      <c r="T56" s="455"/>
      <c r="U56" s="454"/>
      <c r="V56" s="456" t="s">
        <v>130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118</v>
      </c>
      <c r="B57" s="449"/>
      <c r="C57" s="384" t="s">
        <v>142</v>
      </c>
      <c r="D57" s="384" t="s">
        <v>115</v>
      </c>
      <c r="E57" s="386" t="s">
        <v>457</v>
      </c>
      <c r="F57" s="450" t="s">
        <v>130</v>
      </c>
      <c r="G57" s="451"/>
      <c r="H57" s="451"/>
      <c r="I57" s="451"/>
      <c r="J57" s="451"/>
      <c r="K57" s="451"/>
      <c r="L57" s="451"/>
      <c r="M57" s="452"/>
      <c r="N57" s="385"/>
      <c r="O57" s="391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118</v>
      </c>
      <c r="B58" s="449"/>
      <c r="C58" s="384" t="s">
        <v>139</v>
      </c>
      <c r="D58" s="384" t="s">
        <v>115</v>
      </c>
      <c r="E58" s="386" t="s">
        <v>482</v>
      </c>
      <c r="F58" s="450" t="s">
        <v>229</v>
      </c>
      <c r="G58" s="451"/>
      <c r="H58" s="451"/>
      <c r="I58" s="451"/>
      <c r="J58" s="451"/>
      <c r="K58" s="451"/>
      <c r="L58" s="451"/>
      <c r="M58" s="452"/>
      <c r="N58" s="385"/>
      <c r="O58" s="391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48" t="s">
        <v>112</v>
      </c>
      <c r="B59" s="449"/>
      <c r="C59" s="384" t="s">
        <v>230</v>
      </c>
      <c r="D59" s="384" t="s">
        <v>217</v>
      </c>
      <c r="E59" s="386" t="s">
        <v>245</v>
      </c>
      <c r="F59" s="450" t="s">
        <v>487</v>
      </c>
      <c r="G59" s="451"/>
      <c r="H59" s="451"/>
      <c r="I59" s="451"/>
      <c r="J59" s="451"/>
      <c r="K59" s="451"/>
      <c r="L59" s="451"/>
      <c r="M59" s="452"/>
      <c r="N59" s="385"/>
      <c r="O59" s="391"/>
      <c r="P59" s="453"/>
      <c r="Q59" s="454"/>
      <c r="R59" s="453"/>
      <c r="S59" s="455"/>
      <c r="T59" s="455"/>
      <c r="U59" s="454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58" t="s">
        <v>112</v>
      </c>
      <c r="B60" s="459"/>
      <c r="C60" s="386" t="s">
        <v>139</v>
      </c>
      <c r="D60" s="386" t="s">
        <v>489</v>
      </c>
      <c r="E60" s="386" t="s">
        <v>481</v>
      </c>
      <c r="F60" s="450" t="s">
        <v>488</v>
      </c>
      <c r="G60" s="451"/>
      <c r="H60" s="451"/>
      <c r="I60" s="451"/>
      <c r="J60" s="451"/>
      <c r="K60" s="451"/>
      <c r="L60" s="451"/>
      <c r="M60" s="452"/>
      <c r="N60" s="385"/>
      <c r="O60" s="391"/>
      <c r="P60" s="453"/>
      <c r="Q60" s="454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</row>
    <row r="61" spans="1:32" ht="27" customHeight="1">
      <c r="A61" s="448" t="s">
        <v>118</v>
      </c>
      <c r="B61" s="449"/>
      <c r="C61" s="384" t="s">
        <v>289</v>
      </c>
      <c r="D61" s="384" t="s">
        <v>115</v>
      </c>
      <c r="E61" s="386" t="s">
        <v>146</v>
      </c>
      <c r="F61" s="450" t="s">
        <v>490</v>
      </c>
      <c r="G61" s="451"/>
      <c r="H61" s="451"/>
      <c r="I61" s="451"/>
      <c r="J61" s="451"/>
      <c r="K61" s="451"/>
      <c r="L61" s="451"/>
      <c r="M61" s="452"/>
      <c r="N61" s="385"/>
      <c r="O61" s="391"/>
      <c r="P61" s="459"/>
      <c r="Q61" s="459"/>
      <c r="R61" s="459"/>
      <c r="S61" s="459"/>
      <c r="T61" s="459"/>
      <c r="U61" s="459"/>
      <c r="V61" s="456"/>
      <c r="W61" s="456"/>
      <c r="X61" s="456"/>
      <c r="Y61" s="456"/>
      <c r="Z61" s="456"/>
      <c r="AA61" s="456"/>
      <c r="AB61" s="456"/>
      <c r="AC61" s="456"/>
      <c r="AD61" s="457"/>
      <c r="AF61" s="84">
        <f>8*3000</f>
        <v>24000</v>
      </c>
    </row>
    <row r="62" spans="1:32" ht="27" customHeight="1" thickBot="1">
      <c r="A62" s="460"/>
      <c r="B62" s="461"/>
      <c r="C62" s="387"/>
      <c r="D62" s="388"/>
      <c r="E62" s="388"/>
      <c r="F62" s="462"/>
      <c r="G62" s="463"/>
      <c r="H62" s="463"/>
      <c r="I62" s="463"/>
      <c r="J62" s="463"/>
      <c r="K62" s="463"/>
      <c r="L62" s="463"/>
      <c r="M62" s="464"/>
      <c r="N62" s="111"/>
      <c r="O62" s="103"/>
      <c r="P62" s="465"/>
      <c r="Q62" s="465"/>
      <c r="R62" s="465"/>
      <c r="S62" s="465"/>
      <c r="T62" s="465"/>
      <c r="U62" s="465"/>
      <c r="V62" s="466"/>
      <c r="W62" s="466"/>
      <c r="X62" s="466"/>
      <c r="Y62" s="466"/>
      <c r="Z62" s="466"/>
      <c r="AA62" s="466"/>
      <c r="AB62" s="466"/>
      <c r="AC62" s="466"/>
      <c r="AD62" s="467"/>
      <c r="AF62" s="84">
        <f>16*3000</f>
        <v>48000</v>
      </c>
    </row>
    <row r="63" spans="1:32" ht="27.75" thickBot="1">
      <c r="A63" s="468" t="s">
        <v>493</v>
      </c>
      <c r="B63" s="468"/>
      <c r="C63" s="468"/>
      <c r="D63" s="468"/>
      <c r="E63" s="46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69" t="s">
        <v>111</v>
      </c>
      <c r="B64" s="470"/>
      <c r="C64" s="389" t="s">
        <v>2</v>
      </c>
      <c r="D64" s="389" t="s">
        <v>37</v>
      </c>
      <c r="E64" s="389" t="s">
        <v>3</v>
      </c>
      <c r="F64" s="470" t="s">
        <v>109</v>
      </c>
      <c r="G64" s="470"/>
      <c r="H64" s="470"/>
      <c r="I64" s="470"/>
      <c r="J64" s="470"/>
      <c r="K64" s="470" t="s">
        <v>39</v>
      </c>
      <c r="L64" s="470"/>
      <c r="M64" s="389" t="s">
        <v>40</v>
      </c>
      <c r="N64" s="470" t="s">
        <v>41</v>
      </c>
      <c r="O64" s="470"/>
      <c r="P64" s="471" t="s">
        <v>42</v>
      </c>
      <c r="Q64" s="472"/>
      <c r="R64" s="471" t="s">
        <v>43</v>
      </c>
      <c r="S64" s="473"/>
      <c r="T64" s="473"/>
      <c r="U64" s="473"/>
      <c r="V64" s="473"/>
      <c r="W64" s="473"/>
      <c r="X64" s="473"/>
      <c r="Y64" s="473"/>
      <c r="Z64" s="473"/>
      <c r="AA64" s="472"/>
      <c r="AB64" s="470" t="s">
        <v>44</v>
      </c>
      <c r="AC64" s="470"/>
      <c r="AD64" s="474"/>
      <c r="AF64" s="84">
        <f>SUM(AF61:AF63)</f>
        <v>96000</v>
      </c>
    </row>
    <row r="65" spans="1:32" ht="25.5" customHeight="1">
      <c r="A65" s="475">
        <v>1</v>
      </c>
      <c r="B65" s="476"/>
      <c r="C65" s="104" t="s">
        <v>112</v>
      </c>
      <c r="D65" s="393"/>
      <c r="E65" s="390" t="s">
        <v>489</v>
      </c>
      <c r="F65" s="477" t="s">
        <v>481</v>
      </c>
      <c r="G65" s="478"/>
      <c r="H65" s="478"/>
      <c r="I65" s="478"/>
      <c r="J65" s="479"/>
      <c r="K65" s="480" t="s">
        <v>246</v>
      </c>
      <c r="L65" s="480"/>
      <c r="M65" s="51" t="s">
        <v>137</v>
      </c>
      <c r="N65" s="481" t="s">
        <v>139</v>
      </c>
      <c r="O65" s="481"/>
      <c r="P65" s="482">
        <v>50</v>
      </c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2</v>
      </c>
      <c r="B66" s="476"/>
      <c r="C66" s="104" t="s">
        <v>112</v>
      </c>
      <c r="D66" s="393"/>
      <c r="E66" s="390" t="s">
        <v>220</v>
      </c>
      <c r="F66" s="477" t="s">
        <v>494</v>
      </c>
      <c r="G66" s="478"/>
      <c r="H66" s="478"/>
      <c r="I66" s="478"/>
      <c r="J66" s="479"/>
      <c r="K66" s="480">
        <v>8301</v>
      </c>
      <c r="L66" s="480"/>
      <c r="M66" s="51" t="s">
        <v>495</v>
      </c>
      <c r="N66" s="481" t="s">
        <v>224</v>
      </c>
      <c r="O66" s="481"/>
      <c r="P66" s="482">
        <v>50</v>
      </c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3</v>
      </c>
      <c r="B67" s="476"/>
      <c r="C67" s="104"/>
      <c r="D67" s="393"/>
      <c r="E67" s="390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4</v>
      </c>
      <c r="B68" s="476"/>
      <c r="C68" s="104"/>
      <c r="D68" s="393"/>
      <c r="E68" s="390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5</v>
      </c>
      <c r="B69" s="476"/>
      <c r="C69" s="104"/>
      <c r="D69" s="393"/>
      <c r="E69" s="390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6</v>
      </c>
      <c r="B70" s="476"/>
      <c r="C70" s="104"/>
      <c r="D70" s="393"/>
      <c r="E70" s="390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7</v>
      </c>
      <c r="B71" s="476"/>
      <c r="C71" s="104"/>
      <c r="D71" s="393"/>
      <c r="E71" s="390"/>
      <c r="F71" s="477"/>
      <c r="G71" s="478"/>
      <c r="H71" s="478"/>
      <c r="I71" s="478"/>
      <c r="J71" s="479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8</v>
      </c>
      <c r="B72" s="476"/>
      <c r="C72" s="104"/>
      <c r="D72" s="393"/>
      <c r="E72" s="390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9</v>
      </c>
      <c r="B73" s="476"/>
      <c r="C73" s="104"/>
      <c r="D73" s="393"/>
      <c r="E73" s="390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5.5" customHeight="1">
      <c r="A74" s="475">
        <v>10</v>
      </c>
      <c r="B74" s="476"/>
      <c r="C74" s="104"/>
      <c r="D74" s="393"/>
      <c r="E74" s="390"/>
      <c r="F74" s="484"/>
      <c r="G74" s="480"/>
      <c r="H74" s="480"/>
      <c r="I74" s="480"/>
      <c r="J74" s="480"/>
      <c r="K74" s="480"/>
      <c r="L74" s="480"/>
      <c r="M74" s="51"/>
      <c r="N74" s="481"/>
      <c r="O74" s="481"/>
      <c r="P74" s="482"/>
      <c r="Q74" s="482"/>
      <c r="R74" s="456"/>
      <c r="S74" s="456"/>
      <c r="T74" s="456"/>
      <c r="U74" s="456"/>
      <c r="V74" s="456"/>
      <c r="W74" s="456"/>
      <c r="X74" s="456"/>
      <c r="Y74" s="456"/>
      <c r="Z74" s="456"/>
      <c r="AA74" s="456"/>
      <c r="AB74" s="480"/>
      <c r="AC74" s="480"/>
      <c r="AD74" s="483"/>
      <c r="AF74" s="50"/>
    </row>
    <row r="75" spans="1:32" ht="26.25" customHeight="1" thickBot="1">
      <c r="A75" s="485" t="s">
        <v>496</v>
      </c>
      <c r="B75" s="485"/>
      <c r="C75" s="485"/>
      <c r="D75" s="485"/>
      <c r="E75" s="48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86" t="s">
        <v>133</v>
      </c>
      <c r="B76" s="487"/>
      <c r="C76" s="392" t="s">
        <v>2</v>
      </c>
      <c r="D76" s="392" t="s">
        <v>37</v>
      </c>
      <c r="E76" s="392" t="s">
        <v>128</v>
      </c>
      <c r="F76" s="487" t="s">
        <v>38</v>
      </c>
      <c r="G76" s="487"/>
      <c r="H76" s="487"/>
      <c r="I76" s="487"/>
      <c r="J76" s="487"/>
      <c r="K76" s="488" t="s">
        <v>58</v>
      </c>
      <c r="L76" s="489"/>
      <c r="M76" s="489"/>
      <c r="N76" s="489"/>
      <c r="O76" s="489"/>
      <c r="P76" s="489"/>
      <c r="Q76" s="489"/>
      <c r="R76" s="489"/>
      <c r="S76" s="490"/>
      <c r="T76" s="487" t="s">
        <v>49</v>
      </c>
      <c r="U76" s="487"/>
      <c r="V76" s="488" t="s">
        <v>50</v>
      </c>
      <c r="W76" s="490"/>
      <c r="X76" s="489" t="s">
        <v>51</v>
      </c>
      <c r="Y76" s="489"/>
      <c r="Z76" s="489"/>
      <c r="AA76" s="489"/>
      <c r="AB76" s="489"/>
      <c r="AC76" s="489"/>
      <c r="AD76" s="491"/>
      <c r="AF76" s="50"/>
    </row>
    <row r="77" spans="1:32" ht="33.75" customHeight="1">
      <c r="A77" s="500">
        <v>1</v>
      </c>
      <c r="B77" s="501"/>
      <c r="C77" s="394" t="s">
        <v>112</v>
      </c>
      <c r="D77" s="394"/>
      <c r="E77" s="65" t="s">
        <v>117</v>
      </c>
      <c r="F77" s="502" t="s">
        <v>116</v>
      </c>
      <c r="G77" s="503"/>
      <c r="H77" s="503"/>
      <c r="I77" s="503"/>
      <c r="J77" s="504"/>
      <c r="K77" s="505" t="s">
        <v>120</v>
      </c>
      <c r="L77" s="506"/>
      <c r="M77" s="506"/>
      <c r="N77" s="506"/>
      <c r="O77" s="506"/>
      <c r="P77" s="506"/>
      <c r="Q77" s="506"/>
      <c r="R77" s="506"/>
      <c r="S77" s="507"/>
      <c r="T77" s="508">
        <v>44118</v>
      </c>
      <c r="U77" s="509"/>
      <c r="V77" s="510"/>
      <c r="W77" s="510"/>
      <c r="X77" s="511"/>
      <c r="Y77" s="511"/>
      <c r="Z77" s="511"/>
      <c r="AA77" s="511"/>
      <c r="AB77" s="511"/>
      <c r="AC77" s="511"/>
      <c r="AD77" s="512"/>
      <c r="AF77" s="50"/>
    </row>
    <row r="78" spans="1:32" ht="30" customHeight="1">
      <c r="A78" s="492">
        <f>A77+1</f>
        <v>2</v>
      </c>
      <c r="B78" s="493"/>
      <c r="C78" s="393"/>
      <c r="D78" s="393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ref="A79:A83" si="27">A78+1</f>
        <v>3</v>
      </c>
      <c r="B79" s="493"/>
      <c r="C79" s="393"/>
      <c r="D79" s="393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27"/>
        <v>4</v>
      </c>
      <c r="B80" s="493"/>
      <c r="C80" s="393"/>
      <c r="D80" s="393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27"/>
        <v>5</v>
      </c>
      <c r="B81" s="493"/>
      <c r="C81" s="393"/>
      <c r="D81" s="393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27"/>
        <v>6</v>
      </c>
      <c r="B82" s="493"/>
      <c r="C82" s="393"/>
      <c r="D82" s="393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0" customHeight="1">
      <c r="A83" s="492">
        <f t="shared" si="27"/>
        <v>7</v>
      </c>
      <c r="B83" s="493"/>
      <c r="C83" s="393"/>
      <c r="D83" s="393"/>
      <c r="E83" s="32"/>
      <c r="F83" s="493"/>
      <c r="G83" s="493"/>
      <c r="H83" s="493"/>
      <c r="I83" s="493"/>
      <c r="J83" s="493"/>
      <c r="K83" s="494"/>
      <c r="L83" s="495"/>
      <c r="M83" s="495"/>
      <c r="N83" s="495"/>
      <c r="O83" s="495"/>
      <c r="P83" s="495"/>
      <c r="Q83" s="495"/>
      <c r="R83" s="495"/>
      <c r="S83" s="496"/>
      <c r="T83" s="497"/>
      <c r="U83" s="497"/>
      <c r="V83" s="497"/>
      <c r="W83" s="497"/>
      <c r="X83" s="498"/>
      <c r="Y83" s="498"/>
      <c r="Z83" s="498"/>
      <c r="AA83" s="498"/>
      <c r="AB83" s="498"/>
      <c r="AC83" s="498"/>
      <c r="AD83" s="499"/>
      <c r="AF83" s="50"/>
    </row>
    <row r="84" spans="1:32" ht="36" thickBot="1">
      <c r="A84" s="485" t="s">
        <v>497</v>
      </c>
      <c r="B84" s="485"/>
      <c r="C84" s="485"/>
      <c r="D84" s="485"/>
      <c r="E84" s="48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86" t="s">
        <v>111</v>
      </c>
      <c r="B85" s="487"/>
      <c r="C85" s="513" t="s">
        <v>52</v>
      </c>
      <c r="D85" s="513"/>
      <c r="E85" s="513" t="s">
        <v>53</v>
      </c>
      <c r="F85" s="513"/>
      <c r="G85" s="513"/>
      <c r="H85" s="513"/>
      <c r="I85" s="513"/>
      <c r="J85" s="513"/>
      <c r="K85" s="513" t="s">
        <v>54</v>
      </c>
      <c r="L85" s="513"/>
      <c r="M85" s="513"/>
      <c r="N85" s="513"/>
      <c r="O85" s="513"/>
      <c r="P85" s="513"/>
      <c r="Q85" s="513"/>
      <c r="R85" s="513"/>
      <c r="S85" s="513"/>
      <c r="T85" s="513" t="s">
        <v>55</v>
      </c>
      <c r="U85" s="513"/>
      <c r="V85" s="513" t="s">
        <v>56</v>
      </c>
      <c r="W85" s="513"/>
      <c r="X85" s="513"/>
      <c r="Y85" s="513" t="s">
        <v>51</v>
      </c>
      <c r="Z85" s="513"/>
      <c r="AA85" s="513"/>
      <c r="AB85" s="513"/>
      <c r="AC85" s="513"/>
      <c r="AD85" s="514"/>
      <c r="AF85" s="50"/>
    </row>
    <row r="86" spans="1:32" ht="30.75" customHeight="1">
      <c r="A86" s="500">
        <v>1</v>
      </c>
      <c r="B86" s="501"/>
      <c r="C86" s="515"/>
      <c r="D86" s="515"/>
      <c r="E86" s="515"/>
      <c r="F86" s="515"/>
      <c r="G86" s="515"/>
      <c r="H86" s="515"/>
      <c r="I86" s="515"/>
      <c r="J86" s="515"/>
      <c r="K86" s="515"/>
      <c r="L86" s="515"/>
      <c r="M86" s="515"/>
      <c r="N86" s="515"/>
      <c r="O86" s="515"/>
      <c r="P86" s="515"/>
      <c r="Q86" s="515"/>
      <c r="R86" s="515"/>
      <c r="S86" s="515"/>
      <c r="T86" s="515"/>
      <c r="U86" s="515"/>
      <c r="V86" s="516"/>
      <c r="W86" s="516"/>
      <c r="X86" s="516"/>
      <c r="Y86" s="517"/>
      <c r="Z86" s="517"/>
      <c r="AA86" s="517"/>
      <c r="AB86" s="517"/>
      <c r="AC86" s="517"/>
      <c r="AD86" s="518"/>
      <c r="AF86" s="50"/>
    </row>
    <row r="87" spans="1:32" ht="30.75" customHeight="1">
      <c r="A87" s="492">
        <v>2</v>
      </c>
      <c r="B87" s="493"/>
      <c r="C87" s="526"/>
      <c r="D87" s="526"/>
      <c r="E87" s="526"/>
      <c r="F87" s="526"/>
      <c r="G87" s="526"/>
      <c r="H87" s="526"/>
      <c r="I87" s="526"/>
      <c r="J87" s="526"/>
      <c r="K87" s="526"/>
      <c r="L87" s="526"/>
      <c r="M87" s="526"/>
      <c r="N87" s="526"/>
      <c r="O87" s="526"/>
      <c r="P87" s="526"/>
      <c r="Q87" s="526"/>
      <c r="R87" s="526"/>
      <c r="S87" s="526"/>
      <c r="T87" s="527"/>
      <c r="U87" s="527"/>
      <c r="V87" s="528"/>
      <c r="W87" s="528"/>
      <c r="X87" s="528"/>
      <c r="Y87" s="519"/>
      <c r="Z87" s="519"/>
      <c r="AA87" s="519"/>
      <c r="AB87" s="519"/>
      <c r="AC87" s="519"/>
      <c r="AD87" s="520"/>
      <c r="AF87" s="50"/>
    </row>
    <row r="88" spans="1:32" ht="30.75" customHeight="1" thickBot="1">
      <c r="A88" s="521">
        <v>3</v>
      </c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3"/>
      <c r="S88" s="523"/>
      <c r="T88" s="523"/>
      <c r="U88" s="523"/>
      <c r="V88" s="523"/>
      <c r="W88" s="523"/>
      <c r="X88" s="523"/>
      <c r="Y88" s="524"/>
      <c r="Z88" s="524"/>
      <c r="AA88" s="524"/>
      <c r="AB88" s="524"/>
      <c r="AC88" s="524"/>
      <c r="AD88" s="525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FB7-A614-42AD-9576-8300DE67C8FC}">
  <dimension ref="A1:AF87"/>
  <sheetViews>
    <sheetView tabSelected="1"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08" t="s">
        <v>498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09"/>
      <c r="B3" s="409"/>
      <c r="C3" s="409"/>
      <c r="D3" s="409"/>
      <c r="E3" s="409"/>
      <c r="F3" s="409"/>
      <c r="G3" s="40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10" t="s">
        <v>0</v>
      </c>
      <c r="B4" s="412" t="s">
        <v>1</v>
      </c>
      <c r="C4" s="412" t="s">
        <v>2</v>
      </c>
      <c r="D4" s="415" t="s">
        <v>3</v>
      </c>
      <c r="E4" s="417" t="s">
        <v>4</v>
      </c>
      <c r="F4" s="415" t="s">
        <v>5</v>
      </c>
      <c r="G4" s="412" t="s">
        <v>6</v>
      </c>
      <c r="H4" s="418" t="s">
        <v>7</v>
      </c>
      <c r="I4" s="438" t="s">
        <v>8</v>
      </c>
      <c r="J4" s="439"/>
      <c r="K4" s="439"/>
      <c r="L4" s="439"/>
      <c r="M4" s="439"/>
      <c r="N4" s="439"/>
      <c r="O4" s="440"/>
      <c r="P4" s="441" t="s">
        <v>9</v>
      </c>
      <c r="Q4" s="442"/>
      <c r="R4" s="443" t="s">
        <v>10</v>
      </c>
      <c r="S4" s="443"/>
      <c r="T4" s="443"/>
      <c r="U4" s="443"/>
      <c r="V4" s="443"/>
      <c r="W4" s="444" t="s">
        <v>11</v>
      </c>
      <c r="X4" s="443"/>
      <c r="Y4" s="443"/>
      <c r="Z4" s="443"/>
      <c r="AA4" s="445"/>
      <c r="AB4" s="446" t="s">
        <v>12</v>
      </c>
      <c r="AC4" s="420" t="s">
        <v>13</v>
      </c>
      <c r="AD4" s="420" t="s">
        <v>14</v>
      </c>
      <c r="AE4" s="54"/>
    </row>
    <row r="5" spans="1:32" ht="51" customHeight="1" thickBot="1">
      <c r="A5" s="411"/>
      <c r="B5" s="413"/>
      <c r="C5" s="414"/>
      <c r="D5" s="416"/>
      <c r="E5" s="416"/>
      <c r="F5" s="416"/>
      <c r="G5" s="413"/>
      <c r="H5" s="419"/>
      <c r="I5" s="55" t="s">
        <v>15</v>
      </c>
      <c r="J5" s="56" t="s">
        <v>16</v>
      </c>
      <c r="K5" s="407" t="s">
        <v>17</v>
      </c>
      <c r="L5" s="407" t="s">
        <v>18</v>
      </c>
      <c r="M5" s="407" t="s">
        <v>19</v>
      </c>
      <c r="N5" s="40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47"/>
      <c r="AC5" s="421"/>
      <c r="AD5" s="421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307</v>
      </c>
      <c r="E6" s="53" t="s">
        <v>304</v>
      </c>
      <c r="F6" s="30" t="s">
        <v>144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>$AD$22</f>
        <v>0.65624999999999989</v>
      </c>
      <c r="AF6" s="84">
        <f t="shared" ref="AF6:AF21" si="7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319</v>
      </c>
      <c r="F7" s="12" t="s">
        <v>158</v>
      </c>
      <c r="G7" s="12">
        <v>1</v>
      </c>
      <c r="H7" s="13">
        <v>24</v>
      </c>
      <c r="I7" s="31">
        <v>18000</v>
      </c>
      <c r="J7" s="14">
        <v>5792</v>
      </c>
      <c r="K7" s="15">
        <f>L7+2592+4850</f>
        <v>13234</v>
      </c>
      <c r="L7" s="15">
        <f>2885+2907</f>
        <v>5792</v>
      </c>
      <c r="M7" s="15">
        <f t="shared" si="0"/>
        <v>5792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>$AD$22</f>
        <v>0.65624999999999989</v>
      </c>
      <c r="AF7" s="84">
        <f t="shared" si="7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482</v>
      </c>
      <c r="F8" s="30" t="s">
        <v>206</v>
      </c>
      <c r="G8" s="33">
        <v>1</v>
      </c>
      <c r="H8" s="35">
        <v>24</v>
      </c>
      <c r="I8" s="7">
        <v>15000</v>
      </c>
      <c r="J8" s="5">
        <v>903</v>
      </c>
      <c r="K8" s="15">
        <f>L8+903</f>
        <v>903</v>
      </c>
      <c r="L8" s="15">
        <v>0</v>
      </c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>$AD$22</f>
        <v>0.65624999999999989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168</v>
      </c>
      <c r="E9" s="53" t="s">
        <v>150</v>
      </c>
      <c r="F9" s="30" t="s">
        <v>145</v>
      </c>
      <c r="G9" s="12">
        <v>1</v>
      </c>
      <c r="H9" s="13">
        <v>24</v>
      </c>
      <c r="I9" s="7">
        <v>65000</v>
      </c>
      <c r="J9" s="14">
        <v>4916</v>
      </c>
      <c r="K9" s="15">
        <f>L9+1344+2695+2818+1363+3398+4807+5146+5399+5363</f>
        <v>37249</v>
      </c>
      <c r="L9" s="15">
        <f>2192+2724</f>
        <v>4916</v>
      </c>
      <c r="M9" s="15">
        <f t="shared" si="0"/>
        <v>4916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>$AD$22</f>
        <v>0.65624999999999989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291</v>
      </c>
      <c r="E10" s="53" t="s">
        <v>290</v>
      </c>
      <c r="F10" s="30" t="s">
        <v>127</v>
      </c>
      <c r="G10" s="33">
        <v>2</v>
      </c>
      <c r="H10" s="35">
        <v>24</v>
      </c>
      <c r="I10" s="7">
        <v>36000</v>
      </c>
      <c r="J10" s="14">
        <v>14578</v>
      </c>
      <c r="K10" s="15">
        <f>L10+8494+15176</f>
        <v>38248</v>
      </c>
      <c r="L10" s="15">
        <f>3362*2+3927*2</f>
        <v>14578</v>
      </c>
      <c r="M10" s="15">
        <f t="shared" si="0"/>
        <v>14578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>$AD$22</f>
        <v>0.65624999999999989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168</v>
      </c>
      <c r="E11" s="53" t="s">
        <v>245</v>
      </c>
      <c r="F11" s="30" t="s">
        <v>246</v>
      </c>
      <c r="G11" s="33">
        <v>1</v>
      </c>
      <c r="H11" s="35">
        <v>24</v>
      </c>
      <c r="I11" s="7">
        <v>52000</v>
      </c>
      <c r="J11" s="14">
        <v>4675</v>
      </c>
      <c r="K11" s="15">
        <f>L11+5150+4152</f>
        <v>13977</v>
      </c>
      <c r="L11" s="15">
        <f>2734+1941</f>
        <v>4675</v>
      </c>
      <c r="M11" s="15">
        <f t="shared" si="0"/>
        <v>4675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6">
        <f>$AD$22</f>
        <v>0.65624999999999989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146</v>
      </c>
      <c r="F12" s="30" t="s">
        <v>138</v>
      </c>
      <c r="G12" s="12">
        <v>1</v>
      </c>
      <c r="H12" s="13">
        <v>22</v>
      </c>
      <c r="I12" s="31">
        <v>76000</v>
      </c>
      <c r="J12" s="5">
        <v>4639</v>
      </c>
      <c r="K12" s="15">
        <f>L12+5135+5549+5689+5232+5555+942</f>
        <v>32741</v>
      </c>
      <c r="L12" s="15">
        <f>2611+2028</f>
        <v>4639</v>
      </c>
      <c r="M12" s="15">
        <f t="shared" si="0"/>
        <v>4639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>$AD$22</f>
        <v>0.65624999999999989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168</v>
      </c>
      <c r="E13" s="53" t="s">
        <v>492</v>
      </c>
      <c r="F13" s="30" t="s">
        <v>246</v>
      </c>
      <c r="G13" s="33">
        <v>1</v>
      </c>
      <c r="H13" s="35">
        <v>24</v>
      </c>
      <c r="I13" s="7">
        <v>15000</v>
      </c>
      <c r="J13" s="14">
        <v>2321</v>
      </c>
      <c r="K13" s="15">
        <f>L13</f>
        <v>2321</v>
      </c>
      <c r="L13" s="15">
        <f>2321</f>
        <v>2321</v>
      </c>
      <c r="M13" s="15">
        <f t="shared" si="0"/>
        <v>2321</v>
      </c>
      <c r="N13" s="15">
        <v>0</v>
      </c>
      <c r="O13" s="58">
        <f t="shared" si="1"/>
        <v>0</v>
      </c>
      <c r="P13" s="39">
        <f t="shared" si="2"/>
        <v>11</v>
      </c>
      <c r="Q13" s="40">
        <f t="shared" si="3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0.45833333333333331</v>
      </c>
      <c r="AD13" s="10">
        <f t="shared" si="6"/>
        <v>0.45833333333333331</v>
      </c>
      <c r="AE13" s="36">
        <f>$AD$22</f>
        <v>0.65624999999999989</v>
      </c>
      <c r="AF13" s="84">
        <f t="shared" si="7"/>
        <v>8</v>
      </c>
    </row>
    <row r="14" spans="1:32" ht="27" customHeight="1">
      <c r="A14" s="105">
        <v>9</v>
      </c>
      <c r="B14" s="11" t="s">
        <v>57</v>
      </c>
      <c r="C14" s="34" t="s">
        <v>364</v>
      </c>
      <c r="D14" s="52" t="s">
        <v>115</v>
      </c>
      <c r="E14" s="53" t="s">
        <v>499</v>
      </c>
      <c r="F14" s="30" t="s">
        <v>373</v>
      </c>
      <c r="G14" s="33">
        <v>1</v>
      </c>
      <c r="H14" s="35">
        <v>50</v>
      </c>
      <c r="I14" s="7">
        <v>100</v>
      </c>
      <c r="J14" s="5">
        <v>926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20</v>
      </c>
      <c r="T14" s="16">
        <v>4</v>
      </c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>$AD$22</f>
        <v>0.65624999999999989</v>
      </c>
      <c r="AF14" s="84">
        <f t="shared" si="7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/>
      <c r="E15" s="53" t="s">
        <v>441</v>
      </c>
      <c r="F15" s="12" t="s">
        <v>136</v>
      </c>
      <c r="G15" s="12">
        <v>1</v>
      </c>
      <c r="H15" s="13">
        <v>24</v>
      </c>
      <c r="I15" s="31">
        <v>900</v>
      </c>
      <c r="J15" s="14">
        <v>1015</v>
      </c>
      <c r="K15" s="15">
        <f>L15+1015</f>
        <v>1015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>$AD$22</f>
        <v>0.65624999999999989</v>
      </c>
      <c r="AF15" s="84">
        <f t="shared" si="7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148</v>
      </c>
      <c r="E16" s="53" t="s">
        <v>175</v>
      </c>
      <c r="F16" s="30" t="s">
        <v>141</v>
      </c>
      <c r="G16" s="12">
        <v>2</v>
      </c>
      <c r="H16" s="13">
        <v>24</v>
      </c>
      <c r="I16" s="7">
        <v>150000</v>
      </c>
      <c r="J16" s="14">
        <v>19176</v>
      </c>
      <c r="K16" s="15">
        <f>L16+3140+8796+9536+5660+12138+18972+18052+19140+19144</f>
        <v>133754</v>
      </c>
      <c r="L16" s="15">
        <f>4909*2+4679*2</f>
        <v>19176</v>
      </c>
      <c r="M16" s="15">
        <f t="shared" si="0"/>
        <v>19176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>$AD$22</f>
        <v>0.65624999999999989</v>
      </c>
      <c r="AF16" s="84">
        <f t="shared" si="7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148</v>
      </c>
      <c r="E17" s="53" t="s">
        <v>292</v>
      </c>
      <c r="F17" s="30" t="s">
        <v>223</v>
      </c>
      <c r="G17" s="12">
        <v>2</v>
      </c>
      <c r="H17" s="13">
        <v>24</v>
      </c>
      <c r="I17" s="7">
        <v>36000</v>
      </c>
      <c r="J17" s="14">
        <v>12128</v>
      </c>
      <c r="K17" s="15">
        <f>L17+9540</f>
        <v>21668</v>
      </c>
      <c r="L17" s="15">
        <f>2951*2+3113*2</f>
        <v>12128</v>
      </c>
      <c r="M17" s="15">
        <f t="shared" si="0"/>
        <v>12128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>$AD$22</f>
        <v>0.65624999999999989</v>
      </c>
      <c r="AF17" s="84">
        <f t="shared" si="7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457</v>
      </c>
      <c r="F18" s="30" t="s">
        <v>206</v>
      </c>
      <c r="G18" s="33">
        <v>1</v>
      </c>
      <c r="H18" s="35">
        <v>24</v>
      </c>
      <c r="I18" s="7">
        <v>95000</v>
      </c>
      <c r="J18" s="14">
        <v>5380</v>
      </c>
      <c r="K18" s="15">
        <f>L18+4864</f>
        <v>10244</v>
      </c>
      <c r="L18" s="15">
        <f>2755+2625</f>
        <v>5380</v>
      </c>
      <c r="M18" s="15">
        <f t="shared" si="0"/>
        <v>5380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>$AD$22</f>
        <v>0.65624999999999989</v>
      </c>
      <c r="AF18" s="84">
        <f t="shared" si="7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140</v>
      </c>
      <c r="E19" s="53" t="s">
        <v>320</v>
      </c>
      <c r="F19" s="30" t="s">
        <v>138</v>
      </c>
      <c r="G19" s="33">
        <v>1</v>
      </c>
      <c r="H19" s="35">
        <v>24</v>
      </c>
      <c r="I19" s="7">
        <v>18000</v>
      </c>
      <c r="J19" s="14">
        <v>2379</v>
      </c>
      <c r="K19" s="15">
        <f>L19</f>
        <v>2379</v>
      </c>
      <c r="L19" s="15">
        <f>2379</f>
        <v>2379</v>
      </c>
      <c r="M19" s="15">
        <f t="shared" si="0"/>
        <v>2379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>
        <v>12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>$AD$22</f>
        <v>0.65624999999999989</v>
      </c>
      <c r="AF19" s="84">
        <f t="shared" si="7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288</v>
      </c>
      <c r="F20" s="30" t="s">
        <v>138</v>
      </c>
      <c r="G20" s="12">
        <v>1</v>
      </c>
      <c r="H20" s="13">
        <v>24</v>
      </c>
      <c r="I20" s="7">
        <v>130000</v>
      </c>
      <c r="J20" s="14">
        <v>4736</v>
      </c>
      <c r="K20" s="15">
        <f>L20+582+5215+5575+2206+3456+4708+4157</f>
        <v>30635</v>
      </c>
      <c r="L20" s="15">
        <f>1972+2764</f>
        <v>4736</v>
      </c>
      <c r="M20" s="15">
        <f t="shared" si="0"/>
        <v>4736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>$AD$22</f>
        <v>0.65624999999999989</v>
      </c>
      <c r="AF20" s="84">
        <f t="shared" si="7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356</v>
      </c>
      <c r="F21" s="12" t="s">
        <v>114</v>
      </c>
      <c r="G21" s="12">
        <v>4</v>
      </c>
      <c r="H21" s="35">
        <v>20</v>
      </c>
      <c r="I21" s="7">
        <v>2000000</v>
      </c>
      <c r="J21" s="14">
        <v>69704</v>
      </c>
      <c r="K21" s="15">
        <f>L21+63388+69392+28968+33256+34460+34384+70208+69780+63952+70200+69756</f>
        <v>677448</v>
      </c>
      <c r="L21" s="15">
        <f>8982*4+8444*4</f>
        <v>69704</v>
      </c>
      <c r="M21" s="15">
        <f t="shared" si="0"/>
        <v>69704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>$AD$22</f>
        <v>0.65624999999999989</v>
      </c>
      <c r="AF21" s="84">
        <f t="shared" si="7"/>
        <v>16</v>
      </c>
    </row>
    <row r="22" spans="1:32" ht="31.5" customHeight="1" thickBot="1">
      <c r="A22" s="422" t="s">
        <v>34</v>
      </c>
      <c r="B22" s="423"/>
      <c r="C22" s="423"/>
      <c r="D22" s="423"/>
      <c r="E22" s="423"/>
      <c r="F22" s="423"/>
      <c r="G22" s="423"/>
      <c r="H22" s="424"/>
      <c r="I22" s="22">
        <f>SUM(I6:I21)</f>
        <v>2720000</v>
      </c>
      <c r="J22" s="19">
        <f>SUM(J6:J21)</f>
        <v>156669</v>
      </c>
      <c r="K22" s="20">
        <f>SUM(K6:K21)</f>
        <v>1022409</v>
      </c>
      <c r="L22" s="21">
        <f>SUM(L6:L21)</f>
        <v>150424</v>
      </c>
      <c r="M22" s="20">
        <f>SUM(M6:M21)</f>
        <v>150424</v>
      </c>
      <c r="N22" s="21">
        <f>SUM(N6:N21)</f>
        <v>0</v>
      </c>
      <c r="O22" s="41">
        <f t="shared" si="1"/>
        <v>0</v>
      </c>
      <c r="P22" s="42">
        <f>SUM(P6:P21)</f>
        <v>252</v>
      </c>
      <c r="Q22" s="43">
        <f>SUM(Q6:Q21)</f>
        <v>132</v>
      </c>
      <c r="R22" s="23">
        <f>SUM(R6:R21)</f>
        <v>0</v>
      </c>
      <c r="S22" s="24">
        <f>SUM(S6:S21)</f>
        <v>80</v>
      </c>
      <c r="T22" s="24">
        <f>SUM(T6:T21)</f>
        <v>4</v>
      </c>
      <c r="U22" s="24">
        <f>SUM(U6:U21)</f>
        <v>0</v>
      </c>
      <c r="V22" s="25">
        <f>SUM(V6:V21)</f>
        <v>48</v>
      </c>
      <c r="W22" s="26">
        <f>SUM(W6:W21)</f>
        <v>0</v>
      </c>
      <c r="X22" s="27">
        <f>SUM(X6:X21)</f>
        <v>0</v>
      </c>
      <c r="Y22" s="27">
        <f>SUM(Y6:Y21)</f>
        <v>0</v>
      </c>
      <c r="Z22" s="27">
        <f>SUM(Z6:Z21)</f>
        <v>0</v>
      </c>
      <c r="AA22" s="27">
        <f>SUM(AA6:AA21)</f>
        <v>0</v>
      </c>
      <c r="AB22" s="28">
        <f>AVERAGE(AB6:AB21)</f>
        <v>0.75</v>
      </c>
      <c r="AC22" s="4">
        <f>AVERAGE(AC6:AC21)</f>
        <v>0.65624999999999989</v>
      </c>
      <c r="AD22" s="4">
        <f>AVERAGE(AD6:AD21)</f>
        <v>0.65624999999999989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25" t="s">
        <v>45</v>
      </c>
      <c r="B49" s="425"/>
      <c r="C49" s="425"/>
      <c r="D49" s="425"/>
      <c r="E49" s="4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26" t="s">
        <v>500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8"/>
      <c r="N50" s="429" t="s">
        <v>508</v>
      </c>
      <c r="O50" s="430"/>
      <c r="P50" s="430"/>
      <c r="Q50" s="430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0"/>
      <c r="AD50" s="431"/>
    </row>
    <row r="51" spans="1:32" ht="27" customHeight="1">
      <c r="A51" s="432" t="s">
        <v>2</v>
      </c>
      <c r="B51" s="433"/>
      <c r="C51" s="406" t="s">
        <v>46</v>
      </c>
      <c r="D51" s="406" t="s">
        <v>47</v>
      </c>
      <c r="E51" s="406" t="s">
        <v>107</v>
      </c>
      <c r="F51" s="434" t="s">
        <v>106</v>
      </c>
      <c r="G51" s="435"/>
      <c r="H51" s="435"/>
      <c r="I51" s="435"/>
      <c r="J51" s="435"/>
      <c r="K51" s="435"/>
      <c r="L51" s="435"/>
      <c r="M51" s="436"/>
      <c r="N51" s="67" t="s">
        <v>110</v>
      </c>
      <c r="O51" s="406" t="s">
        <v>46</v>
      </c>
      <c r="P51" s="434" t="s">
        <v>47</v>
      </c>
      <c r="Q51" s="437"/>
      <c r="R51" s="434" t="s">
        <v>38</v>
      </c>
      <c r="S51" s="435"/>
      <c r="T51" s="435"/>
      <c r="U51" s="437"/>
      <c r="V51" s="434" t="s">
        <v>48</v>
      </c>
      <c r="W51" s="435"/>
      <c r="X51" s="435"/>
      <c r="Y51" s="435"/>
      <c r="Z51" s="435"/>
      <c r="AA51" s="435"/>
      <c r="AB51" s="435"/>
      <c r="AC51" s="435"/>
      <c r="AD51" s="436"/>
    </row>
    <row r="52" spans="1:32" ht="27" customHeight="1">
      <c r="A52" s="448" t="s">
        <v>118</v>
      </c>
      <c r="B52" s="449"/>
      <c r="C52" s="401" t="s">
        <v>129</v>
      </c>
      <c r="D52" s="401" t="s">
        <v>115</v>
      </c>
      <c r="E52" s="402" t="s">
        <v>319</v>
      </c>
      <c r="F52" s="450" t="s">
        <v>501</v>
      </c>
      <c r="G52" s="451"/>
      <c r="H52" s="451"/>
      <c r="I52" s="451"/>
      <c r="J52" s="451"/>
      <c r="K52" s="451"/>
      <c r="L52" s="451"/>
      <c r="M52" s="452"/>
      <c r="N52" s="405" t="s">
        <v>118</v>
      </c>
      <c r="O52" s="399" t="s">
        <v>135</v>
      </c>
      <c r="P52" s="453" t="s">
        <v>217</v>
      </c>
      <c r="Q52" s="454"/>
      <c r="R52" s="453" t="s">
        <v>492</v>
      </c>
      <c r="S52" s="455"/>
      <c r="T52" s="455"/>
      <c r="U52" s="454"/>
      <c r="V52" s="456" t="s">
        <v>126</v>
      </c>
      <c r="W52" s="456"/>
      <c r="X52" s="456"/>
      <c r="Y52" s="456"/>
      <c r="Z52" s="456"/>
      <c r="AA52" s="456"/>
      <c r="AB52" s="456"/>
      <c r="AC52" s="456"/>
      <c r="AD52" s="457"/>
    </row>
    <row r="53" spans="1:32" ht="27" customHeight="1">
      <c r="A53" s="448" t="s">
        <v>118</v>
      </c>
      <c r="B53" s="449"/>
      <c r="C53" s="401" t="s">
        <v>134</v>
      </c>
      <c r="D53" s="401" t="s">
        <v>140</v>
      </c>
      <c r="E53" s="402" t="s">
        <v>320</v>
      </c>
      <c r="F53" s="450" t="s">
        <v>126</v>
      </c>
      <c r="G53" s="451"/>
      <c r="H53" s="451"/>
      <c r="I53" s="451"/>
      <c r="J53" s="451"/>
      <c r="K53" s="451"/>
      <c r="L53" s="451"/>
      <c r="M53" s="452"/>
      <c r="N53" s="405" t="s">
        <v>118</v>
      </c>
      <c r="O53" s="399" t="s">
        <v>139</v>
      </c>
      <c r="P53" s="453" t="s">
        <v>115</v>
      </c>
      <c r="Q53" s="454"/>
      <c r="R53" s="453" t="s">
        <v>482</v>
      </c>
      <c r="S53" s="455"/>
      <c r="T53" s="455"/>
      <c r="U53" s="454"/>
      <c r="V53" s="456" t="s">
        <v>126</v>
      </c>
      <c r="W53" s="456"/>
      <c r="X53" s="456"/>
      <c r="Y53" s="456"/>
      <c r="Z53" s="456"/>
      <c r="AA53" s="456"/>
      <c r="AB53" s="456"/>
      <c r="AC53" s="456"/>
      <c r="AD53" s="457"/>
    </row>
    <row r="54" spans="1:32" ht="27" customHeight="1">
      <c r="A54" s="448" t="s">
        <v>112</v>
      </c>
      <c r="B54" s="449"/>
      <c r="C54" s="401" t="s">
        <v>143</v>
      </c>
      <c r="D54" s="401" t="s">
        <v>115</v>
      </c>
      <c r="E54" s="402" t="s">
        <v>288</v>
      </c>
      <c r="F54" s="450" t="s">
        <v>502</v>
      </c>
      <c r="G54" s="451"/>
      <c r="H54" s="451"/>
      <c r="I54" s="451"/>
      <c r="J54" s="451"/>
      <c r="K54" s="451"/>
      <c r="L54" s="451"/>
      <c r="M54" s="452"/>
      <c r="N54" s="405" t="s">
        <v>118</v>
      </c>
      <c r="O54" s="399" t="s">
        <v>289</v>
      </c>
      <c r="P54" s="453" t="s">
        <v>115</v>
      </c>
      <c r="Q54" s="454"/>
      <c r="R54" s="453" t="s">
        <v>146</v>
      </c>
      <c r="S54" s="455"/>
      <c r="T54" s="455"/>
      <c r="U54" s="454"/>
      <c r="V54" s="456" t="s">
        <v>126</v>
      </c>
      <c r="W54" s="456"/>
      <c r="X54" s="456"/>
      <c r="Y54" s="456"/>
      <c r="Z54" s="456"/>
      <c r="AA54" s="456"/>
      <c r="AB54" s="456"/>
      <c r="AC54" s="456"/>
      <c r="AD54" s="457"/>
    </row>
    <row r="55" spans="1:32" ht="27" customHeight="1">
      <c r="A55" s="448" t="s">
        <v>118</v>
      </c>
      <c r="B55" s="449"/>
      <c r="C55" s="401" t="s">
        <v>139</v>
      </c>
      <c r="D55" s="401" t="s">
        <v>115</v>
      </c>
      <c r="E55" s="402" t="s">
        <v>482</v>
      </c>
      <c r="F55" s="450" t="s">
        <v>503</v>
      </c>
      <c r="G55" s="451"/>
      <c r="H55" s="451"/>
      <c r="I55" s="451"/>
      <c r="J55" s="451"/>
      <c r="K55" s="451"/>
      <c r="L55" s="451"/>
      <c r="M55" s="452"/>
      <c r="N55" s="405" t="s">
        <v>118</v>
      </c>
      <c r="O55" s="399" t="s">
        <v>254</v>
      </c>
      <c r="P55" s="453" t="s">
        <v>217</v>
      </c>
      <c r="Q55" s="454"/>
      <c r="R55" s="453" t="s">
        <v>252</v>
      </c>
      <c r="S55" s="455"/>
      <c r="T55" s="455"/>
      <c r="U55" s="454"/>
      <c r="V55" s="456" t="s">
        <v>126</v>
      </c>
      <c r="W55" s="456"/>
      <c r="X55" s="456"/>
      <c r="Y55" s="456"/>
      <c r="Z55" s="456"/>
      <c r="AA55" s="456"/>
      <c r="AB55" s="456"/>
      <c r="AC55" s="456"/>
      <c r="AD55" s="457"/>
    </row>
    <row r="56" spans="1:32" ht="27" customHeight="1">
      <c r="A56" s="448" t="s">
        <v>112</v>
      </c>
      <c r="B56" s="449"/>
      <c r="C56" s="401" t="s">
        <v>230</v>
      </c>
      <c r="D56" s="401" t="s">
        <v>217</v>
      </c>
      <c r="E56" s="402" t="s">
        <v>245</v>
      </c>
      <c r="F56" s="450" t="s">
        <v>456</v>
      </c>
      <c r="G56" s="451"/>
      <c r="H56" s="451"/>
      <c r="I56" s="451"/>
      <c r="J56" s="451"/>
      <c r="K56" s="451"/>
      <c r="L56" s="451"/>
      <c r="M56" s="452"/>
      <c r="N56" s="405" t="s">
        <v>118</v>
      </c>
      <c r="O56" s="399" t="s">
        <v>467</v>
      </c>
      <c r="P56" s="453" t="s">
        <v>148</v>
      </c>
      <c r="Q56" s="454"/>
      <c r="R56" s="453" t="s">
        <v>509</v>
      </c>
      <c r="S56" s="455"/>
      <c r="T56" s="455"/>
      <c r="U56" s="454"/>
      <c r="V56" s="456" t="s">
        <v>130</v>
      </c>
      <c r="W56" s="456"/>
      <c r="X56" s="456"/>
      <c r="Y56" s="456"/>
      <c r="Z56" s="456"/>
      <c r="AA56" s="456"/>
      <c r="AB56" s="456"/>
      <c r="AC56" s="456"/>
      <c r="AD56" s="457"/>
    </row>
    <row r="57" spans="1:32" ht="27" customHeight="1">
      <c r="A57" s="448" t="s">
        <v>118</v>
      </c>
      <c r="B57" s="449"/>
      <c r="C57" s="401" t="s">
        <v>289</v>
      </c>
      <c r="D57" s="401" t="s">
        <v>115</v>
      </c>
      <c r="E57" s="402" t="s">
        <v>146</v>
      </c>
      <c r="F57" s="450" t="s">
        <v>504</v>
      </c>
      <c r="G57" s="451"/>
      <c r="H57" s="451"/>
      <c r="I57" s="451"/>
      <c r="J57" s="451"/>
      <c r="K57" s="451"/>
      <c r="L57" s="451"/>
      <c r="M57" s="452"/>
      <c r="N57" s="405"/>
      <c r="O57" s="399"/>
      <c r="P57" s="453"/>
      <c r="Q57" s="454"/>
      <c r="R57" s="453"/>
      <c r="S57" s="455"/>
      <c r="T57" s="455"/>
      <c r="U57" s="454"/>
      <c r="V57" s="456"/>
      <c r="W57" s="456"/>
      <c r="X57" s="456"/>
      <c r="Y57" s="456"/>
      <c r="Z57" s="456"/>
      <c r="AA57" s="456"/>
      <c r="AB57" s="456"/>
      <c r="AC57" s="456"/>
      <c r="AD57" s="457"/>
    </row>
    <row r="58" spans="1:32" ht="27" customHeight="1">
      <c r="A58" s="448" t="s">
        <v>118</v>
      </c>
      <c r="B58" s="449"/>
      <c r="C58" s="401" t="s">
        <v>254</v>
      </c>
      <c r="D58" s="401" t="s">
        <v>217</v>
      </c>
      <c r="E58" s="402" t="s">
        <v>150</v>
      </c>
      <c r="F58" s="450" t="s">
        <v>505</v>
      </c>
      <c r="G58" s="451"/>
      <c r="H58" s="451"/>
      <c r="I58" s="451"/>
      <c r="J58" s="451"/>
      <c r="K58" s="451"/>
      <c r="L58" s="451"/>
      <c r="M58" s="452"/>
      <c r="N58" s="405"/>
      <c r="O58" s="399"/>
      <c r="P58" s="453"/>
      <c r="Q58" s="454"/>
      <c r="R58" s="453"/>
      <c r="S58" s="455"/>
      <c r="T58" s="455"/>
      <c r="U58" s="454"/>
      <c r="V58" s="456"/>
      <c r="W58" s="456"/>
      <c r="X58" s="456"/>
      <c r="Y58" s="456"/>
      <c r="Z58" s="456"/>
      <c r="AA58" s="456"/>
      <c r="AB58" s="456"/>
      <c r="AC58" s="456"/>
      <c r="AD58" s="457"/>
    </row>
    <row r="59" spans="1:32" ht="27" customHeight="1">
      <c r="A59" s="458" t="s">
        <v>118</v>
      </c>
      <c r="B59" s="459"/>
      <c r="C59" s="402" t="s">
        <v>135</v>
      </c>
      <c r="D59" s="402" t="s">
        <v>217</v>
      </c>
      <c r="E59" s="402" t="s">
        <v>492</v>
      </c>
      <c r="F59" s="450" t="s">
        <v>506</v>
      </c>
      <c r="G59" s="451"/>
      <c r="H59" s="451"/>
      <c r="I59" s="451"/>
      <c r="J59" s="451"/>
      <c r="K59" s="451"/>
      <c r="L59" s="451"/>
      <c r="M59" s="452"/>
      <c r="N59" s="405"/>
      <c r="O59" s="399"/>
      <c r="P59" s="453"/>
      <c r="Q59" s="454"/>
      <c r="R59" s="459"/>
      <c r="S59" s="459"/>
      <c r="T59" s="459"/>
      <c r="U59" s="459"/>
      <c r="V59" s="456"/>
      <c r="W59" s="456"/>
      <c r="X59" s="456"/>
      <c r="Y59" s="456"/>
      <c r="Z59" s="456"/>
      <c r="AA59" s="456"/>
      <c r="AB59" s="456"/>
      <c r="AC59" s="456"/>
      <c r="AD59" s="457"/>
    </row>
    <row r="60" spans="1:32" ht="27" customHeight="1">
      <c r="A60" s="448" t="s">
        <v>364</v>
      </c>
      <c r="B60" s="449"/>
      <c r="C60" s="401" t="s">
        <v>190</v>
      </c>
      <c r="D60" s="401" t="s">
        <v>115</v>
      </c>
      <c r="E60" s="402" t="s">
        <v>499</v>
      </c>
      <c r="F60" s="450" t="s">
        <v>507</v>
      </c>
      <c r="G60" s="451"/>
      <c r="H60" s="451"/>
      <c r="I60" s="451"/>
      <c r="J60" s="451"/>
      <c r="K60" s="451"/>
      <c r="L60" s="451"/>
      <c r="M60" s="452"/>
      <c r="N60" s="405"/>
      <c r="O60" s="399"/>
      <c r="P60" s="459"/>
      <c r="Q60" s="459"/>
      <c r="R60" s="459"/>
      <c r="S60" s="459"/>
      <c r="T60" s="459"/>
      <c r="U60" s="459"/>
      <c r="V60" s="456"/>
      <c r="W60" s="456"/>
      <c r="X60" s="456"/>
      <c r="Y60" s="456"/>
      <c r="Z60" s="456"/>
      <c r="AA60" s="456"/>
      <c r="AB60" s="456"/>
      <c r="AC60" s="456"/>
      <c r="AD60" s="457"/>
      <c r="AF60" s="84">
        <f>8*3000</f>
        <v>24000</v>
      </c>
    </row>
    <row r="61" spans="1:32" ht="27" customHeight="1" thickBot="1">
      <c r="A61" s="460"/>
      <c r="B61" s="461"/>
      <c r="C61" s="403"/>
      <c r="D61" s="404"/>
      <c r="E61" s="404"/>
      <c r="F61" s="462"/>
      <c r="G61" s="463"/>
      <c r="H61" s="463"/>
      <c r="I61" s="463"/>
      <c r="J61" s="463"/>
      <c r="K61" s="463"/>
      <c r="L61" s="463"/>
      <c r="M61" s="464"/>
      <c r="N61" s="111"/>
      <c r="O61" s="103"/>
      <c r="P61" s="465"/>
      <c r="Q61" s="465"/>
      <c r="R61" s="465"/>
      <c r="S61" s="465"/>
      <c r="T61" s="465"/>
      <c r="U61" s="465"/>
      <c r="V61" s="466"/>
      <c r="W61" s="466"/>
      <c r="X61" s="466"/>
      <c r="Y61" s="466"/>
      <c r="Z61" s="466"/>
      <c r="AA61" s="466"/>
      <c r="AB61" s="466"/>
      <c r="AC61" s="466"/>
      <c r="AD61" s="467"/>
      <c r="AF61" s="84">
        <f>16*3000</f>
        <v>48000</v>
      </c>
    </row>
    <row r="62" spans="1:32" ht="27.75" thickBot="1">
      <c r="A62" s="468" t="s">
        <v>510</v>
      </c>
      <c r="B62" s="468"/>
      <c r="C62" s="468"/>
      <c r="D62" s="468"/>
      <c r="E62" s="46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69" t="s">
        <v>111</v>
      </c>
      <c r="B63" s="470"/>
      <c r="C63" s="400" t="s">
        <v>2</v>
      </c>
      <c r="D63" s="400" t="s">
        <v>37</v>
      </c>
      <c r="E63" s="400" t="s">
        <v>3</v>
      </c>
      <c r="F63" s="470" t="s">
        <v>109</v>
      </c>
      <c r="G63" s="470"/>
      <c r="H63" s="470"/>
      <c r="I63" s="470"/>
      <c r="J63" s="470"/>
      <c r="K63" s="470" t="s">
        <v>39</v>
      </c>
      <c r="L63" s="470"/>
      <c r="M63" s="400" t="s">
        <v>40</v>
      </c>
      <c r="N63" s="470" t="s">
        <v>41</v>
      </c>
      <c r="O63" s="470"/>
      <c r="P63" s="471" t="s">
        <v>42</v>
      </c>
      <c r="Q63" s="472"/>
      <c r="R63" s="471" t="s">
        <v>43</v>
      </c>
      <c r="S63" s="473"/>
      <c r="T63" s="473"/>
      <c r="U63" s="473"/>
      <c r="V63" s="473"/>
      <c r="W63" s="473"/>
      <c r="X63" s="473"/>
      <c r="Y63" s="473"/>
      <c r="Z63" s="473"/>
      <c r="AA63" s="472"/>
      <c r="AB63" s="470" t="s">
        <v>44</v>
      </c>
      <c r="AC63" s="470"/>
      <c r="AD63" s="474"/>
      <c r="AF63" s="84">
        <f>SUM(AF60:AF62)</f>
        <v>96000</v>
      </c>
    </row>
    <row r="64" spans="1:32" ht="25.5" customHeight="1">
      <c r="A64" s="475">
        <v>1</v>
      </c>
      <c r="B64" s="476"/>
      <c r="C64" s="104"/>
      <c r="D64" s="395"/>
      <c r="E64" s="398"/>
      <c r="F64" s="477"/>
      <c r="G64" s="478"/>
      <c r="H64" s="478"/>
      <c r="I64" s="478"/>
      <c r="J64" s="479"/>
      <c r="K64" s="480"/>
      <c r="L64" s="480"/>
      <c r="M64" s="51"/>
      <c r="N64" s="481"/>
      <c r="O64" s="481"/>
      <c r="P64" s="482"/>
      <c r="Q64" s="482"/>
      <c r="R64" s="456"/>
      <c r="S64" s="456"/>
      <c r="T64" s="456"/>
      <c r="U64" s="456"/>
      <c r="V64" s="456"/>
      <c r="W64" s="456"/>
      <c r="X64" s="456"/>
      <c r="Y64" s="456"/>
      <c r="Z64" s="456"/>
      <c r="AA64" s="456"/>
      <c r="AB64" s="480"/>
      <c r="AC64" s="480"/>
      <c r="AD64" s="483"/>
      <c r="AF64" s="50"/>
    </row>
    <row r="65" spans="1:32" ht="25.5" customHeight="1">
      <c r="A65" s="475">
        <v>2</v>
      </c>
      <c r="B65" s="476"/>
      <c r="C65" s="104"/>
      <c r="D65" s="395"/>
      <c r="E65" s="398"/>
      <c r="F65" s="477"/>
      <c r="G65" s="478"/>
      <c r="H65" s="478"/>
      <c r="I65" s="478"/>
      <c r="J65" s="479"/>
      <c r="K65" s="480"/>
      <c r="L65" s="480"/>
      <c r="M65" s="51"/>
      <c r="N65" s="481"/>
      <c r="O65" s="481"/>
      <c r="P65" s="482"/>
      <c r="Q65" s="482"/>
      <c r="R65" s="456"/>
      <c r="S65" s="456"/>
      <c r="T65" s="456"/>
      <c r="U65" s="456"/>
      <c r="V65" s="456"/>
      <c r="W65" s="456"/>
      <c r="X65" s="456"/>
      <c r="Y65" s="456"/>
      <c r="Z65" s="456"/>
      <c r="AA65" s="456"/>
      <c r="AB65" s="480"/>
      <c r="AC65" s="480"/>
      <c r="AD65" s="483"/>
      <c r="AF65" s="50"/>
    </row>
    <row r="66" spans="1:32" ht="25.5" customHeight="1">
      <c r="A66" s="475">
        <v>3</v>
      </c>
      <c r="B66" s="476"/>
      <c r="C66" s="104"/>
      <c r="D66" s="395"/>
      <c r="E66" s="398"/>
      <c r="F66" s="477"/>
      <c r="G66" s="478"/>
      <c r="H66" s="478"/>
      <c r="I66" s="478"/>
      <c r="J66" s="479"/>
      <c r="K66" s="480"/>
      <c r="L66" s="480"/>
      <c r="M66" s="51"/>
      <c r="N66" s="481"/>
      <c r="O66" s="481"/>
      <c r="P66" s="482"/>
      <c r="Q66" s="482"/>
      <c r="R66" s="456"/>
      <c r="S66" s="456"/>
      <c r="T66" s="456"/>
      <c r="U66" s="456"/>
      <c r="V66" s="456"/>
      <c r="W66" s="456"/>
      <c r="X66" s="456"/>
      <c r="Y66" s="456"/>
      <c r="Z66" s="456"/>
      <c r="AA66" s="456"/>
      <c r="AB66" s="480"/>
      <c r="AC66" s="480"/>
      <c r="AD66" s="483"/>
      <c r="AF66" s="50"/>
    </row>
    <row r="67" spans="1:32" ht="25.5" customHeight="1">
      <c r="A67" s="475">
        <v>4</v>
      </c>
      <c r="B67" s="476"/>
      <c r="C67" s="104"/>
      <c r="D67" s="395"/>
      <c r="E67" s="398"/>
      <c r="F67" s="477"/>
      <c r="G67" s="478"/>
      <c r="H67" s="478"/>
      <c r="I67" s="478"/>
      <c r="J67" s="479"/>
      <c r="K67" s="480"/>
      <c r="L67" s="480"/>
      <c r="M67" s="51"/>
      <c r="N67" s="481"/>
      <c r="O67" s="481"/>
      <c r="P67" s="482"/>
      <c r="Q67" s="482"/>
      <c r="R67" s="456"/>
      <c r="S67" s="456"/>
      <c r="T67" s="456"/>
      <c r="U67" s="456"/>
      <c r="V67" s="456"/>
      <c r="W67" s="456"/>
      <c r="X67" s="456"/>
      <c r="Y67" s="456"/>
      <c r="Z67" s="456"/>
      <c r="AA67" s="456"/>
      <c r="AB67" s="480"/>
      <c r="AC67" s="480"/>
      <c r="AD67" s="483"/>
      <c r="AF67" s="50"/>
    </row>
    <row r="68" spans="1:32" ht="25.5" customHeight="1">
      <c r="A68" s="475">
        <v>5</v>
      </c>
      <c r="B68" s="476"/>
      <c r="C68" s="104"/>
      <c r="D68" s="395"/>
      <c r="E68" s="398"/>
      <c r="F68" s="477"/>
      <c r="G68" s="478"/>
      <c r="H68" s="478"/>
      <c r="I68" s="478"/>
      <c r="J68" s="479"/>
      <c r="K68" s="480"/>
      <c r="L68" s="480"/>
      <c r="M68" s="51"/>
      <c r="N68" s="481"/>
      <c r="O68" s="481"/>
      <c r="P68" s="482"/>
      <c r="Q68" s="482"/>
      <c r="R68" s="456"/>
      <c r="S68" s="456"/>
      <c r="T68" s="456"/>
      <c r="U68" s="456"/>
      <c r="V68" s="456"/>
      <c r="W68" s="456"/>
      <c r="X68" s="456"/>
      <c r="Y68" s="456"/>
      <c r="Z68" s="456"/>
      <c r="AA68" s="456"/>
      <c r="AB68" s="480"/>
      <c r="AC68" s="480"/>
      <c r="AD68" s="483"/>
      <c r="AF68" s="50"/>
    </row>
    <row r="69" spans="1:32" ht="25.5" customHeight="1">
      <c r="A69" s="475">
        <v>6</v>
      </c>
      <c r="B69" s="476"/>
      <c r="C69" s="104"/>
      <c r="D69" s="395"/>
      <c r="E69" s="398"/>
      <c r="F69" s="477"/>
      <c r="G69" s="478"/>
      <c r="H69" s="478"/>
      <c r="I69" s="478"/>
      <c r="J69" s="479"/>
      <c r="K69" s="480"/>
      <c r="L69" s="480"/>
      <c r="M69" s="51"/>
      <c r="N69" s="481"/>
      <c r="O69" s="481"/>
      <c r="P69" s="482"/>
      <c r="Q69" s="482"/>
      <c r="R69" s="456"/>
      <c r="S69" s="456"/>
      <c r="T69" s="456"/>
      <c r="U69" s="456"/>
      <c r="V69" s="456"/>
      <c r="W69" s="456"/>
      <c r="X69" s="456"/>
      <c r="Y69" s="456"/>
      <c r="Z69" s="456"/>
      <c r="AA69" s="456"/>
      <c r="AB69" s="480"/>
      <c r="AC69" s="480"/>
      <c r="AD69" s="483"/>
      <c r="AF69" s="50"/>
    </row>
    <row r="70" spans="1:32" ht="25.5" customHeight="1">
      <c r="A70" s="475">
        <v>7</v>
      </c>
      <c r="B70" s="476"/>
      <c r="C70" s="104"/>
      <c r="D70" s="395"/>
      <c r="E70" s="398"/>
      <c r="F70" s="477"/>
      <c r="G70" s="478"/>
      <c r="H70" s="478"/>
      <c r="I70" s="478"/>
      <c r="J70" s="479"/>
      <c r="K70" s="480"/>
      <c r="L70" s="480"/>
      <c r="M70" s="51"/>
      <c r="N70" s="481"/>
      <c r="O70" s="481"/>
      <c r="P70" s="482"/>
      <c r="Q70" s="482"/>
      <c r="R70" s="456"/>
      <c r="S70" s="456"/>
      <c r="T70" s="456"/>
      <c r="U70" s="456"/>
      <c r="V70" s="456"/>
      <c r="W70" s="456"/>
      <c r="X70" s="456"/>
      <c r="Y70" s="456"/>
      <c r="Z70" s="456"/>
      <c r="AA70" s="456"/>
      <c r="AB70" s="480"/>
      <c r="AC70" s="480"/>
      <c r="AD70" s="483"/>
      <c r="AF70" s="50"/>
    </row>
    <row r="71" spans="1:32" ht="25.5" customHeight="1">
      <c r="A71" s="475">
        <v>8</v>
      </c>
      <c r="B71" s="476"/>
      <c r="C71" s="104"/>
      <c r="D71" s="395"/>
      <c r="E71" s="398"/>
      <c r="F71" s="484"/>
      <c r="G71" s="480"/>
      <c r="H71" s="480"/>
      <c r="I71" s="480"/>
      <c r="J71" s="480"/>
      <c r="K71" s="480"/>
      <c r="L71" s="480"/>
      <c r="M71" s="51"/>
      <c r="N71" s="481"/>
      <c r="O71" s="481"/>
      <c r="P71" s="482"/>
      <c r="Q71" s="482"/>
      <c r="R71" s="456"/>
      <c r="S71" s="456"/>
      <c r="T71" s="456"/>
      <c r="U71" s="456"/>
      <c r="V71" s="456"/>
      <c r="W71" s="456"/>
      <c r="X71" s="456"/>
      <c r="Y71" s="456"/>
      <c r="Z71" s="456"/>
      <c r="AA71" s="456"/>
      <c r="AB71" s="480"/>
      <c r="AC71" s="480"/>
      <c r="AD71" s="483"/>
      <c r="AF71" s="50"/>
    </row>
    <row r="72" spans="1:32" ht="25.5" customHeight="1">
      <c r="A72" s="475">
        <v>9</v>
      </c>
      <c r="B72" s="476"/>
      <c r="C72" s="104"/>
      <c r="D72" s="395"/>
      <c r="E72" s="398"/>
      <c r="F72" s="484"/>
      <c r="G72" s="480"/>
      <c r="H72" s="480"/>
      <c r="I72" s="480"/>
      <c r="J72" s="480"/>
      <c r="K72" s="480"/>
      <c r="L72" s="480"/>
      <c r="M72" s="51"/>
      <c r="N72" s="481"/>
      <c r="O72" s="481"/>
      <c r="P72" s="482"/>
      <c r="Q72" s="482"/>
      <c r="R72" s="456"/>
      <c r="S72" s="456"/>
      <c r="T72" s="456"/>
      <c r="U72" s="456"/>
      <c r="V72" s="456"/>
      <c r="W72" s="456"/>
      <c r="X72" s="456"/>
      <c r="Y72" s="456"/>
      <c r="Z72" s="456"/>
      <c r="AA72" s="456"/>
      <c r="AB72" s="480"/>
      <c r="AC72" s="480"/>
      <c r="AD72" s="483"/>
      <c r="AF72" s="50"/>
    </row>
    <row r="73" spans="1:32" ht="25.5" customHeight="1">
      <c r="A73" s="475">
        <v>10</v>
      </c>
      <c r="B73" s="476"/>
      <c r="C73" s="104"/>
      <c r="D73" s="395"/>
      <c r="E73" s="398"/>
      <c r="F73" s="484"/>
      <c r="G73" s="480"/>
      <c r="H73" s="480"/>
      <c r="I73" s="480"/>
      <c r="J73" s="480"/>
      <c r="K73" s="480"/>
      <c r="L73" s="480"/>
      <c r="M73" s="51"/>
      <c r="N73" s="481"/>
      <c r="O73" s="481"/>
      <c r="P73" s="482"/>
      <c r="Q73" s="482"/>
      <c r="R73" s="456"/>
      <c r="S73" s="456"/>
      <c r="T73" s="456"/>
      <c r="U73" s="456"/>
      <c r="V73" s="456"/>
      <c r="W73" s="456"/>
      <c r="X73" s="456"/>
      <c r="Y73" s="456"/>
      <c r="Z73" s="456"/>
      <c r="AA73" s="456"/>
      <c r="AB73" s="480"/>
      <c r="AC73" s="480"/>
      <c r="AD73" s="483"/>
      <c r="AF73" s="50"/>
    </row>
    <row r="74" spans="1:32" ht="26.25" customHeight="1" thickBot="1">
      <c r="A74" s="485" t="s">
        <v>511</v>
      </c>
      <c r="B74" s="485"/>
      <c r="C74" s="485"/>
      <c r="D74" s="485"/>
      <c r="E74" s="48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86" t="s">
        <v>133</v>
      </c>
      <c r="B75" s="487"/>
      <c r="C75" s="397" t="s">
        <v>2</v>
      </c>
      <c r="D75" s="397" t="s">
        <v>37</v>
      </c>
      <c r="E75" s="397" t="s">
        <v>128</v>
      </c>
      <c r="F75" s="487" t="s">
        <v>38</v>
      </c>
      <c r="G75" s="487"/>
      <c r="H75" s="487"/>
      <c r="I75" s="487"/>
      <c r="J75" s="487"/>
      <c r="K75" s="488" t="s">
        <v>58</v>
      </c>
      <c r="L75" s="489"/>
      <c r="M75" s="489"/>
      <c r="N75" s="489"/>
      <c r="O75" s="489"/>
      <c r="P75" s="489"/>
      <c r="Q75" s="489"/>
      <c r="R75" s="489"/>
      <c r="S75" s="490"/>
      <c r="T75" s="487" t="s">
        <v>49</v>
      </c>
      <c r="U75" s="487"/>
      <c r="V75" s="488" t="s">
        <v>50</v>
      </c>
      <c r="W75" s="490"/>
      <c r="X75" s="489" t="s">
        <v>51</v>
      </c>
      <c r="Y75" s="489"/>
      <c r="Z75" s="489"/>
      <c r="AA75" s="489"/>
      <c r="AB75" s="489"/>
      <c r="AC75" s="489"/>
      <c r="AD75" s="491"/>
      <c r="AF75" s="50"/>
    </row>
    <row r="76" spans="1:32" ht="33.75" customHeight="1">
      <c r="A76" s="500">
        <v>1</v>
      </c>
      <c r="B76" s="501"/>
      <c r="C76" s="396" t="s">
        <v>112</v>
      </c>
      <c r="D76" s="396"/>
      <c r="E76" s="65" t="s">
        <v>117</v>
      </c>
      <c r="F76" s="502" t="s">
        <v>116</v>
      </c>
      <c r="G76" s="503"/>
      <c r="H76" s="503"/>
      <c r="I76" s="503"/>
      <c r="J76" s="504"/>
      <c r="K76" s="505" t="s">
        <v>120</v>
      </c>
      <c r="L76" s="506"/>
      <c r="M76" s="506"/>
      <c r="N76" s="506"/>
      <c r="O76" s="506"/>
      <c r="P76" s="506"/>
      <c r="Q76" s="506"/>
      <c r="R76" s="506"/>
      <c r="S76" s="507"/>
      <c r="T76" s="508">
        <v>44118</v>
      </c>
      <c r="U76" s="509"/>
      <c r="V76" s="510"/>
      <c r="W76" s="510"/>
      <c r="X76" s="511"/>
      <c r="Y76" s="511"/>
      <c r="Z76" s="511"/>
      <c r="AA76" s="511"/>
      <c r="AB76" s="511"/>
      <c r="AC76" s="511"/>
      <c r="AD76" s="512"/>
      <c r="AF76" s="50"/>
    </row>
    <row r="77" spans="1:32" ht="30" customHeight="1">
      <c r="A77" s="492">
        <f>A76+1</f>
        <v>2</v>
      </c>
      <c r="B77" s="493"/>
      <c r="C77" s="395"/>
      <c r="D77" s="395"/>
      <c r="E77" s="32"/>
      <c r="F77" s="493"/>
      <c r="G77" s="493"/>
      <c r="H77" s="493"/>
      <c r="I77" s="493"/>
      <c r="J77" s="493"/>
      <c r="K77" s="494"/>
      <c r="L77" s="495"/>
      <c r="M77" s="495"/>
      <c r="N77" s="495"/>
      <c r="O77" s="495"/>
      <c r="P77" s="495"/>
      <c r="Q77" s="495"/>
      <c r="R77" s="495"/>
      <c r="S77" s="496"/>
      <c r="T77" s="497"/>
      <c r="U77" s="497"/>
      <c r="V77" s="497"/>
      <c r="W77" s="497"/>
      <c r="X77" s="498"/>
      <c r="Y77" s="498"/>
      <c r="Z77" s="498"/>
      <c r="AA77" s="498"/>
      <c r="AB77" s="498"/>
      <c r="AC77" s="498"/>
      <c r="AD77" s="499"/>
      <c r="AF77" s="50"/>
    </row>
    <row r="78" spans="1:32" ht="30" customHeight="1">
      <c r="A78" s="492">
        <f t="shared" ref="A78:A82" si="8">A77+1</f>
        <v>3</v>
      </c>
      <c r="B78" s="493"/>
      <c r="C78" s="395"/>
      <c r="D78" s="395"/>
      <c r="E78" s="32"/>
      <c r="F78" s="493"/>
      <c r="G78" s="493"/>
      <c r="H78" s="493"/>
      <c r="I78" s="493"/>
      <c r="J78" s="493"/>
      <c r="K78" s="494"/>
      <c r="L78" s="495"/>
      <c r="M78" s="495"/>
      <c r="N78" s="495"/>
      <c r="O78" s="495"/>
      <c r="P78" s="495"/>
      <c r="Q78" s="495"/>
      <c r="R78" s="495"/>
      <c r="S78" s="496"/>
      <c r="T78" s="497"/>
      <c r="U78" s="497"/>
      <c r="V78" s="497"/>
      <c r="W78" s="497"/>
      <c r="X78" s="498"/>
      <c r="Y78" s="498"/>
      <c r="Z78" s="498"/>
      <c r="AA78" s="498"/>
      <c r="AB78" s="498"/>
      <c r="AC78" s="498"/>
      <c r="AD78" s="499"/>
      <c r="AF78" s="50"/>
    </row>
    <row r="79" spans="1:32" ht="30" customHeight="1">
      <c r="A79" s="492">
        <f t="shared" si="8"/>
        <v>4</v>
      </c>
      <c r="B79" s="493"/>
      <c r="C79" s="395"/>
      <c r="D79" s="395"/>
      <c r="E79" s="32"/>
      <c r="F79" s="493"/>
      <c r="G79" s="493"/>
      <c r="H79" s="493"/>
      <c r="I79" s="493"/>
      <c r="J79" s="493"/>
      <c r="K79" s="494"/>
      <c r="L79" s="495"/>
      <c r="M79" s="495"/>
      <c r="N79" s="495"/>
      <c r="O79" s="495"/>
      <c r="P79" s="495"/>
      <c r="Q79" s="495"/>
      <c r="R79" s="495"/>
      <c r="S79" s="496"/>
      <c r="T79" s="497"/>
      <c r="U79" s="497"/>
      <c r="V79" s="497"/>
      <c r="W79" s="497"/>
      <c r="X79" s="498"/>
      <c r="Y79" s="498"/>
      <c r="Z79" s="498"/>
      <c r="AA79" s="498"/>
      <c r="AB79" s="498"/>
      <c r="AC79" s="498"/>
      <c r="AD79" s="499"/>
      <c r="AF79" s="50"/>
    </row>
    <row r="80" spans="1:32" ht="30" customHeight="1">
      <c r="A80" s="492">
        <f t="shared" si="8"/>
        <v>5</v>
      </c>
      <c r="B80" s="493"/>
      <c r="C80" s="395"/>
      <c r="D80" s="395"/>
      <c r="E80" s="32"/>
      <c r="F80" s="493"/>
      <c r="G80" s="493"/>
      <c r="H80" s="493"/>
      <c r="I80" s="493"/>
      <c r="J80" s="493"/>
      <c r="K80" s="494"/>
      <c r="L80" s="495"/>
      <c r="M80" s="495"/>
      <c r="N80" s="495"/>
      <c r="O80" s="495"/>
      <c r="P80" s="495"/>
      <c r="Q80" s="495"/>
      <c r="R80" s="495"/>
      <c r="S80" s="496"/>
      <c r="T80" s="497"/>
      <c r="U80" s="497"/>
      <c r="V80" s="497"/>
      <c r="W80" s="497"/>
      <c r="X80" s="498"/>
      <c r="Y80" s="498"/>
      <c r="Z80" s="498"/>
      <c r="AA80" s="498"/>
      <c r="AB80" s="498"/>
      <c r="AC80" s="498"/>
      <c r="AD80" s="499"/>
      <c r="AF80" s="50"/>
    </row>
    <row r="81" spans="1:32" ht="30" customHeight="1">
      <c r="A81" s="492">
        <f t="shared" si="8"/>
        <v>6</v>
      </c>
      <c r="B81" s="493"/>
      <c r="C81" s="395"/>
      <c r="D81" s="395"/>
      <c r="E81" s="32"/>
      <c r="F81" s="493"/>
      <c r="G81" s="493"/>
      <c r="H81" s="493"/>
      <c r="I81" s="493"/>
      <c r="J81" s="493"/>
      <c r="K81" s="494"/>
      <c r="L81" s="495"/>
      <c r="M81" s="495"/>
      <c r="N81" s="495"/>
      <c r="O81" s="495"/>
      <c r="P81" s="495"/>
      <c r="Q81" s="495"/>
      <c r="R81" s="495"/>
      <c r="S81" s="496"/>
      <c r="T81" s="497"/>
      <c r="U81" s="497"/>
      <c r="V81" s="497"/>
      <c r="W81" s="497"/>
      <c r="X81" s="498"/>
      <c r="Y81" s="498"/>
      <c r="Z81" s="498"/>
      <c r="AA81" s="498"/>
      <c r="AB81" s="498"/>
      <c r="AC81" s="498"/>
      <c r="AD81" s="499"/>
      <c r="AF81" s="50"/>
    </row>
    <row r="82" spans="1:32" ht="30" customHeight="1">
      <c r="A82" s="492">
        <f t="shared" si="8"/>
        <v>7</v>
      </c>
      <c r="B82" s="493"/>
      <c r="C82" s="395"/>
      <c r="D82" s="395"/>
      <c r="E82" s="32"/>
      <c r="F82" s="493"/>
      <c r="G82" s="493"/>
      <c r="H82" s="493"/>
      <c r="I82" s="493"/>
      <c r="J82" s="493"/>
      <c r="K82" s="494"/>
      <c r="L82" s="495"/>
      <c r="M82" s="495"/>
      <c r="N82" s="495"/>
      <c r="O82" s="495"/>
      <c r="P82" s="495"/>
      <c r="Q82" s="495"/>
      <c r="R82" s="495"/>
      <c r="S82" s="496"/>
      <c r="T82" s="497"/>
      <c r="U82" s="497"/>
      <c r="V82" s="497"/>
      <c r="W82" s="497"/>
      <c r="X82" s="498"/>
      <c r="Y82" s="498"/>
      <c r="Z82" s="498"/>
      <c r="AA82" s="498"/>
      <c r="AB82" s="498"/>
      <c r="AC82" s="498"/>
      <c r="AD82" s="499"/>
      <c r="AF82" s="50"/>
    </row>
    <row r="83" spans="1:32" ht="36" thickBot="1">
      <c r="A83" s="485" t="s">
        <v>512</v>
      </c>
      <c r="B83" s="485"/>
      <c r="C83" s="485"/>
      <c r="D83" s="485"/>
      <c r="E83" s="48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86" t="s">
        <v>111</v>
      </c>
      <c r="B84" s="487"/>
      <c r="C84" s="513" t="s">
        <v>52</v>
      </c>
      <c r="D84" s="513"/>
      <c r="E84" s="513" t="s">
        <v>53</v>
      </c>
      <c r="F84" s="513"/>
      <c r="G84" s="513"/>
      <c r="H84" s="513"/>
      <c r="I84" s="513"/>
      <c r="J84" s="513"/>
      <c r="K84" s="513" t="s">
        <v>54</v>
      </c>
      <c r="L84" s="513"/>
      <c r="M84" s="513"/>
      <c r="N84" s="513"/>
      <c r="O84" s="513"/>
      <c r="P84" s="513"/>
      <c r="Q84" s="513"/>
      <c r="R84" s="513"/>
      <c r="S84" s="513"/>
      <c r="T84" s="513" t="s">
        <v>55</v>
      </c>
      <c r="U84" s="513"/>
      <c r="V84" s="513" t="s">
        <v>56</v>
      </c>
      <c r="W84" s="513"/>
      <c r="X84" s="513"/>
      <c r="Y84" s="513" t="s">
        <v>51</v>
      </c>
      <c r="Z84" s="513"/>
      <c r="AA84" s="513"/>
      <c r="AB84" s="513"/>
      <c r="AC84" s="513"/>
      <c r="AD84" s="514"/>
      <c r="AF84" s="50"/>
    </row>
    <row r="85" spans="1:32" ht="30.75" customHeight="1">
      <c r="A85" s="500">
        <v>1</v>
      </c>
      <c r="B85" s="501"/>
      <c r="C85" s="515"/>
      <c r="D85" s="515"/>
      <c r="E85" s="515"/>
      <c r="F85" s="515"/>
      <c r="G85" s="515"/>
      <c r="H85" s="515"/>
      <c r="I85" s="515"/>
      <c r="J85" s="515"/>
      <c r="K85" s="515"/>
      <c r="L85" s="515"/>
      <c r="M85" s="515"/>
      <c r="N85" s="515"/>
      <c r="O85" s="515"/>
      <c r="P85" s="515"/>
      <c r="Q85" s="515"/>
      <c r="R85" s="515"/>
      <c r="S85" s="515"/>
      <c r="T85" s="515"/>
      <c r="U85" s="515"/>
      <c r="V85" s="516"/>
      <c r="W85" s="516"/>
      <c r="X85" s="516"/>
      <c r="Y85" s="517"/>
      <c r="Z85" s="517"/>
      <c r="AA85" s="517"/>
      <c r="AB85" s="517"/>
      <c r="AC85" s="517"/>
      <c r="AD85" s="518"/>
      <c r="AF85" s="50"/>
    </row>
    <row r="86" spans="1:32" ht="30.75" customHeight="1">
      <c r="A86" s="492">
        <v>2</v>
      </c>
      <c r="B86" s="493"/>
      <c r="C86" s="526"/>
      <c r="D86" s="526"/>
      <c r="E86" s="526"/>
      <c r="F86" s="526"/>
      <c r="G86" s="526"/>
      <c r="H86" s="526"/>
      <c r="I86" s="526"/>
      <c r="J86" s="526"/>
      <c r="K86" s="526"/>
      <c r="L86" s="526"/>
      <c r="M86" s="526"/>
      <c r="N86" s="526"/>
      <c r="O86" s="526"/>
      <c r="P86" s="526"/>
      <c r="Q86" s="526"/>
      <c r="R86" s="526"/>
      <c r="S86" s="526"/>
      <c r="T86" s="527"/>
      <c r="U86" s="527"/>
      <c r="V86" s="528"/>
      <c r="W86" s="528"/>
      <c r="X86" s="528"/>
      <c r="Y86" s="519"/>
      <c r="Z86" s="519"/>
      <c r="AA86" s="519"/>
      <c r="AB86" s="519"/>
      <c r="AC86" s="519"/>
      <c r="AD86" s="520"/>
      <c r="AF86" s="50"/>
    </row>
    <row r="87" spans="1:32" ht="30.75" customHeight="1" thickBot="1">
      <c r="A87" s="521">
        <v>3</v>
      </c>
      <c r="B87" s="522"/>
      <c r="C87" s="523"/>
      <c r="D87" s="523"/>
      <c r="E87" s="523"/>
      <c r="F87" s="523"/>
      <c r="G87" s="523"/>
      <c r="H87" s="523"/>
      <c r="I87" s="523"/>
      <c r="J87" s="523"/>
      <c r="K87" s="523"/>
      <c r="L87" s="523"/>
      <c r="M87" s="523"/>
      <c r="N87" s="523"/>
      <c r="O87" s="523"/>
      <c r="P87" s="523"/>
      <c r="Q87" s="523"/>
      <c r="R87" s="523"/>
      <c r="S87" s="523"/>
      <c r="T87" s="523"/>
      <c r="U87" s="523"/>
      <c r="V87" s="523"/>
      <c r="W87" s="523"/>
      <c r="X87" s="523"/>
      <c r="Y87" s="524"/>
      <c r="Z87" s="524"/>
      <c r="AA87" s="524"/>
      <c r="AB87" s="524"/>
      <c r="AC87" s="524"/>
      <c r="AD87" s="525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J13" sqref="AJ13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29" t="s">
        <v>177</v>
      </c>
      <c r="B1" s="529"/>
      <c r="C1" s="529"/>
      <c r="D1" s="529"/>
      <c r="E1" s="529"/>
      <c r="F1" s="529"/>
      <c r="G1" s="529"/>
      <c r="H1" s="529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</v>
      </c>
      <c r="C3" s="114">
        <f>'02'!AD6</f>
        <v>0</v>
      </c>
      <c r="D3" s="115">
        <f>'03'!AD6</f>
        <v>0</v>
      </c>
      <c r="E3" s="115">
        <f>'04'!AD6</f>
        <v>0</v>
      </c>
      <c r="F3" s="115"/>
      <c r="G3" s="115"/>
      <c r="H3" s="115">
        <f>'07'!AD6</f>
        <v>0</v>
      </c>
      <c r="I3" s="115">
        <f>'08'!AD6</f>
        <v>0</v>
      </c>
      <c r="J3" s="115">
        <f>'09'!AD6</f>
        <v>0</v>
      </c>
      <c r="K3" s="115">
        <f>'10'!AD6</f>
        <v>0</v>
      </c>
      <c r="L3" s="115">
        <f>'11'!AD6</f>
        <v>0</v>
      </c>
      <c r="M3" s="115"/>
      <c r="N3" s="116"/>
      <c r="O3" s="115">
        <f>'14'!AD6</f>
        <v>0</v>
      </c>
      <c r="P3" s="115">
        <f>'15'!AD6</f>
        <v>0.66666666666666663</v>
      </c>
      <c r="Q3" s="115">
        <f>'16'!AD6</f>
        <v>0.75</v>
      </c>
      <c r="R3" s="115">
        <f>'17'!AD6</f>
        <v>0</v>
      </c>
      <c r="S3" s="115"/>
      <c r="T3" s="115"/>
      <c r="U3" s="115"/>
      <c r="V3" s="115">
        <f>'21'!AD6</f>
        <v>0</v>
      </c>
      <c r="W3" s="116">
        <f>'22'!AD6</f>
        <v>0</v>
      </c>
      <c r="X3" s="115">
        <f>'23'!AD6</f>
        <v>0</v>
      </c>
      <c r="Y3" s="115">
        <f>'24'!AD6</f>
        <v>0</v>
      </c>
      <c r="Z3" s="115">
        <f>'25'!AD6</f>
        <v>0</v>
      </c>
      <c r="AA3" s="115"/>
      <c r="AB3" s="115"/>
      <c r="AC3" s="115">
        <f>'28'!AD6</f>
        <v>0</v>
      </c>
      <c r="AD3" s="115">
        <f>'29'!AD6</f>
        <v>0</v>
      </c>
      <c r="AE3" s="115">
        <f>'30'!AD6</f>
        <v>0</v>
      </c>
      <c r="AF3" s="117">
        <f>'31'!AD6</f>
        <v>0</v>
      </c>
      <c r="AG3" s="118">
        <f>SUM(B3:AF3)/31</f>
        <v>4.569892473118279E-2</v>
      </c>
    </row>
    <row r="4" spans="1:33" ht="21.75" customHeight="1">
      <c r="A4" s="101" t="s">
        <v>61</v>
      </c>
      <c r="B4" s="98">
        <f>'01'!AD7</f>
        <v>0</v>
      </c>
      <c r="C4" s="98">
        <f>'02'!AD7</f>
        <v>0.83333333333333337</v>
      </c>
      <c r="D4" s="77">
        <f>'03'!AD7</f>
        <v>0.25</v>
      </c>
      <c r="E4" s="77">
        <f>'04'!AD7</f>
        <v>0.16666666666666666</v>
      </c>
      <c r="F4" s="77"/>
      <c r="G4" s="77"/>
      <c r="H4" s="77">
        <f>'07'!AD7</f>
        <v>0.29166666666666669</v>
      </c>
      <c r="I4" s="77">
        <f>'08'!AD7</f>
        <v>0</v>
      </c>
      <c r="J4" s="77">
        <f>'09'!AD7</f>
        <v>0</v>
      </c>
      <c r="K4" s="77">
        <f>'10'!AD7</f>
        <v>0</v>
      </c>
      <c r="L4" s="77">
        <f>'11'!AD7</f>
        <v>0.375</v>
      </c>
      <c r="M4" s="77"/>
      <c r="N4" s="77"/>
      <c r="O4" s="77">
        <f>'14'!AD7</f>
        <v>0</v>
      </c>
      <c r="P4" s="77">
        <f>'15'!AD7</f>
        <v>0</v>
      </c>
      <c r="Q4" s="77">
        <f>'16'!AD7</f>
        <v>0</v>
      </c>
      <c r="R4" s="77">
        <f>'17'!AD7</f>
        <v>0</v>
      </c>
      <c r="S4" s="77"/>
      <c r="T4" s="77"/>
      <c r="U4" s="77"/>
      <c r="V4" s="77">
        <f>'21'!AD7</f>
        <v>0</v>
      </c>
      <c r="W4" s="77">
        <f>'22'!AD7</f>
        <v>0.33333333333333331</v>
      </c>
      <c r="X4" s="77">
        <f>'23'!AD7</f>
        <v>1</v>
      </c>
      <c r="Y4" s="77">
        <f>'24'!AD7</f>
        <v>1</v>
      </c>
      <c r="Z4" s="77">
        <f>'25'!AD7</f>
        <v>1</v>
      </c>
      <c r="AA4" s="77"/>
      <c r="AB4" s="77"/>
      <c r="AC4" s="77">
        <f>'28'!AD7</f>
        <v>0</v>
      </c>
      <c r="AD4" s="77">
        <f>'29'!AD7</f>
        <v>0.58333333333333337</v>
      </c>
      <c r="AE4" s="77">
        <f>'30'!AD7</f>
        <v>0.79166666666666663</v>
      </c>
      <c r="AF4" s="78">
        <f>'31'!AD7</f>
        <v>0.95833333333333337</v>
      </c>
      <c r="AG4" s="79">
        <f t="shared" ref="AG4:AG18" si="0">SUM(B4:AF4)/31</f>
        <v>0.24462365591397847</v>
      </c>
    </row>
    <row r="5" spans="1:33" ht="21.75" customHeight="1">
      <c r="A5" s="101" t="s">
        <v>62</v>
      </c>
      <c r="B5" s="98">
        <f>'01'!AD8</f>
        <v>1</v>
      </c>
      <c r="C5" s="98">
        <f>'02'!AD8</f>
        <v>0.70833333333333337</v>
      </c>
      <c r="D5" s="77">
        <f>'03'!AD8</f>
        <v>0</v>
      </c>
      <c r="E5" s="77">
        <f>'04'!AD8</f>
        <v>1</v>
      </c>
      <c r="F5" s="77"/>
      <c r="G5" s="77"/>
      <c r="H5" s="77">
        <f>'07'!AD8</f>
        <v>0.16666666666666666</v>
      </c>
      <c r="I5" s="77">
        <f>'08'!AD8</f>
        <v>0</v>
      </c>
      <c r="J5" s="77">
        <f>'09'!AD8</f>
        <v>0</v>
      </c>
      <c r="K5" s="77">
        <f>'10'!AD8</f>
        <v>0.95833333333333337</v>
      </c>
      <c r="L5" s="77">
        <f>'11'!AD8</f>
        <v>1</v>
      </c>
      <c r="M5" s="77"/>
      <c r="N5" s="77"/>
      <c r="O5" s="77">
        <f>'14'!AD8</f>
        <v>0.41666666666666669</v>
      </c>
      <c r="P5" s="77">
        <f>'15'!AD8</f>
        <v>0</v>
      </c>
      <c r="Q5" s="77">
        <f>'16'!AD8</f>
        <v>0</v>
      </c>
      <c r="R5" s="77">
        <f>'17'!AD8</f>
        <v>0</v>
      </c>
      <c r="S5" s="77"/>
      <c r="T5" s="77"/>
      <c r="U5" s="77"/>
      <c r="V5" s="77">
        <f>'21'!AD8</f>
        <v>0</v>
      </c>
      <c r="W5" s="119">
        <f>'22'!AD8</f>
        <v>0.33333333333333331</v>
      </c>
      <c r="X5" s="77">
        <f>'23'!AD8</f>
        <v>1</v>
      </c>
      <c r="Y5" s="77">
        <f>'24'!AD8</f>
        <v>1</v>
      </c>
      <c r="Z5" s="77">
        <f>'25'!AD8</f>
        <v>1</v>
      </c>
      <c r="AA5" s="77"/>
      <c r="AB5" s="77"/>
      <c r="AC5" s="77">
        <f>'28'!AD8</f>
        <v>0</v>
      </c>
      <c r="AD5" s="77">
        <f>'29'!AD8</f>
        <v>0</v>
      </c>
      <c r="AE5" s="77">
        <f>'30'!AD8+'30'!AD9</f>
        <v>0.45833333333333337</v>
      </c>
      <c r="AF5" s="78">
        <f>'31'!AD8</f>
        <v>0</v>
      </c>
      <c r="AG5" s="79">
        <f t="shared" si="0"/>
        <v>0.29166666666666669</v>
      </c>
    </row>
    <row r="6" spans="1:33" ht="21.75" customHeight="1">
      <c r="A6" s="101" t="s">
        <v>63</v>
      </c>
      <c r="B6" s="98">
        <f>'01'!AD9</f>
        <v>1</v>
      </c>
      <c r="C6" s="98">
        <f>'02'!AD9</f>
        <v>0.91666666666666663</v>
      </c>
      <c r="D6" s="77">
        <f>'03'!AD9</f>
        <v>1</v>
      </c>
      <c r="E6" s="77">
        <f>'04'!AD9</f>
        <v>1</v>
      </c>
      <c r="F6" s="77"/>
      <c r="G6" s="77"/>
      <c r="H6" s="77">
        <f>'07'!AD9</f>
        <v>0.58333333333333337</v>
      </c>
      <c r="I6" s="77">
        <f>'08'!AD9</f>
        <v>1</v>
      </c>
      <c r="J6" s="77">
        <f>'09'!AD9</f>
        <v>0.5</v>
      </c>
      <c r="K6" s="77">
        <f>'10'!AD9</f>
        <v>0.125</v>
      </c>
      <c r="L6" s="77">
        <f>'11'!AD9</f>
        <v>0.70833333333333337</v>
      </c>
      <c r="M6" s="77"/>
      <c r="N6" s="77"/>
      <c r="O6" s="77">
        <f>'14'!AD9</f>
        <v>0.875</v>
      </c>
      <c r="P6" s="77">
        <f>'15'!AD9</f>
        <v>0.83333333333333337</v>
      </c>
      <c r="Q6" s="77">
        <f>'16'!AD9</f>
        <v>0.79166666666666663</v>
      </c>
      <c r="R6" s="77">
        <f>'17'!AD9</f>
        <v>0.20833333333333334</v>
      </c>
      <c r="S6" s="77"/>
      <c r="T6" s="77"/>
      <c r="U6" s="77"/>
      <c r="V6" s="77">
        <f>'21'!AD9</f>
        <v>0.5</v>
      </c>
      <c r="W6" s="77">
        <f>'22'!AD9</f>
        <v>0.5</v>
      </c>
      <c r="X6" s="77">
        <f>'23'!AD9</f>
        <v>0.25</v>
      </c>
      <c r="Y6" s="77">
        <f>'24'!AD9</f>
        <v>0.75</v>
      </c>
      <c r="Z6" s="77">
        <f>'25'!AD9</f>
        <v>0.875</v>
      </c>
      <c r="AA6" s="77"/>
      <c r="AB6" s="77"/>
      <c r="AC6" s="77">
        <f>'28'!AD9</f>
        <v>1</v>
      </c>
      <c r="AD6" s="77">
        <f>'29'!AD9</f>
        <v>1</v>
      </c>
      <c r="AE6" s="77">
        <f>'30'!AD10</f>
        <v>1</v>
      </c>
      <c r="AF6" s="78">
        <f>'31'!AD9</f>
        <v>0.91666666666666663</v>
      </c>
      <c r="AG6" s="79">
        <f t="shared" si="0"/>
        <v>0.5268817204301075</v>
      </c>
    </row>
    <row r="7" spans="1:33" ht="21.75" customHeight="1">
      <c r="A7" s="101" t="s">
        <v>64</v>
      </c>
      <c r="B7" s="98">
        <f>'01'!AD10</f>
        <v>0</v>
      </c>
      <c r="C7" s="98">
        <f>'02'!AD10</f>
        <v>0</v>
      </c>
      <c r="D7" s="77">
        <f>'03'!AD10</f>
        <v>0</v>
      </c>
      <c r="E7" s="77">
        <f>'04'!AD10</f>
        <v>0</v>
      </c>
      <c r="F7" s="77"/>
      <c r="G7" s="77"/>
      <c r="H7" s="77">
        <f>'07'!AD10</f>
        <v>0</v>
      </c>
      <c r="I7" s="77">
        <f>'08'!AD10</f>
        <v>0</v>
      </c>
      <c r="J7" s="77">
        <f>'09'!AD10</f>
        <v>0</v>
      </c>
      <c r="K7" s="77">
        <f>'10'!AD10</f>
        <v>0</v>
      </c>
      <c r="L7" s="77">
        <f>'11'!AD10</f>
        <v>0</v>
      </c>
      <c r="M7" s="77"/>
      <c r="N7" s="77"/>
      <c r="O7" s="77">
        <f>'14'!AD10</f>
        <v>0</v>
      </c>
      <c r="P7" s="77">
        <f>'15'!AD10</f>
        <v>0</v>
      </c>
      <c r="Q7" s="77">
        <f>'16'!AD10</f>
        <v>0</v>
      </c>
      <c r="R7" s="77">
        <f>'17'!AD10</f>
        <v>0</v>
      </c>
      <c r="S7" s="77"/>
      <c r="T7" s="77"/>
      <c r="U7" s="77"/>
      <c r="V7" s="77">
        <f>'21'!AD10</f>
        <v>0</v>
      </c>
      <c r="W7" s="77">
        <f>'22'!AD10</f>
        <v>0</v>
      </c>
      <c r="X7" s="77">
        <f>'23'!AD10</f>
        <v>0</v>
      </c>
      <c r="Y7" s="77">
        <f>'24'!AD10</f>
        <v>0</v>
      </c>
      <c r="Z7" s="77">
        <f>'25'!AD10</f>
        <v>0</v>
      </c>
      <c r="AA7" s="77"/>
      <c r="AB7" s="77"/>
      <c r="AC7" s="77">
        <f>'28'!AD10</f>
        <v>0</v>
      </c>
      <c r="AD7" s="77">
        <f>'29'!AD10</f>
        <v>0.66666666666666663</v>
      </c>
      <c r="AE7" s="77">
        <f>'30'!AD11</f>
        <v>1</v>
      </c>
      <c r="AF7" s="78">
        <f>'31'!AD10</f>
        <v>1</v>
      </c>
      <c r="AG7" s="79">
        <f t="shared" si="0"/>
        <v>8.6021505376344079E-2</v>
      </c>
    </row>
    <row r="8" spans="1:33" ht="21.75" customHeight="1">
      <c r="A8" s="101" t="s">
        <v>65</v>
      </c>
      <c r="B8" s="98">
        <f>'01'!AD11</f>
        <v>0</v>
      </c>
      <c r="C8" s="98">
        <f>'02'!AD11</f>
        <v>0</v>
      </c>
      <c r="D8" s="77">
        <f>'03'!AD11</f>
        <v>0.70833333333333337</v>
      </c>
      <c r="E8" s="77">
        <f>'04'!AD11</f>
        <v>0.41666666666666669</v>
      </c>
      <c r="F8" s="77"/>
      <c r="G8" s="77"/>
      <c r="H8" s="77">
        <f>'07'!AD11</f>
        <v>0.66666666666666663</v>
      </c>
      <c r="I8" s="77">
        <f>'08'!AD11</f>
        <v>1</v>
      </c>
      <c r="J8" s="77">
        <f>'09'!AD11</f>
        <v>1</v>
      </c>
      <c r="K8" s="77">
        <f>'10'!AD11</f>
        <v>1</v>
      </c>
      <c r="L8" s="77">
        <f>'11'!AD11</f>
        <v>1</v>
      </c>
      <c r="M8" s="77"/>
      <c r="N8" s="77"/>
      <c r="O8" s="77">
        <f>'14'!AD11</f>
        <v>0</v>
      </c>
      <c r="P8" s="77">
        <f>'15'!AD11</f>
        <v>0</v>
      </c>
      <c r="Q8" s="77">
        <f>'16'!AD11</f>
        <v>0</v>
      </c>
      <c r="R8" s="77">
        <f>'17'!AD11</f>
        <v>0</v>
      </c>
      <c r="S8" s="77"/>
      <c r="T8" s="77"/>
      <c r="U8" s="77"/>
      <c r="V8" s="77">
        <f>'21'!AD11</f>
        <v>0.5</v>
      </c>
      <c r="W8" s="77">
        <f>'22'!AD11</f>
        <v>0.5</v>
      </c>
      <c r="X8" s="77">
        <f>'23'!AD11</f>
        <v>1</v>
      </c>
      <c r="Y8" s="77">
        <f>'24'!AD11</f>
        <v>1</v>
      </c>
      <c r="Z8" s="77">
        <f>'25'!AD11</f>
        <v>1</v>
      </c>
      <c r="AA8" s="77"/>
      <c r="AB8" s="77"/>
      <c r="AC8" s="77">
        <f>'28'!AD11</f>
        <v>1</v>
      </c>
      <c r="AD8" s="77">
        <f>'29'!AD11</f>
        <v>1</v>
      </c>
      <c r="AE8" s="77">
        <f>'30'!AD12</f>
        <v>0.79166666666666663</v>
      </c>
      <c r="AF8" s="78">
        <f>'31'!AD11</f>
        <v>0.875</v>
      </c>
      <c r="AG8" s="79">
        <f t="shared" si="0"/>
        <v>0.43413978494623651</v>
      </c>
    </row>
    <row r="9" spans="1:33" ht="21.75" customHeight="1">
      <c r="A9" s="101" t="s">
        <v>66</v>
      </c>
      <c r="B9" s="98">
        <f>'01'!AD12</f>
        <v>1</v>
      </c>
      <c r="C9" s="98">
        <f>'02'!AD12</f>
        <v>0.75</v>
      </c>
      <c r="D9" s="77">
        <f>'03'!AD12</f>
        <v>1</v>
      </c>
      <c r="E9" s="77">
        <f>'04'!AD12</f>
        <v>1</v>
      </c>
      <c r="F9" s="77"/>
      <c r="G9" s="77"/>
      <c r="H9" s="77">
        <f>'07'!AD12</f>
        <v>0</v>
      </c>
      <c r="I9" s="77">
        <f>'08'!AD12</f>
        <v>0</v>
      </c>
      <c r="J9" s="77">
        <f>'09'!AD12</f>
        <v>0</v>
      </c>
      <c r="K9" s="77">
        <f>'10'!AD12</f>
        <v>0</v>
      </c>
      <c r="L9" s="77">
        <f>'11'!AD12</f>
        <v>0</v>
      </c>
      <c r="M9" s="77"/>
      <c r="N9" s="77"/>
      <c r="O9" s="77">
        <f>'14'!AD12</f>
        <v>0</v>
      </c>
      <c r="P9" s="77">
        <f>'15'!AD12</f>
        <v>0</v>
      </c>
      <c r="Q9" s="77">
        <f>'16'!AD12</f>
        <v>0.16666666666666666</v>
      </c>
      <c r="R9" s="77">
        <f>'17'!AD12</f>
        <v>0</v>
      </c>
      <c r="S9" s="77"/>
      <c r="T9" s="77"/>
      <c r="U9" s="77"/>
      <c r="V9" s="77">
        <f>'21'!AD12</f>
        <v>0</v>
      </c>
      <c r="W9" s="77">
        <f>'22'!AD12</f>
        <v>0</v>
      </c>
      <c r="X9" s="77">
        <f>'23'!AD12</f>
        <v>1</v>
      </c>
      <c r="Y9" s="77">
        <f>'24'!AD12</f>
        <v>1</v>
      </c>
      <c r="Z9" s="77">
        <f>'25'!AD12</f>
        <v>1</v>
      </c>
      <c r="AA9" s="77"/>
      <c r="AB9" s="77"/>
      <c r="AC9" s="77">
        <f>'28'!AD12</f>
        <v>1</v>
      </c>
      <c r="AD9" s="77">
        <f>'29'!AD12</f>
        <v>1</v>
      </c>
      <c r="AE9" s="77">
        <f>'30'!AD13</f>
        <v>0.20833333333333334</v>
      </c>
      <c r="AF9" s="78">
        <f>'31'!AD12</f>
        <v>0.875</v>
      </c>
      <c r="AG9" s="79">
        <f t="shared" si="0"/>
        <v>0.32258064516129031</v>
      </c>
    </row>
    <row r="10" spans="1:33" ht="21.75" customHeight="1">
      <c r="A10" s="101" t="s">
        <v>67</v>
      </c>
      <c r="B10" s="98">
        <f>'01'!AD13</f>
        <v>0.70833333333333337</v>
      </c>
      <c r="C10" s="98">
        <f>'02'!AD13</f>
        <v>1</v>
      </c>
      <c r="D10" s="77">
        <f>'03'!AD13</f>
        <v>0.95833333333333337</v>
      </c>
      <c r="E10" s="77">
        <f>'04'!AD13</f>
        <v>0.66666666666666663</v>
      </c>
      <c r="F10" s="77"/>
      <c r="G10" s="77"/>
      <c r="H10" s="77">
        <f>'07'!AD13</f>
        <v>1</v>
      </c>
      <c r="I10" s="77">
        <f>'08'!AD13</f>
        <v>1</v>
      </c>
      <c r="J10" s="77">
        <f>'09'!AD13</f>
        <v>1</v>
      </c>
      <c r="K10" s="77">
        <f>'10'!AD13</f>
        <v>0.625</v>
      </c>
      <c r="L10" s="77">
        <f>'11'!AD13</f>
        <v>0</v>
      </c>
      <c r="M10" s="77"/>
      <c r="N10" s="77"/>
      <c r="O10" s="77">
        <f>'14'!AD13</f>
        <v>0</v>
      </c>
      <c r="P10" s="77">
        <f>'15'!AD13</f>
        <v>0</v>
      </c>
      <c r="Q10" s="77">
        <f>'16'!AD13</f>
        <v>0.54166666666666663</v>
      </c>
      <c r="R10" s="77">
        <f>'17'!AD13</f>
        <v>0</v>
      </c>
      <c r="S10" s="77"/>
      <c r="T10" s="77"/>
      <c r="U10" s="77"/>
      <c r="V10" s="77">
        <f>'21'!AD13</f>
        <v>0</v>
      </c>
      <c r="W10" s="77">
        <f>'22'!AD13</f>
        <v>0.25</v>
      </c>
      <c r="X10" s="77">
        <f>'23'!AD13</f>
        <v>1</v>
      </c>
      <c r="Y10" s="77">
        <f>'24'!AD13</f>
        <v>0.83333333333333337</v>
      </c>
      <c r="Z10" s="77">
        <f>'25'!AD13</f>
        <v>0</v>
      </c>
      <c r="AA10" s="77"/>
      <c r="AB10" s="77"/>
      <c r="AC10" s="77">
        <f>'28'!AD13</f>
        <v>0.875</v>
      </c>
      <c r="AD10" s="77">
        <f>'29'!AD13</f>
        <v>0.83333333333333337</v>
      </c>
      <c r="AE10" s="77">
        <f>'30'!AD14</f>
        <v>1</v>
      </c>
      <c r="AF10" s="78">
        <f>'31'!AD13</f>
        <v>0.45833333333333331</v>
      </c>
      <c r="AG10" s="79">
        <f t="shared" si="0"/>
        <v>0.41129032258064524</v>
      </c>
    </row>
    <row r="11" spans="1:33" ht="21.75" customHeight="1">
      <c r="A11" s="106" t="s">
        <v>68</v>
      </c>
      <c r="B11" s="107">
        <f>'01'!AD14</f>
        <v>0.29166666666666669</v>
      </c>
      <c r="C11" s="107">
        <f>'02'!AD14</f>
        <v>0.5</v>
      </c>
      <c r="D11" s="108">
        <f>'03'!AD14</f>
        <v>0.33333333333333331</v>
      </c>
      <c r="E11" s="108">
        <f>'04'!AD14</f>
        <v>0.5</v>
      </c>
      <c r="F11" s="108"/>
      <c r="G11" s="108"/>
      <c r="H11" s="108">
        <f>'07'!AD14</f>
        <v>0.5</v>
      </c>
      <c r="I11" s="108">
        <f>'08'!AD14+'08'!AD15</f>
        <v>0.41666666666666663</v>
      </c>
      <c r="J11" s="108">
        <f>'09'!AD14</f>
        <v>0</v>
      </c>
      <c r="K11" s="108">
        <f>'10'!AD14</f>
        <v>0.54166666666666663</v>
      </c>
      <c r="L11" s="108">
        <f>'11'!AD14</f>
        <v>0</v>
      </c>
      <c r="M11" s="108"/>
      <c r="N11" s="108"/>
      <c r="O11" s="108">
        <f>'14'!AD14+'14'!AD15</f>
        <v>0.3125</v>
      </c>
      <c r="P11" s="108">
        <f>'15'!AD14</f>
        <v>0.20833333333333334</v>
      </c>
      <c r="Q11" s="108">
        <f>'16'!AD14+'16'!AD15</f>
        <v>0.20833333333333334</v>
      </c>
      <c r="R11" s="108">
        <f>'17'!AD14</f>
        <v>0.33333333333333331</v>
      </c>
      <c r="S11" s="108"/>
      <c r="T11" s="108"/>
      <c r="U11" s="108"/>
      <c r="V11" s="108">
        <f>'21'!AD14</f>
        <v>0.25</v>
      </c>
      <c r="W11" s="108">
        <f>'22'!AD14</f>
        <v>0</v>
      </c>
      <c r="X11" s="108">
        <f>'23'!AD14</f>
        <v>0</v>
      </c>
      <c r="Y11" s="108">
        <f>'24'!AD14</f>
        <v>0</v>
      </c>
      <c r="Z11" s="108">
        <f>'25'!AD14</f>
        <v>0</v>
      </c>
      <c r="AA11" s="108"/>
      <c r="AB11" s="108"/>
      <c r="AC11" s="108">
        <f>'28'!AD14</f>
        <v>0.45833333333333331</v>
      </c>
      <c r="AD11" s="108">
        <f>'29'!AD14</f>
        <v>0</v>
      </c>
      <c r="AE11" s="108">
        <f>'30'!AD15</f>
        <v>0</v>
      </c>
      <c r="AF11" s="109">
        <f>'31'!AD14</f>
        <v>0</v>
      </c>
      <c r="AG11" s="110">
        <f t="shared" si="0"/>
        <v>0.15658602150537632</v>
      </c>
    </row>
    <row r="12" spans="1:33" ht="21.75" customHeight="1">
      <c r="A12" s="100" t="s">
        <v>69</v>
      </c>
      <c r="B12" s="97">
        <f>'01'!AD15</f>
        <v>0</v>
      </c>
      <c r="C12" s="97">
        <f>'02'!AD15</f>
        <v>0</v>
      </c>
      <c r="D12" s="74">
        <f>'03'!AD15</f>
        <v>0</v>
      </c>
      <c r="E12" s="74">
        <f>'04'!AD15</f>
        <v>0</v>
      </c>
      <c r="F12" s="74"/>
      <c r="G12" s="74"/>
      <c r="H12" s="74">
        <f>'07'!AD15</f>
        <v>0.625</v>
      </c>
      <c r="I12" s="74">
        <f>'08'!AD16</f>
        <v>1</v>
      </c>
      <c r="J12" s="74">
        <f>'09'!AD15</f>
        <v>1</v>
      </c>
      <c r="K12" s="74">
        <f>'10'!AD15</f>
        <v>1</v>
      </c>
      <c r="L12" s="74">
        <f>'11'!AD15</f>
        <v>1</v>
      </c>
      <c r="M12" s="74"/>
      <c r="N12" s="74"/>
      <c r="O12" s="74">
        <f>'14'!AD16</f>
        <v>0</v>
      </c>
      <c r="P12" s="74">
        <f>'15'!AD15</f>
        <v>0</v>
      </c>
      <c r="Q12" s="74">
        <f>'16'!AD16</f>
        <v>0</v>
      </c>
      <c r="R12" s="74">
        <f>'17'!AD15</f>
        <v>0</v>
      </c>
      <c r="S12" s="74"/>
      <c r="T12" s="74"/>
      <c r="U12" s="74"/>
      <c r="V12" s="74">
        <f>'21'!AD15</f>
        <v>0</v>
      </c>
      <c r="W12" s="74">
        <f>'22'!AD15</f>
        <v>0</v>
      </c>
      <c r="X12" s="74">
        <f>'23'!AD15</f>
        <v>0</v>
      </c>
      <c r="Y12" s="74">
        <f>'24'!AD15</f>
        <v>0</v>
      </c>
      <c r="Z12" s="74">
        <f>'25'!AD15</f>
        <v>0</v>
      </c>
      <c r="AA12" s="74"/>
      <c r="AB12" s="74"/>
      <c r="AC12" s="74">
        <f>'28'!AD15</f>
        <v>0</v>
      </c>
      <c r="AD12" s="74">
        <f>'29'!AD15</f>
        <v>0.25</v>
      </c>
      <c r="AE12" s="74">
        <f>'30'!AD16</f>
        <v>0</v>
      </c>
      <c r="AF12" s="75">
        <f>'31'!AD15</f>
        <v>0</v>
      </c>
      <c r="AG12" s="76">
        <f t="shared" si="0"/>
        <v>0.15725806451612903</v>
      </c>
    </row>
    <row r="13" spans="1:33" ht="21.75" customHeight="1">
      <c r="A13" s="101" t="s">
        <v>70</v>
      </c>
      <c r="B13" s="98">
        <f>'01'!AD16+'01'!AD17</f>
        <v>0.95833333333333337</v>
      </c>
      <c r="C13" s="98">
        <f>'02'!AD16</f>
        <v>0.875</v>
      </c>
      <c r="D13" s="77">
        <f>'03'!AD16</f>
        <v>1</v>
      </c>
      <c r="E13" s="77">
        <f>'04'!AD16</f>
        <v>0.875</v>
      </c>
      <c r="F13" s="77"/>
      <c r="G13" s="77"/>
      <c r="H13" s="77">
        <f>'07'!AD16</f>
        <v>0.41666666666666669</v>
      </c>
      <c r="I13" s="77">
        <f>'08'!AD17</f>
        <v>0.91666666666666663</v>
      </c>
      <c r="J13" s="77">
        <f>'09'!AD16</f>
        <v>0.83333333333333337</v>
      </c>
      <c r="K13" s="77">
        <f>'10'!AD16</f>
        <v>1</v>
      </c>
      <c r="L13" s="77">
        <f>'11'!AD16</f>
        <v>0.91666666666666663</v>
      </c>
      <c r="M13" s="77"/>
      <c r="N13" s="77"/>
      <c r="O13" s="77">
        <f>'14'!AD17</f>
        <v>0</v>
      </c>
      <c r="P13" s="77">
        <f>'15'!AD16</f>
        <v>0</v>
      </c>
      <c r="Q13" s="77">
        <f>'16'!AD17</f>
        <v>0.33333333333333331</v>
      </c>
      <c r="R13" s="77">
        <f>'17'!AD16</f>
        <v>0</v>
      </c>
      <c r="S13" s="77"/>
      <c r="T13" s="77"/>
      <c r="U13" s="77"/>
      <c r="V13" s="77">
        <f>'21'!AD16</f>
        <v>0.5</v>
      </c>
      <c r="W13" s="77">
        <f>'22'!AD16</f>
        <v>0.5</v>
      </c>
      <c r="X13" s="77">
        <f>'23'!AD16</f>
        <v>0.33333333333333331</v>
      </c>
      <c r="Y13" s="77">
        <f>'24'!AD16</f>
        <v>0.79166666666666663</v>
      </c>
      <c r="Z13" s="77">
        <f>'25'!AD16</f>
        <v>1</v>
      </c>
      <c r="AA13" s="77"/>
      <c r="AB13" s="77"/>
      <c r="AC13" s="77">
        <f>'28'!AD16</f>
        <v>1</v>
      </c>
      <c r="AD13" s="77">
        <f>'29'!AD16</f>
        <v>1</v>
      </c>
      <c r="AE13" s="77">
        <f>'30'!AD17</f>
        <v>1</v>
      </c>
      <c r="AF13" s="78">
        <f>'31'!AD16</f>
        <v>1</v>
      </c>
      <c r="AG13" s="79">
        <f t="shared" si="0"/>
        <v>0.49193548387096775</v>
      </c>
    </row>
    <row r="14" spans="1:33" ht="21.75" customHeight="1">
      <c r="A14" s="100" t="s">
        <v>71</v>
      </c>
      <c r="B14" s="97">
        <f>'01'!AD18</f>
        <v>0</v>
      </c>
      <c r="C14" s="97">
        <f>'02'!AD17</f>
        <v>0</v>
      </c>
      <c r="D14" s="74">
        <f>'03'!AD17</f>
        <v>0</v>
      </c>
      <c r="E14" s="74">
        <f>'04'!AD17</f>
        <v>0</v>
      </c>
      <c r="F14" s="74"/>
      <c r="G14" s="74"/>
      <c r="H14" s="74">
        <f>'07'!AD17</f>
        <v>0</v>
      </c>
      <c r="I14" s="74">
        <f>'08'!AD18</f>
        <v>0</v>
      </c>
      <c r="J14" s="74">
        <f>'09'!AD17</f>
        <v>0</v>
      </c>
      <c r="K14" s="74">
        <f>'10'!AD17</f>
        <v>0</v>
      </c>
      <c r="L14" s="74">
        <f>'11'!AD17</f>
        <v>0</v>
      </c>
      <c r="M14" s="74"/>
      <c r="N14" s="74"/>
      <c r="O14" s="74">
        <f>'14'!AD18</f>
        <v>0</v>
      </c>
      <c r="P14" s="74">
        <f>'15'!AD17</f>
        <v>0</v>
      </c>
      <c r="Q14" s="74">
        <f>'16'!AD18</f>
        <v>0</v>
      </c>
      <c r="R14" s="74">
        <f>'17'!AD17</f>
        <v>0</v>
      </c>
      <c r="S14" s="74"/>
      <c r="T14" s="74"/>
      <c r="U14" s="74"/>
      <c r="V14" s="74">
        <f>'21'!AD17</f>
        <v>0.375</v>
      </c>
      <c r="W14" s="74">
        <f>'22'!AD17</f>
        <v>0.5</v>
      </c>
      <c r="X14" s="74">
        <f>'23'!AD17</f>
        <v>1</v>
      </c>
      <c r="Y14" s="74">
        <f>'24'!AD17</f>
        <v>1</v>
      </c>
      <c r="Z14" s="74">
        <f>'25'!AD17</f>
        <v>1</v>
      </c>
      <c r="AA14" s="74"/>
      <c r="AB14" s="74"/>
      <c r="AC14" s="74">
        <f>'28'!AD17</f>
        <v>1</v>
      </c>
      <c r="AD14" s="74">
        <f>'29'!AD17</f>
        <v>0.75</v>
      </c>
      <c r="AE14" s="74">
        <f>'30'!AD18</f>
        <v>0.75</v>
      </c>
      <c r="AF14" s="75">
        <f>'31'!AD17</f>
        <v>1</v>
      </c>
      <c r="AG14" s="76">
        <f t="shared" si="0"/>
        <v>0.23790322580645162</v>
      </c>
    </row>
    <row r="15" spans="1:33" ht="21.75" customHeight="1">
      <c r="A15" s="101" t="s">
        <v>72</v>
      </c>
      <c r="B15" s="98">
        <f>'01'!AD19</f>
        <v>0.95833333333333337</v>
      </c>
      <c r="C15" s="98">
        <f>'02'!AD18</f>
        <v>1</v>
      </c>
      <c r="D15" s="77">
        <f>'03'!AD18</f>
        <v>1</v>
      </c>
      <c r="E15" s="77">
        <f>'04'!AD18</f>
        <v>0.16666666666666666</v>
      </c>
      <c r="F15" s="77"/>
      <c r="G15" s="77"/>
      <c r="H15" s="77">
        <f>'07'!AD18</f>
        <v>0.16666666666666666</v>
      </c>
      <c r="I15" s="77">
        <f>'08'!AD19</f>
        <v>0.66666666666666663</v>
      </c>
      <c r="J15" s="77">
        <f>'09'!AD18</f>
        <v>1</v>
      </c>
      <c r="K15" s="77">
        <f>'10'!AD18</f>
        <v>1</v>
      </c>
      <c r="L15" s="77">
        <f>'11'!AD18</f>
        <v>0.5</v>
      </c>
      <c r="M15" s="77"/>
      <c r="N15" s="77"/>
      <c r="O15" s="77">
        <f>'14'!AD19</f>
        <v>0</v>
      </c>
      <c r="P15" s="77">
        <f>'15'!AD18</f>
        <v>0.16666666666666666</v>
      </c>
      <c r="Q15" s="77">
        <f>'16'!AD19</f>
        <v>0</v>
      </c>
      <c r="R15" s="77">
        <f>'17'!AD18</f>
        <v>0</v>
      </c>
      <c r="S15" s="77"/>
      <c r="T15" s="77"/>
      <c r="U15" s="77"/>
      <c r="V15" s="77">
        <f>'21'!AD18</f>
        <v>0</v>
      </c>
      <c r="W15" s="77">
        <f>'22'!AD18</f>
        <v>0</v>
      </c>
      <c r="X15" s="77">
        <f>'23'!AD18</f>
        <v>0</v>
      </c>
      <c r="Y15" s="77">
        <f>'24'!AD18</f>
        <v>0.75</v>
      </c>
      <c r="Z15" s="77">
        <f>'25'!AD18</f>
        <v>0</v>
      </c>
      <c r="AA15" s="77"/>
      <c r="AB15" s="77"/>
      <c r="AC15" s="77">
        <f>'28'!AD18</f>
        <v>0</v>
      </c>
      <c r="AD15" s="77">
        <f>'29'!AD18</f>
        <v>0</v>
      </c>
      <c r="AE15" s="77">
        <f>'30'!AD19</f>
        <v>0.95833333333333337</v>
      </c>
      <c r="AF15" s="78">
        <f>'31'!AD18</f>
        <v>1</v>
      </c>
      <c r="AG15" s="79">
        <f t="shared" si="0"/>
        <v>0.30107526881720431</v>
      </c>
    </row>
    <row r="16" spans="1:33" ht="21.75" customHeight="1">
      <c r="A16" s="101" t="s">
        <v>122</v>
      </c>
      <c r="B16" s="98">
        <f>'01'!AD20</f>
        <v>0.95833333333333337</v>
      </c>
      <c r="C16" s="98">
        <f>'02'!AD19</f>
        <v>1</v>
      </c>
      <c r="D16" s="77">
        <f>'03'!AD19</f>
        <v>0.875</v>
      </c>
      <c r="E16" s="77">
        <f>'04'!AD19</f>
        <v>1</v>
      </c>
      <c r="F16" s="77"/>
      <c r="G16" s="77"/>
      <c r="H16" s="77">
        <f>'07'!AD19</f>
        <v>1</v>
      </c>
      <c r="I16" s="77">
        <f>'08'!AD20</f>
        <v>0</v>
      </c>
      <c r="J16" s="77">
        <f>'09'!AD19</f>
        <v>0</v>
      </c>
      <c r="K16" s="77">
        <f>'10'!AD19</f>
        <v>0</v>
      </c>
      <c r="L16" s="77">
        <f>'11'!AD19</f>
        <v>0</v>
      </c>
      <c r="M16" s="77"/>
      <c r="N16" s="77"/>
      <c r="O16" s="77">
        <f>'14'!AD20</f>
        <v>0.41666666666666669</v>
      </c>
      <c r="P16" s="77">
        <f>'15'!AD19</f>
        <v>0.83333333333333337</v>
      </c>
      <c r="Q16" s="77">
        <f>'16'!AD20</f>
        <v>0</v>
      </c>
      <c r="R16" s="77">
        <f>'17'!AD19</f>
        <v>0.33333333333333331</v>
      </c>
      <c r="S16" s="77"/>
      <c r="T16" s="77"/>
      <c r="U16" s="77"/>
      <c r="V16" s="77">
        <f>'21'!AD19</f>
        <v>0</v>
      </c>
      <c r="W16" s="77">
        <f>'22'!AD19</f>
        <v>0</v>
      </c>
      <c r="X16" s="77">
        <f>'23'!AD19</f>
        <v>0</v>
      </c>
      <c r="Y16" s="77">
        <f>'24'!AD19</f>
        <v>0.33333333333333331</v>
      </c>
      <c r="Z16" s="77">
        <f>'25'!AD19</f>
        <v>0.95833333333333337</v>
      </c>
      <c r="AA16" s="77"/>
      <c r="AB16" s="77"/>
      <c r="AC16" s="77">
        <f>'28'!AD19</f>
        <v>0</v>
      </c>
      <c r="AD16" s="77">
        <f>'29'!AD19</f>
        <v>0</v>
      </c>
      <c r="AE16" s="77">
        <f>'30'!AD20</f>
        <v>0</v>
      </c>
      <c r="AF16" s="78">
        <f>'31'!AD19</f>
        <v>0.5</v>
      </c>
      <c r="AG16" s="79">
        <f t="shared" si="0"/>
        <v>0.26478494623655913</v>
      </c>
    </row>
    <row r="17" spans="1:33" ht="21.75" customHeight="1">
      <c r="A17" s="101" t="s">
        <v>123</v>
      </c>
      <c r="B17" s="98">
        <f>'01'!AD21</f>
        <v>0.875</v>
      </c>
      <c r="C17" s="98">
        <f>'02'!AD20</f>
        <v>0.875</v>
      </c>
      <c r="D17" s="77">
        <f>'03'!AD20</f>
        <v>0.83333333333333337</v>
      </c>
      <c r="E17" s="77">
        <f>'04'!AD20</f>
        <v>0</v>
      </c>
      <c r="F17" s="77"/>
      <c r="G17" s="77"/>
      <c r="H17" s="77">
        <f>'07'!AD20</f>
        <v>0</v>
      </c>
      <c r="I17" s="77">
        <f>'08'!AD21</f>
        <v>0</v>
      </c>
      <c r="J17" s="77">
        <f>'09'!AD20</f>
        <v>0</v>
      </c>
      <c r="K17" s="77">
        <f>'10'!AD20</f>
        <v>0</v>
      </c>
      <c r="L17" s="77">
        <f>'11'!AD20</f>
        <v>0</v>
      </c>
      <c r="M17" s="77"/>
      <c r="N17" s="77"/>
      <c r="O17" s="77">
        <f>'14'!AD21</f>
        <v>0</v>
      </c>
      <c r="P17" s="77">
        <f>'15'!AD20</f>
        <v>0</v>
      </c>
      <c r="Q17" s="77">
        <f>'16'!AD21</f>
        <v>0</v>
      </c>
      <c r="R17" s="77">
        <f>'17'!AD20</f>
        <v>0</v>
      </c>
      <c r="S17" s="77"/>
      <c r="T17" s="77"/>
      <c r="U17" s="77"/>
      <c r="V17" s="77">
        <f>'21'!AD20</f>
        <v>0</v>
      </c>
      <c r="W17" s="77">
        <f>'22'!AD20</f>
        <v>0.16666666666666666</v>
      </c>
      <c r="X17" s="77">
        <f>'23'!AD20</f>
        <v>1</v>
      </c>
      <c r="Y17" s="77">
        <f>'24'!AD20</f>
        <v>1</v>
      </c>
      <c r="Z17" s="77">
        <f>'25'!AD20</f>
        <v>0.45833333333333331</v>
      </c>
      <c r="AA17" s="77"/>
      <c r="AB17" s="77"/>
      <c r="AC17" s="77">
        <f>'28'!AD20</f>
        <v>0.70833333333333337</v>
      </c>
      <c r="AD17" s="77">
        <f>'29'!AD20</f>
        <v>0.875</v>
      </c>
      <c r="AE17" s="77">
        <f>'30'!AD21</f>
        <v>0.83333333333333337</v>
      </c>
      <c r="AF17" s="78">
        <f>'31'!AD20</f>
        <v>0.91666666666666663</v>
      </c>
      <c r="AG17" s="79">
        <f t="shared" si="0"/>
        <v>0.27553763440860213</v>
      </c>
    </row>
    <row r="18" spans="1:33" ht="21.75" customHeight="1" thickBot="1">
      <c r="A18" s="102" t="s">
        <v>124</v>
      </c>
      <c r="B18" s="99">
        <f>'01'!AD22</f>
        <v>0.45833333333333331</v>
      </c>
      <c r="C18" s="99">
        <f>'02'!AD21</f>
        <v>0.375</v>
      </c>
      <c r="D18" s="80">
        <f>'03'!AD21</f>
        <v>0.5</v>
      </c>
      <c r="E18" s="80">
        <f>'04'!AD21</f>
        <v>0.5</v>
      </c>
      <c r="F18" s="80"/>
      <c r="G18" s="80"/>
      <c r="H18" s="80">
        <f>'07'!AD21</f>
        <v>0</v>
      </c>
      <c r="I18" s="80">
        <f>'08'!AD22</f>
        <v>0.83333333333333337</v>
      </c>
      <c r="J18" s="80">
        <f>'09'!AD21</f>
        <v>1</v>
      </c>
      <c r="K18" s="80">
        <f>'10'!AD21</f>
        <v>1</v>
      </c>
      <c r="L18" s="80">
        <f>'11'!AD21</f>
        <v>1</v>
      </c>
      <c r="M18" s="80"/>
      <c r="N18" s="80"/>
      <c r="O18" s="80">
        <f>'14'!AD22</f>
        <v>1</v>
      </c>
      <c r="P18" s="80">
        <f>'15'!AD21</f>
        <v>0.95833333333333337</v>
      </c>
      <c r="Q18" s="80">
        <f>'16'!AD22</f>
        <v>1</v>
      </c>
      <c r="R18" s="80">
        <f>'17'!AD21</f>
        <v>0.33333333333333331</v>
      </c>
      <c r="S18" s="80"/>
      <c r="T18" s="80"/>
      <c r="U18" s="80"/>
      <c r="V18" s="80">
        <f>'21'!AD21</f>
        <v>0.5</v>
      </c>
      <c r="W18" s="80">
        <f>'22'!AD21</f>
        <v>0.5</v>
      </c>
      <c r="X18" s="80">
        <f>'23'!AD21</f>
        <v>0.5</v>
      </c>
      <c r="Y18" s="80">
        <f>'24'!AD21</f>
        <v>1</v>
      </c>
      <c r="Z18" s="80">
        <f>'25'!AD21</f>
        <v>1</v>
      </c>
      <c r="AA18" s="80"/>
      <c r="AB18" s="80"/>
      <c r="AC18" s="80">
        <f>'28'!AD21</f>
        <v>1</v>
      </c>
      <c r="AD18" s="80">
        <f>'29'!AD21</f>
        <v>1</v>
      </c>
      <c r="AE18" s="80">
        <f>'30'!AD22</f>
        <v>1</v>
      </c>
      <c r="AF18" s="81">
        <f>'31'!AD21</f>
        <v>1</v>
      </c>
      <c r="AG18" s="82">
        <f t="shared" si="0"/>
        <v>0.53091397849462374</v>
      </c>
    </row>
    <row r="19" spans="1:33" s="83" customFormat="1" ht="21.75" customHeight="1">
      <c r="A19" s="87" t="s">
        <v>104</v>
      </c>
      <c r="B19" s="91">
        <f>'01'!AD23</f>
        <v>0.48284313725490191</v>
      </c>
      <c r="C19" s="91">
        <f>'02'!AD22</f>
        <v>0.55208333333333337</v>
      </c>
      <c r="D19" s="92">
        <f>'03'!AD22</f>
        <v>0.52864583333333326</v>
      </c>
      <c r="E19" s="92">
        <f>'04'!AD22</f>
        <v>0.45572916666666669</v>
      </c>
      <c r="F19" s="92"/>
      <c r="G19" s="92"/>
      <c r="H19" s="92">
        <f>'07'!AD22</f>
        <v>0.33854166666666669</v>
      </c>
      <c r="I19" s="92">
        <f>'08'!AD23</f>
        <v>0.40196078431372545</v>
      </c>
      <c r="J19" s="92">
        <f>'09'!AD22</f>
        <v>0.39583333333333331</v>
      </c>
      <c r="K19" s="92">
        <f>'10'!AD22</f>
        <v>0.453125</v>
      </c>
      <c r="L19" s="92">
        <f>'11'!AD22</f>
        <v>0.40625000000000006</v>
      </c>
      <c r="M19" s="92"/>
      <c r="N19" s="92"/>
      <c r="O19" s="92">
        <f>'14'!AD23</f>
        <v>0.17769607843137256</v>
      </c>
      <c r="P19" s="92">
        <f>'15'!AD22</f>
        <v>0.22916666666666669</v>
      </c>
      <c r="Q19" s="92">
        <f>'16'!AD23</f>
        <v>0.22303921568627452</v>
      </c>
      <c r="R19" s="92">
        <f>'17'!AD22</f>
        <v>7.5520833333333329E-2</v>
      </c>
      <c r="S19" s="92"/>
      <c r="T19" s="92"/>
      <c r="U19" s="92"/>
      <c r="V19" s="92">
        <f>'21'!AD22</f>
        <v>0.1640625</v>
      </c>
      <c r="W19" s="92">
        <f>'22'!AD22</f>
        <v>0.22395833333333331</v>
      </c>
      <c r="X19" s="92">
        <f>'23'!AD22</f>
        <v>0.50520833333333326</v>
      </c>
      <c r="Y19" s="92">
        <f>'24'!AD22</f>
        <v>0.65364583333333337</v>
      </c>
      <c r="Z19" s="92">
        <f>'25'!AD22</f>
        <v>0.58072916666666663</v>
      </c>
      <c r="AA19" s="92"/>
      <c r="AB19" s="92"/>
      <c r="AC19" s="92">
        <f>'28'!AD22</f>
        <v>0.50260416666666663</v>
      </c>
      <c r="AD19" s="92">
        <f>'29'!AD22</f>
        <v>0.55989583333333326</v>
      </c>
      <c r="AE19" s="92">
        <f>'30'!AD23</f>
        <v>0.5759803921568627</v>
      </c>
      <c r="AF19" s="93">
        <f>'31'!AD22</f>
        <v>0.65624999999999989</v>
      </c>
      <c r="AG19" s="94">
        <f>SUM(B19:AF19)/31</f>
        <v>0.29492805186590759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44</vt:i4>
      </vt:variant>
    </vt:vector>
  </HeadingPairs>
  <TitlesOfParts>
    <vt:vector size="67" baseType="lpstr">
      <vt:lpstr>01</vt:lpstr>
      <vt:lpstr>02</vt:lpstr>
      <vt:lpstr>03</vt:lpstr>
      <vt:lpstr>04</vt:lpstr>
      <vt:lpstr>07</vt:lpstr>
      <vt:lpstr>08</vt:lpstr>
      <vt:lpstr>09</vt:lpstr>
      <vt:lpstr>10</vt:lpstr>
      <vt:lpstr>11</vt:lpstr>
      <vt:lpstr>14</vt:lpstr>
      <vt:lpstr>15</vt:lpstr>
      <vt:lpstr>16</vt:lpstr>
      <vt:lpstr>17</vt:lpstr>
      <vt:lpstr>21</vt:lpstr>
      <vt:lpstr>22</vt:lpstr>
      <vt:lpstr>23</vt:lpstr>
      <vt:lpstr>24</vt:lpstr>
      <vt:lpstr>25</vt:lpstr>
      <vt:lpstr>28</vt:lpstr>
      <vt:lpstr>29</vt:lpstr>
      <vt:lpstr>30</vt:lpstr>
      <vt:lpstr>31</vt:lpstr>
      <vt:lpstr>총괄</vt:lpstr>
      <vt:lpstr>'01'!Print_Area</vt:lpstr>
      <vt:lpstr>'02'!Print_Area</vt:lpstr>
      <vt:lpstr>'03'!Print_Area</vt:lpstr>
      <vt:lpstr>'04'!Print_Area</vt:lpstr>
      <vt:lpstr>'07'!Print_Area</vt:lpstr>
      <vt:lpstr>'08'!Print_Area</vt:lpstr>
      <vt:lpstr>'09'!Print_Area</vt:lpstr>
      <vt:lpstr>'10'!Print_Area</vt:lpstr>
      <vt:lpstr>'11'!Print_Area</vt:lpstr>
      <vt:lpstr>'14'!Print_Area</vt:lpstr>
      <vt:lpstr>'15'!Print_Area</vt:lpstr>
      <vt:lpstr>'16'!Print_Area</vt:lpstr>
      <vt:lpstr>'17'!Print_Area</vt:lpstr>
      <vt:lpstr>'21'!Print_Area</vt:lpstr>
      <vt:lpstr>'22'!Print_Area</vt:lpstr>
      <vt:lpstr>'23'!Print_Area</vt:lpstr>
      <vt:lpstr>'24'!Print_Area</vt:lpstr>
      <vt:lpstr>'25'!Print_Area</vt:lpstr>
      <vt:lpstr>'28'!Print_Area</vt:lpstr>
      <vt:lpstr>'29'!Print_Area</vt:lpstr>
      <vt:lpstr>'30'!Print_Area</vt:lpstr>
      <vt:lpstr>'31'!Print_Area</vt:lpstr>
      <vt:lpstr>'01'!ㅁ1</vt:lpstr>
      <vt:lpstr>'02'!ㅁ1</vt:lpstr>
      <vt:lpstr>'03'!ㅁ1</vt:lpstr>
      <vt:lpstr>'04'!ㅁ1</vt:lpstr>
      <vt:lpstr>'07'!ㅁ1</vt:lpstr>
      <vt:lpstr>'08'!ㅁ1</vt:lpstr>
      <vt:lpstr>'09'!ㅁ1</vt:lpstr>
      <vt:lpstr>'10'!ㅁ1</vt:lpstr>
      <vt:lpstr>'11'!ㅁ1</vt:lpstr>
      <vt:lpstr>'14'!ㅁ1</vt:lpstr>
      <vt:lpstr>'15'!ㅁ1</vt:lpstr>
      <vt:lpstr>'16'!ㅁ1</vt:lpstr>
      <vt:lpstr>'17'!ㅁ1</vt:lpstr>
      <vt:lpstr>'21'!ㅁ1</vt:lpstr>
      <vt:lpstr>'22'!ㅁ1</vt:lpstr>
      <vt:lpstr>'23'!ㅁ1</vt:lpstr>
      <vt:lpstr>'24'!ㅁ1</vt:lpstr>
      <vt:lpstr>'25'!ㅁ1</vt:lpstr>
      <vt:lpstr>'28'!ㅁ1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2021-01-01T00:36:49Z</dcterms:modified>
</cp:coreProperties>
</file>