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drawings/drawing54.xml" ContentType="application/vnd.openxmlformats-officedocument.drawingml.chartshapes+xml"/>
  <Override PartName="/xl/drawings/drawing55.xml" ContentType="application/vnd.openxmlformats-officedocument.drawing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drawings/drawing56.xml" ContentType="application/vnd.openxmlformats-officedocument.drawingml.chartshapes+xml"/>
  <Override PartName="/xl/drawings/drawing57.xml" ContentType="application/vnd.openxmlformats-officedocument.drawing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F24DCB42-3F31-492C-A1EE-F3DBEE535D77}" xr6:coauthVersionLast="45" xr6:coauthVersionMax="45" xr10:uidLastSave="{00000000-0000-0000-0000-000000000000}"/>
  <bookViews>
    <workbookView xWindow="-120" yWindow="-120" windowWidth="29040" windowHeight="15840" firstSheet="6" activeTab="28" xr2:uid="{00000000-000D-0000-FFFF-FFFF00000000}"/>
  </bookViews>
  <sheets>
    <sheet name="02" sheetId="1670" r:id="rId1"/>
    <sheet name="03" sheetId="1671" r:id="rId2"/>
    <sheet name="04" sheetId="1672" r:id="rId3"/>
    <sheet name="05" sheetId="1673" r:id="rId4"/>
    <sheet name="06" sheetId="1674" r:id="rId5"/>
    <sheet name="07" sheetId="1675" r:id="rId6"/>
    <sheet name="08" sheetId="1676" r:id="rId7"/>
    <sheet name="09" sheetId="1677" r:id="rId8"/>
    <sheet name="10" sheetId="1678" r:id="rId9"/>
    <sheet name="11" sheetId="1679" r:id="rId10"/>
    <sheet name="12" sheetId="1680" r:id="rId11"/>
    <sheet name="13" sheetId="1681" r:id="rId12"/>
    <sheet name="14" sheetId="1682" r:id="rId13"/>
    <sheet name="15" sheetId="1683" r:id="rId14"/>
    <sheet name="16" sheetId="1684" r:id="rId15"/>
    <sheet name="17" sheetId="1685" r:id="rId16"/>
    <sheet name="18" sheetId="1686" r:id="rId17"/>
    <sheet name="19" sheetId="1687" r:id="rId18"/>
    <sheet name="20" sheetId="1688" r:id="rId19"/>
    <sheet name="21" sheetId="1689" r:id="rId20"/>
    <sheet name="22" sheetId="1690" r:id="rId21"/>
    <sheet name="23" sheetId="1691" r:id="rId22"/>
    <sheet name="24" sheetId="1692" r:id="rId23"/>
    <sheet name="25" sheetId="1693" r:id="rId24"/>
    <sheet name="26" sheetId="1694" r:id="rId25"/>
    <sheet name="27" sheetId="1695" r:id="rId26"/>
    <sheet name="28" sheetId="1696" r:id="rId27"/>
    <sheet name="30" sheetId="1697" r:id="rId28"/>
    <sheet name="31" sheetId="1698" r:id="rId29"/>
    <sheet name="총괄" sheetId="16" r:id="rId30"/>
  </sheets>
  <definedNames>
    <definedName name="_xlnm.Print_Area" localSheetId="0">'02'!$A$1:$AD$87</definedName>
    <definedName name="_xlnm.Print_Area" localSheetId="1">'03'!$A$1:$AD$89</definedName>
    <definedName name="_xlnm.Print_Area" localSheetId="2">'04'!$A$1:$AD$88</definedName>
    <definedName name="_xlnm.Print_Area" localSheetId="3">'05'!$A$1:$AD$87</definedName>
    <definedName name="_xlnm.Print_Area" localSheetId="4">'06'!$A$1:$AD$89</definedName>
    <definedName name="_xlnm.Print_Area" localSheetId="5">'07'!$A$1:$AD$87</definedName>
    <definedName name="_xlnm.Print_Area" localSheetId="6">'08'!$A$1:$AD$87</definedName>
    <definedName name="_xlnm.Print_Area" localSheetId="7">'09'!$A$1:$AD$87</definedName>
    <definedName name="_xlnm.Print_Area" localSheetId="8">'10'!$A$1:$AD$88</definedName>
    <definedName name="_xlnm.Print_Area" localSheetId="9">'11'!$A$1:$AD$90</definedName>
    <definedName name="_xlnm.Print_Area" localSheetId="10">'12'!$A$1:$AD$88</definedName>
    <definedName name="_xlnm.Print_Area" localSheetId="11">'13'!$A$1:$AD$89</definedName>
    <definedName name="_xlnm.Print_Area" localSheetId="12">'14'!$A$1:$AD$89</definedName>
    <definedName name="_xlnm.Print_Area" localSheetId="13">'15'!$A$1:$AD$87</definedName>
    <definedName name="_xlnm.Print_Area" localSheetId="14">'16'!$A$1:$AD$87</definedName>
    <definedName name="_xlnm.Print_Area" localSheetId="15">'17'!$A$1:$AD$87</definedName>
    <definedName name="_xlnm.Print_Area" localSheetId="16">'18'!$A$1:$AD$87</definedName>
    <definedName name="_xlnm.Print_Area" localSheetId="17">'19'!$A$1:$AD$87</definedName>
    <definedName name="_xlnm.Print_Area" localSheetId="18">'20'!$A$1:$AD$88</definedName>
    <definedName name="_xlnm.Print_Area" localSheetId="19">'21'!$A$1:$AD$90</definedName>
    <definedName name="_xlnm.Print_Area" localSheetId="20">'22'!$A$1:$AD$87</definedName>
    <definedName name="_xlnm.Print_Area" localSheetId="21">'23'!$A$1:$AD$88</definedName>
    <definedName name="_xlnm.Print_Area" localSheetId="22">'24'!$A$1:$AD$88</definedName>
    <definedName name="_xlnm.Print_Area" localSheetId="23">'25'!$A$1:$AD$87</definedName>
    <definedName name="_xlnm.Print_Area" localSheetId="24">'26'!$A$1:$AD$88</definedName>
    <definedName name="_xlnm.Print_Area" localSheetId="25">'27'!$A$1:$AD$89</definedName>
    <definedName name="_xlnm.Print_Area" localSheetId="26">'28'!$A$1:$AD$89</definedName>
    <definedName name="_xlnm.Print_Area" localSheetId="27">'30'!$A$1:$AD$87</definedName>
    <definedName name="_xlnm.Print_Area" localSheetId="28">'31'!$A$1:$AD$89</definedName>
    <definedName name="ㅁ1" localSheetId="0">'02'!$M$1048522:$M$1048576</definedName>
    <definedName name="ㅁ1" localSheetId="1">'03'!$M$1048524:$M$1048576</definedName>
    <definedName name="ㅁ1" localSheetId="2">'04'!$M$1048523:$M$1048576</definedName>
    <definedName name="ㅁ1" localSheetId="3">'05'!$M$1048522:$M$1048576</definedName>
    <definedName name="ㅁ1" localSheetId="4">'06'!$M$1048524:$M$1048576</definedName>
    <definedName name="ㅁ1" localSheetId="5">'07'!$M$1048522:$M$1048576</definedName>
    <definedName name="ㅁ1" localSheetId="6">'08'!$M$1048522:$M$1048576</definedName>
    <definedName name="ㅁ1" localSheetId="7">'09'!$M$1048522:$M$1048576</definedName>
    <definedName name="ㅁ1" localSheetId="8">'10'!$M$1048523:$M$1048576</definedName>
    <definedName name="ㅁ1" localSheetId="9">'11'!$M$1048525:$M$1048576</definedName>
    <definedName name="ㅁ1" localSheetId="10">'12'!$M$1048523:$M$1048576</definedName>
    <definedName name="ㅁ1" localSheetId="11">'13'!$M$1048524:$M$1048576</definedName>
    <definedName name="ㅁ1" localSheetId="12">'14'!$M$1048524:$M$1048576</definedName>
    <definedName name="ㅁ1" localSheetId="13">'15'!$M$1048522:$M$1048576</definedName>
    <definedName name="ㅁ1" localSheetId="14">'16'!$M$1048522:$M$1048576</definedName>
    <definedName name="ㅁ1" localSheetId="15">'17'!$M$1048522:$M$1048576</definedName>
    <definedName name="ㅁ1" localSheetId="16">'18'!$M$1048522:$M$1048576</definedName>
    <definedName name="ㅁ1" localSheetId="17">'19'!$M$1048522:$M$1048576</definedName>
    <definedName name="ㅁ1" localSheetId="18">'20'!$M$1048523:$M$1048576</definedName>
    <definedName name="ㅁ1" localSheetId="19">'21'!$M$1048525:$M$1048576</definedName>
    <definedName name="ㅁ1" localSheetId="20">'22'!$M$1048522:$M$1048576</definedName>
    <definedName name="ㅁ1" localSheetId="21">'23'!$M$1048523:$M$1048576</definedName>
    <definedName name="ㅁ1" localSheetId="22">'24'!$M$1048523:$M$1048576</definedName>
    <definedName name="ㅁ1" localSheetId="23">'25'!$M$1048522:$M$1048576</definedName>
    <definedName name="ㅁ1" localSheetId="24">'26'!$M$1048523:$M$1048576</definedName>
    <definedName name="ㅁ1" localSheetId="25">'27'!$M$1048524:$M$1048576</definedName>
    <definedName name="ㅁ1" localSheetId="26">'28'!$M$1048524:$M$1048576</definedName>
    <definedName name="ㅁ1" localSheetId="27">'30'!$M$1048522:$M$1048576</definedName>
    <definedName name="ㅁ1" localSheetId="28">'31'!$M$1048524:$M$1048576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9" i="16" l="1"/>
  <c r="AF18" i="16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3" i="1698" l="1"/>
  <c r="L22" i="1698"/>
  <c r="L21" i="1698"/>
  <c r="L19" i="1698"/>
  <c r="P19" i="1698" s="1"/>
  <c r="AC19" i="1698" s="1"/>
  <c r="L17" i="1698"/>
  <c r="K17" i="1698" s="1"/>
  <c r="L16" i="1698"/>
  <c r="P16" i="1698" s="1"/>
  <c r="AC16" i="1698" s="1"/>
  <c r="L15" i="1698"/>
  <c r="L14" i="1698"/>
  <c r="K14" i="1698"/>
  <c r="AF14" i="1698"/>
  <c r="Q14" i="1698"/>
  <c r="O14" i="1698"/>
  <c r="AB14" i="1698"/>
  <c r="L13" i="1698"/>
  <c r="L12" i="1698"/>
  <c r="K12" i="1698" s="1"/>
  <c r="L11" i="1698"/>
  <c r="L10" i="1698"/>
  <c r="K10" i="1698"/>
  <c r="L9" i="1698"/>
  <c r="K9" i="1698" s="1"/>
  <c r="AF8" i="1698"/>
  <c r="AC8" i="1698"/>
  <c r="AD8" i="1698" s="1"/>
  <c r="AB8" i="1698"/>
  <c r="Q8" i="1698"/>
  <c r="P8" i="1698"/>
  <c r="O8" i="1698"/>
  <c r="M8" i="1698"/>
  <c r="K8" i="1698"/>
  <c r="K7" i="1698"/>
  <c r="K6" i="1698"/>
  <c r="K23" i="1698"/>
  <c r="K22" i="1698"/>
  <c r="K21" i="1698"/>
  <c r="K20" i="1698"/>
  <c r="K16" i="1698"/>
  <c r="K15" i="1698"/>
  <c r="K13" i="1698"/>
  <c r="A80" i="1698"/>
  <c r="A81" i="1698" s="1"/>
  <c r="A82" i="1698" s="1"/>
  <c r="A83" i="1698" s="1"/>
  <c r="A84" i="1698" s="1"/>
  <c r="A79" i="1698"/>
  <c r="AF63" i="1698"/>
  <c r="AF62" i="1698"/>
  <c r="AF65" i="1698" s="1"/>
  <c r="AA24" i="1698"/>
  <c r="Z24" i="1698"/>
  <c r="Y24" i="1698"/>
  <c r="X24" i="1698"/>
  <c r="W24" i="1698"/>
  <c r="V24" i="1698"/>
  <c r="U24" i="1698"/>
  <c r="T24" i="1698"/>
  <c r="S24" i="1698"/>
  <c r="R24" i="1698"/>
  <c r="N24" i="1698"/>
  <c r="J24" i="1698"/>
  <c r="AF23" i="1698"/>
  <c r="Q23" i="1698"/>
  <c r="P23" i="1698"/>
  <c r="AC23" i="1698" s="1"/>
  <c r="AF22" i="1698"/>
  <c r="Q22" i="1698"/>
  <c r="P22" i="1698"/>
  <c r="AC22" i="1698" s="1"/>
  <c r="O22" i="1698"/>
  <c r="AF21" i="1698"/>
  <c r="Q21" i="1698"/>
  <c r="P21" i="1698"/>
  <c r="AC21" i="1698" s="1"/>
  <c r="O21" i="1698"/>
  <c r="AB21" i="1698"/>
  <c r="AF20" i="1698"/>
  <c r="AB20" i="1698"/>
  <c r="Q20" i="1698"/>
  <c r="O20" i="1698"/>
  <c r="M20" i="1698"/>
  <c r="P20" i="1698"/>
  <c r="AC20" i="1698" s="1"/>
  <c r="AF19" i="1698"/>
  <c r="Q19" i="1698"/>
  <c r="AF18" i="1698"/>
  <c r="AB18" i="1698"/>
  <c r="Q18" i="1698"/>
  <c r="P18" i="1698"/>
  <c r="AC18" i="1698" s="1"/>
  <c r="O18" i="1698"/>
  <c r="M18" i="1698"/>
  <c r="K18" i="1698"/>
  <c r="I18" i="1698"/>
  <c r="I24" i="1698" s="1"/>
  <c r="AF17" i="1698"/>
  <c r="AB17" i="1698"/>
  <c r="Q17" i="1698"/>
  <c r="P17" i="1698"/>
  <c r="AC17" i="1698" s="1"/>
  <c r="O17" i="1698"/>
  <c r="M17" i="1698"/>
  <c r="AF16" i="1698"/>
  <c r="Q16" i="1698"/>
  <c r="AF15" i="1698"/>
  <c r="Q15" i="1698"/>
  <c r="P15" i="1698" s="1"/>
  <c r="AC15" i="1698" s="1"/>
  <c r="O15" i="1698"/>
  <c r="AB15" i="1698"/>
  <c r="AF13" i="1698"/>
  <c r="AB13" i="1698"/>
  <c r="Q13" i="1698"/>
  <c r="P13" i="1698"/>
  <c r="AC13" i="1698" s="1"/>
  <c r="O13" i="1698"/>
  <c r="M13" i="1698"/>
  <c r="AF12" i="1698"/>
  <c r="AB12" i="1698"/>
  <c r="Q12" i="1698"/>
  <c r="P12" i="1698" s="1"/>
  <c r="AC12" i="1698" s="1"/>
  <c r="M12" i="1698"/>
  <c r="AF11" i="1698"/>
  <c r="Q11" i="1698"/>
  <c r="AF10" i="1698"/>
  <c r="AB10" i="1698"/>
  <c r="Q10" i="1698"/>
  <c r="P10" i="1698" s="1"/>
  <c r="AC10" i="1698" s="1"/>
  <c r="O10" i="1698"/>
  <c r="M10" i="1698"/>
  <c r="AF9" i="1698"/>
  <c r="Q9" i="1698"/>
  <c r="AF7" i="1698"/>
  <c r="AB7" i="1698"/>
  <c r="Q7" i="1698"/>
  <c r="P7" i="1698" s="1"/>
  <c r="AC7" i="1698" s="1"/>
  <c r="O7" i="1698"/>
  <c r="M7" i="1698"/>
  <c r="AF6" i="1698"/>
  <c r="AB6" i="1698"/>
  <c r="Q6" i="1698"/>
  <c r="O6" i="1698"/>
  <c r="M6" i="1698"/>
  <c r="K19" i="1698" l="1"/>
  <c r="K24" i="1698" s="1"/>
  <c r="P14" i="1698"/>
  <c r="AC14" i="1698" s="1"/>
  <c r="AD14" i="1698" s="1"/>
  <c r="M14" i="1698"/>
  <c r="P11" i="1698"/>
  <c r="AC11" i="1698" s="1"/>
  <c r="K11" i="1698"/>
  <c r="M9" i="1698"/>
  <c r="AB9" i="1698"/>
  <c r="P9" i="1698"/>
  <c r="AC9" i="1698" s="1"/>
  <c r="Q24" i="1698"/>
  <c r="AD13" i="1698"/>
  <c r="AD17" i="1698"/>
  <c r="AD20" i="1698"/>
  <c r="AD7" i="1698"/>
  <c r="P6" i="1698"/>
  <c r="AC6" i="1698" s="1"/>
  <c r="AD18" i="1698"/>
  <c r="AD10" i="1698"/>
  <c r="AD15" i="1698"/>
  <c r="AD21" i="1698"/>
  <c r="AB11" i="1698"/>
  <c r="O12" i="1698"/>
  <c r="AD12" i="1698" s="1"/>
  <c r="M16" i="1698"/>
  <c r="AB16" i="1698"/>
  <c r="M19" i="1698"/>
  <c r="AB19" i="1698"/>
  <c r="AD19" i="1698" s="1"/>
  <c r="M23" i="1698"/>
  <c r="AB23" i="1698"/>
  <c r="L24" i="1698"/>
  <c r="O24" i="1698" s="1"/>
  <c r="AD6" i="1698"/>
  <c r="O9" i="1698"/>
  <c r="M11" i="1698"/>
  <c r="O11" i="1698"/>
  <c r="M15" i="1698"/>
  <c r="O16" i="1698"/>
  <c r="O19" i="1698"/>
  <c r="M22" i="1698"/>
  <c r="AB22" i="1698"/>
  <c r="AD22" i="1698" s="1"/>
  <c r="O23" i="1698"/>
  <c r="M21" i="1698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697"/>
  <c r="L20" i="1697"/>
  <c r="L19" i="1697"/>
  <c r="K19" i="1697"/>
  <c r="L18" i="1697"/>
  <c r="L17" i="1697"/>
  <c r="L14" i="1697"/>
  <c r="K14" i="1697"/>
  <c r="L13" i="1697"/>
  <c r="L12" i="1697"/>
  <c r="L11" i="1697"/>
  <c r="K11" i="1697" s="1"/>
  <c r="L10" i="1697"/>
  <c r="K10" i="1697" s="1"/>
  <c r="L8" i="1697"/>
  <c r="K8" i="1697"/>
  <c r="K7" i="1697"/>
  <c r="K20" i="1697"/>
  <c r="K18" i="1697"/>
  <c r="K17" i="1697"/>
  <c r="K13" i="1697"/>
  <c r="K12" i="1697"/>
  <c r="A77" i="1697"/>
  <c r="A78" i="1697" s="1"/>
  <c r="A79" i="1697" s="1"/>
  <c r="A80" i="1697" s="1"/>
  <c r="A81" i="1697" s="1"/>
  <c r="A82" i="1697" s="1"/>
  <c r="AF61" i="1697"/>
  <c r="AF60" i="1697"/>
  <c r="AF63" i="1697" s="1"/>
  <c r="AA22" i="1697"/>
  <c r="Z22" i="1697"/>
  <c r="Y22" i="1697"/>
  <c r="X22" i="1697"/>
  <c r="W22" i="1697"/>
  <c r="V22" i="1697"/>
  <c r="U22" i="1697"/>
  <c r="T22" i="1697"/>
  <c r="S22" i="1697"/>
  <c r="R22" i="1697"/>
  <c r="N22" i="1697"/>
  <c r="J22" i="1697"/>
  <c r="AF21" i="1697"/>
  <c r="AB21" i="1697"/>
  <c r="Q21" i="1697"/>
  <c r="P21" i="1697" s="1"/>
  <c r="AC21" i="1697" s="1"/>
  <c r="O21" i="1697"/>
  <c r="M21" i="1697"/>
  <c r="K21" i="1697"/>
  <c r="AF20" i="1697"/>
  <c r="Q20" i="1697"/>
  <c r="O20" i="1697"/>
  <c r="AF19" i="1697"/>
  <c r="AB19" i="1697"/>
  <c r="Q19" i="1697"/>
  <c r="P19" i="1697" s="1"/>
  <c r="AC19" i="1697" s="1"/>
  <c r="O19" i="1697"/>
  <c r="M19" i="1697"/>
  <c r="AF18" i="1697"/>
  <c r="AB18" i="1697"/>
  <c r="Q18" i="1697"/>
  <c r="O18" i="1697"/>
  <c r="M18" i="1697"/>
  <c r="P18" i="1697"/>
  <c r="AC18" i="1697" s="1"/>
  <c r="AD18" i="1697" s="1"/>
  <c r="AF17" i="1697"/>
  <c r="Q17" i="1697"/>
  <c r="O17" i="1697"/>
  <c r="AF16" i="1697"/>
  <c r="AB16" i="1697"/>
  <c r="Q16" i="1697"/>
  <c r="P16" i="1697"/>
  <c r="AC16" i="1697" s="1"/>
  <c r="O16" i="1697"/>
  <c r="M16" i="1697"/>
  <c r="K16" i="1697"/>
  <c r="I16" i="1697"/>
  <c r="I22" i="1697" s="1"/>
  <c r="AF15" i="1697"/>
  <c r="AC15" i="1697"/>
  <c r="AB15" i="1697"/>
  <c r="Q15" i="1697"/>
  <c r="P15" i="1697"/>
  <c r="O15" i="1697"/>
  <c r="M15" i="1697"/>
  <c r="K15" i="1697"/>
  <c r="AF14" i="1697"/>
  <c r="AB14" i="1697"/>
  <c r="Q14" i="1697"/>
  <c r="P14" i="1697" s="1"/>
  <c r="AC14" i="1697" s="1"/>
  <c r="O14" i="1697"/>
  <c r="M14" i="1697"/>
  <c r="AF13" i="1697"/>
  <c r="AB13" i="1697"/>
  <c r="Q13" i="1697"/>
  <c r="P13" i="1697"/>
  <c r="AC13" i="1697" s="1"/>
  <c r="O13" i="1697"/>
  <c r="M13" i="1697"/>
  <c r="AF12" i="1697"/>
  <c r="Q12" i="1697"/>
  <c r="P12" i="1697"/>
  <c r="AC12" i="1697" s="1"/>
  <c r="AB12" i="1697"/>
  <c r="AF11" i="1697"/>
  <c r="Q11" i="1697"/>
  <c r="O11" i="1697"/>
  <c r="AF10" i="1697"/>
  <c r="Q10" i="1697"/>
  <c r="O10" i="1697"/>
  <c r="AF9" i="1697"/>
  <c r="AB9" i="1697"/>
  <c r="Q9" i="1697"/>
  <c r="P9" i="1697"/>
  <c r="AC9" i="1697" s="1"/>
  <c r="O9" i="1697"/>
  <c r="M9" i="1697"/>
  <c r="K9" i="1697"/>
  <c r="AF8" i="1697"/>
  <c r="AB8" i="1697"/>
  <c r="Q8" i="1697"/>
  <c r="P8" i="1697" s="1"/>
  <c r="AC8" i="1697" s="1"/>
  <c r="O8" i="1697"/>
  <c r="M8" i="1697"/>
  <c r="AF7" i="1697"/>
  <c r="AB7" i="1697"/>
  <c r="Q7" i="1697"/>
  <c r="P7" i="1697" s="1"/>
  <c r="AC7" i="1697" s="1"/>
  <c r="O7" i="1697"/>
  <c r="M7" i="1697"/>
  <c r="AF6" i="1697"/>
  <c r="AB6" i="1697"/>
  <c r="Q6" i="1697"/>
  <c r="P6" i="1697"/>
  <c r="AC6" i="1697" s="1"/>
  <c r="O6" i="1697"/>
  <c r="M6" i="1697"/>
  <c r="K6" i="1697"/>
  <c r="P24" i="1698" l="1"/>
  <c r="AC24" i="1698"/>
  <c r="AD9" i="1698"/>
  <c r="AD23" i="1698"/>
  <c r="AD16" i="1698"/>
  <c r="M24" i="1698"/>
  <c r="AB24" i="1698"/>
  <c r="AD11" i="1698"/>
  <c r="AD19" i="1697"/>
  <c r="AD14" i="1697"/>
  <c r="AD16" i="1697"/>
  <c r="AD13" i="1697"/>
  <c r="AD8" i="1697"/>
  <c r="Q22" i="1697"/>
  <c r="AD7" i="1697"/>
  <c r="AD15" i="1697"/>
  <c r="AD21" i="1697"/>
  <c r="AD9" i="1697"/>
  <c r="AD6" i="1697"/>
  <c r="K22" i="1697"/>
  <c r="P10" i="1697"/>
  <c r="AC10" i="1697" s="1"/>
  <c r="P11" i="1697"/>
  <c r="AC11" i="1697" s="1"/>
  <c r="O12" i="1697"/>
  <c r="AD12" i="1697" s="1"/>
  <c r="P17" i="1697"/>
  <c r="AC17" i="1697" s="1"/>
  <c r="P20" i="1697"/>
  <c r="AC20" i="1697" s="1"/>
  <c r="L22" i="1697"/>
  <c r="O22" i="1697" s="1"/>
  <c r="M10" i="1697"/>
  <c r="AB10" i="1697"/>
  <c r="M11" i="1697"/>
  <c r="AB11" i="1697"/>
  <c r="AB22" i="1697" s="1"/>
  <c r="M17" i="1697"/>
  <c r="AB17" i="1697"/>
  <c r="M20" i="1697"/>
  <c r="AB20" i="1697"/>
  <c r="M12" i="1697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2" i="1696"/>
  <c r="L20" i="1696"/>
  <c r="L19" i="1696"/>
  <c r="L15" i="1696"/>
  <c r="AF15" i="1696"/>
  <c r="AB15" i="1696"/>
  <c r="Q15" i="1696"/>
  <c r="M15" i="1696"/>
  <c r="K15" i="1696"/>
  <c r="K14" i="1696"/>
  <c r="L13" i="1696"/>
  <c r="K13" i="1696" s="1"/>
  <c r="K12" i="1696"/>
  <c r="AF12" i="1696"/>
  <c r="Q12" i="1696"/>
  <c r="P12" i="1696" s="1"/>
  <c r="AC12" i="1696" s="1"/>
  <c r="O12" i="1696"/>
  <c r="AB12" i="1696"/>
  <c r="L11" i="1696"/>
  <c r="L10" i="1696"/>
  <c r="AD24" i="1698" l="1"/>
  <c r="AD10" i="1697"/>
  <c r="M22" i="1697"/>
  <c r="AC22" i="1697"/>
  <c r="AD20" i="1697"/>
  <c r="AD11" i="1697"/>
  <c r="AD17" i="1697"/>
  <c r="P22" i="1697"/>
  <c r="P15" i="1696"/>
  <c r="AC15" i="1696" s="1"/>
  <c r="O15" i="1696"/>
  <c r="AD12" i="1696"/>
  <c r="M12" i="1696"/>
  <c r="AE8" i="1698" l="1"/>
  <c r="AE14" i="1698"/>
  <c r="AE10" i="1698"/>
  <c r="AE15" i="1698"/>
  <c r="AE13" i="1698"/>
  <c r="AE11" i="1698"/>
  <c r="AE9" i="1698"/>
  <c r="AE6" i="1698"/>
  <c r="AE19" i="1698"/>
  <c r="AE7" i="1698"/>
  <c r="AE18" i="1698"/>
  <c r="AE17" i="1698"/>
  <c r="AE12" i="1698"/>
  <c r="AE16" i="1698"/>
  <c r="AE22" i="1698"/>
  <c r="AE21" i="1698"/>
  <c r="AE20" i="1698"/>
  <c r="AE23" i="1698"/>
  <c r="AD22" i="1697"/>
  <c r="AE21" i="1697" s="1"/>
  <c r="AD15" i="1696"/>
  <c r="AE6" i="1697" l="1"/>
  <c r="AE10" i="1697"/>
  <c r="AE14" i="1697"/>
  <c r="AE12" i="1697"/>
  <c r="AE8" i="1697"/>
  <c r="AE15" i="1697"/>
  <c r="AE16" i="1697"/>
  <c r="AE13" i="1697"/>
  <c r="AE17" i="1697"/>
  <c r="AE7" i="1697"/>
  <c r="AE19" i="1697"/>
  <c r="AE20" i="1697"/>
  <c r="AE18" i="1697"/>
  <c r="AE9" i="1697"/>
  <c r="AE11" i="1697"/>
  <c r="K23" i="1696"/>
  <c r="K22" i="1696"/>
  <c r="K21" i="1696"/>
  <c r="K20" i="1696"/>
  <c r="K19" i="1696"/>
  <c r="K11" i="1696"/>
  <c r="K10" i="1696"/>
  <c r="K9" i="1696"/>
  <c r="A80" i="1696"/>
  <c r="A81" i="1696" s="1"/>
  <c r="A82" i="1696" s="1"/>
  <c r="A83" i="1696" s="1"/>
  <c r="A84" i="1696" s="1"/>
  <c r="A79" i="1696"/>
  <c r="AF63" i="1696"/>
  <c r="AF62" i="1696"/>
  <c r="AF65" i="1696" s="1"/>
  <c r="AA24" i="1696"/>
  <c r="Z24" i="1696"/>
  <c r="Y24" i="1696"/>
  <c r="X24" i="1696"/>
  <c r="W24" i="1696"/>
  <c r="V24" i="1696"/>
  <c r="U24" i="1696"/>
  <c r="T24" i="1696"/>
  <c r="S24" i="1696"/>
  <c r="R24" i="1696"/>
  <c r="N24" i="1696"/>
  <c r="J24" i="1696"/>
  <c r="AF23" i="1696"/>
  <c r="AB23" i="1696"/>
  <c r="Q23" i="1696"/>
  <c r="M23" i="1696"/>
  <c r="P23" i="1696"/>
  <c r="AC23" i="1696" s="1"/>
  <c r="AF22" i="1696"/>
  <c r="Q22" i="1696"/>
  <c r="P22" i="1696" s="1"/>
  <c r="AC22" i="1696" s="1"/>
  <c r="AF21" i="1696"/>
  <c r="Q21" i="1696"/>
  <c r="P21" i="1696"/>
  <c r="AC21" i="1696" s="1"/>
  <c r="O21" i="1696"/>
  <c r="AB21" i="1696"/>
  <c r="AF20" i="1696"/>
  <c r="AB20" i="1696"/>
  <c r="Q20" i="1696"/>
  <c r="P20" i="1696" s="1"/>
  <c r="AC20" i="1696" s="1"/>
  <c r="O20" i="1696"/>
  <c r="M20" i="1696"/>
  <c r="AF19" i="1696"/>
  <c r="AB19" i="1696"/>
  <c r="Q19" i="1696"/>
  <c r="M19" i="1696"/>
  <c r="P19" i="1696"/>
  <c r="AC19" i="1696" s="1"/>
  <c r="AF18" i="1696"/>
  <c r="AB18" i="1696"/>
  <c r="Q18" i="1696"/>
  <c r="P18" i="1696"/>
  <c r="AC18" i="1696" s="1"/>
  <c r="O18" i="1696"/>
  <c r="M18" i="1696"/>
  <c r="K18" i="1696"/>
  <c r="I18" i="1696"/>
  <c r="AF17" i="1696"/>
  <c r="AB17" i="1696"/>
  <c r="Q17" i="1696"/>
  <c r="P17" i="1696"/>
  <c r="AC17" i="1696" s="1"/>
  <c r="O17" i="1696"/>
  <c r="M17" i="1696"/>
  <c r="K17" i="1696"/>
  <c r="AF16" i="1696"/>
  <c r="AB16" i="1696"/>
  <c r="Q16" i="1696"/>
  <c r="P16" i="1696"/>
  <c r="AC16" i="1696" s="1"/>
  <c r="O16" i="1696"/>
  <c r="M16" i="1696"/>
  <c r="K16" i="1696"/>
  <c r="AF14" i="1696"/>
  <c r="AB14" i="1696"/>
  <c r="Q14" i="1696"/>
  <c r="P14" i="1696" s="1"/>
  <c r="AC14" i="1696" s="1"/>
  <c r="O14" i="1696"/>
  <c r="M14" i="1696"/>
  <c r="AF13" i="1696"/>
  <c r="AB13" i="1696"/>
  <c r="Q13" i="1696"/>
  <c r="P13" i="1696" s="1"/>
  <c r="AC13" i="1696" s="1"/>
  <c r="O13" i="1696"/>
  <c r="M13" i="1696"/>
  <c r="AF11" i="1696"/>
  <c r="Q11" i="1696"/>
  <c r="O11" i="1696"/>
  <c r="M11" i="1696"/>
  <c r="AB11" i="1696"/>
  <c r="I11" i="1696"/>
  <c r="I24" i="1696" s="1"/>
  <c r="AF10" i="1696"/>
  <c r="AB10" i="1696"/>
  <c r="Q10" i="1696"/>
  <c r="P10" i="1696" s="1"/>
  <c r="AC10" i="1696" s="1"/>
  <c r="O10" i="1696"/>
  <c r="M10" i="1696"/>
  <c r="AF9" i="1696"/>
  <c r="AB9" i="1696"/>
  <c r="Q9" i="1696"/>
  <c r="P9" i="1696"/>
  <c r="AC9" i="1696" s="1"/>
  <c r="O9" i="1696"/>
  <c r="M9" i="1696"/>
  <c r="AF8" i="1696"/>
  <c r="AB8" i="1696"/>
  <c r="Q8" i="1696"/>
  <c r="P8" i="1696"/>
  <c r="AC8" i="1696" s="1"/>
  <c r="O8" i="1696"/>
  <c r="M8" i="1696"/>
  <c r="K8" i="1696"/>
  <c r="AF7" i="1696"/>
  <c r="AB7" i="1696"/>
  <c r="Q7" i="1696"/>
  <c r="P7" i="1696"/>
  <c r="AC7" i="1696" s="1"/>
  <c r="O7" i="1696"/>
  <c r="M7" i="1696"/>
  <c r="K7" i="1696"/>
  <c r="AF6" i="1696"/>
  <c r="AB6" i="1696"/>
  <c r="Q6" i="1696"/>
  <c r="P6" i="1696"/>
  <c r="AC6" i="1696" s="1"/>
  <c r="O6" i="1696"/>
  <c r="M6" i="1696"/>
  <c r="K6" i="1696"/>
  <c r="AD20" i="1696" l="1"/>
  <c r="AD7" i="1696"/>
  <c r="AD8" i="1696"/>
  <c r="AD16" i="1696"/>
  <c r="AD9" i="1696"/>
  <c r="AD10" i="1696"/>
  <c r="Q24" i="1696"/>
  <c r="AD14" i="1696"/>
  <c r="AD13" i="1696"/>
  <c r="AD17" i="1696"/>
  <c r="AD18" i="1696"/>
  <c r="AD6" i="1696"/>
  <c r="AD21" i="1696"/>
  <c r="K24" i="1696"/>
  <c r="P11" i="1696"/>
  <c r="AC11" i="1696" s="1"/>
  <c r="AD11" i="1696" s="1"/>
  <c r="O19" i="1696"/>
  <c r="AD19" i="1696" s="1"/>
  <c r="M22" i="1696"/>
  <c r="AB22" i="1696"/>
  <c r="AB24" i="1696" s="1"/>
  <c r="O23" i="1696"/>
  <c r="AD23" i="1696" s="1"/>
  <c r="L24" i="1696"/>
  <c r="O24" i="1696" s="1"/>
  <c r="M21" i="1696"/>
  <c r="M24" i="1696" s="1"/>
  <c r="O22" i="169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3" i="1695"/>
  <c r="L22" i="1695"/>
  <c r="L21" i="1695"/>
  <c r="K21" i="1695" s="1"/>
  <c r="L20" i="1695"/>
  <c r="K20" i="1695" s="1"/>
  <c r="L19" i="1695"/>
  <c r="L15" i="1695"/>
  <c r="K15" i="1695" s="1"/>
  <c r="AF14" i="1695"/>
  <c r="AB14" i="1695"/>
  <c r="Q14" i="1695"/>
  <c r="P14" i="1695" s="1"/>
  <c r="AC14" i="1695" s="1"/>
  <c r="O14" i="1695"/>
  <c r="M14" i="1695"/>
  <c r="K14" i="1695"/>
  <c r="K13" i="1695"/>
  <c r="L12" i="1695"/>
  <c r="L11" i="1695"/>
  <c r="AF10" i="1695"/>
  <c r="AB10" i="1695"/>
  <c r="Q10" i="1695"/>
  <c r="P10" i="1695" s="1"/>
  <c r="AC10" i="1695" s="1"/>
  <c r="O10" i="1695"/>
  <c r="M10" i="1695"/>
  <c r="K10" i="1695"/>
  <c r="K9" i="1695"/>
  <c r="K23" i="1695"/>
  <c r="K22" i="1695"/>
  <c r="K19" i="1695"/>
  <c r="K12" i="1695"/>
  <c r="K6" i="1695"/>
  <c r="A79" i="1695"/>
  <c r="A80" i="1695" s="1"/>
  <c r="A81" i="1695" s="1"/>
  <c r="A82" i="1695" s="1"/>
  <c r="A83" i="1695" s="1"/>
  <c r="A84" i="1695" s="1"/>
  <c r="AF63" i="1695"/>
  <c r="AF62" i="1695"/>
  <c r="AA24" i="1695"/>
  <c r="Z24" i="1695"/>
  <c r="Y24" i="1695"/>
  <c r="X24" i="1695"/>
  <c r="W24" i="1695"/>
  <c r="V24" i="1695"/>
  <c r="U24" i="1695"/>
  <c r="T24" i="1695"/>
  <c r="S24" i="1695"/>
  <c r="R24" i="1695"/>
  <c r="N24" i="1695"/>
  <c r="J24" i="1695"/>
  <c r="AF23" i="1695"/>
  <c r="Q23" i="1695"/>
  <c r="P23" i="1695" s="1"/>
  <c r="AC23" i="1695" s="1"/>
  <c r="O23" i="1695"/>
  <c r="AF22" i="1695"/>
  <c r="Q22" i="1695"/>
  <c r="P22" i="1695" s="1"/>
  <c r="AC22" i="1695" s="1"/>
  <c r="O22" i="1695"/>
  <c r="AB22" i="1695"/>
  <c r="AF21" i="1695"/>
  <c r="Q21" i="1695"/>
  <c r="P21" i="1695" s="1"/>
  <c r="AC21" i="1695" s="1"/>
  <c r="AF20" i="1695"/>
  <c r="Q20" i="1695"/>
  <c r="P20" i="1695"/>
  <c r="AC20" i="1695" s="1"/>
  <c r="AF19" i="1695"/>
  <c r="Q19" i="1695"/>
  <c r="P19" i="1695"/>
  <c r="AC19" i="1695" s="1"/>
  <c r="O19" i="1695"/>
  <c r="AF18" i="1695"/>
  <c r="AB18" i="1695"/>
  <c r="Q18" i="1695"/>
  <c r="P18" i="1695"/>
  <c r="AC18" i="1695" s="1"/>
  <c r="O18" i="1695"/>
  <c r="M18" i="1695"/>
  <c r="K18" i="1695"/>
  <c r="I18" i="1695"/>
  <c r="AF17" i="1695"/>
  <c r="AB17" i="1695"/>
  <c r="Q17" i="1695"/>
  <c r="P17" i="1695"/>
  <c r="AC17" i="1695" s="1"/>
  <c r="O17" i="1695"/>
  <c r="M17" i="1695"/>
  <c r="K17" i="1695"/>
  <c r="AF16" i="1695"/>
  <c r="AB16" i="1695"/>
  <c r="Q16" i="1695"/>
  <c r="P16" i="1695"/>
  <c r="AC16" i="1695" s="1"/>
  <c r="O16" i="1695"/>
  <c r="M16" i="1695"/>
  <c r="K16" i="1695"/>
  <c r="AF15" i="1695"/>
  <c r="AB15" i="1695"/>
  <c r="Q15" i="1695"/>
  <c r="O15" i="1695"/>
  <c r="M15" i="1695"/>
  <c r="AF13" i="1695"/>
  <c r="Q13" i="1695"/>
  <c r="P13" i="1695"/>
  <c r="AC13" i="1695" s="1"/>
  <c r="AF12" i="1695"/>
  <c r="Q12" i="1695"/>
  <c r="P12" i="1695" s="1"/>
  <c r="AC12" i="1695" s="1"/>
  <c r="O12" i="1695"/>
  <c r="I12" i="1695"/>
  <c r="I24" i="1695" s="1"/>
  <c r="AF11" i="1695"/>
  <c r="AB11" i="1695"/>
  <c r="Q11" i="1695"/>
  <c r="P11" i="1695" s="1"/>
  <c r="AC11" i="1695" s="1"/>
  <c r="O11" i="1695"/>
  <c r="M11" i="1695"/>
  <c r="K11" i="1695"/>
  <c r="AF9" i="1695"/>
  <c r="Q9" i="1695"/>
  <c r="P9" i="1695" s="1"/>
  <c r="AC9" i="1695" s="1"/>
  <c r="AF8" i="1695"/>
  <c r="AB8" i="1695"/>
  <c r="Q8" i="1695"/>
  <c r="P8" i="1695"/>
  <c r="AC8" i="1695" s="1"/>
  <c r="O8" i="1695"/>
  <c r="M8" i="1695"/>
  <c r="K8" i="1695"/>
  <c r="AF7" i="1695"/>
  <c r="AB7" i="1695"/>
  <c r="Q7" i="1695"/>
  <c r="P7" i="1695"/>
  <c r="AC7" i="1695" s="1"/>
  <c r="O7" i="1695"/>
  <c r="M7" i="1695"/>
  <c r="K7" i="1695"/>
  <c r="AF6" i="1695"/>
  <c r="Q6" i="1695"/>
  <c r="P6" i="1695"/>
  <c r="AC6" i="1695" s="1"/>
  <c r="O6" i="1695"/>
  <c r="AD22" i="1696" l="1"/>
  <c r="AC24" i="1696"/>
  <c r="P24" i="1696"/>
  <c r="AD24" i="1696"/>
  <c r="M21" i="1695"/>
  <c r="AB21" i="1695"/>
  <c r="AD21" i="1695" s="1"/>
  <c r="O21" i="1695"/>
  <c r="P15" i="1695"/>
  <c r="AC15" i="1695" s="1"/>
  <c r="AD14" i="1695"/>
  <c r="AD8" i="1695"/>
  <c r="AF65" i="1695"/>
  <c r="AD18" i="1695"/>
  <c r="AD10" i="1695"/>
  <c r="AD7" i="1695"/>
  <c r="AD15" i="1695"/>
  <c r="AD11" i="1695"/>
  <c r="Q24" i="1695"/>
  <c r="AD16" i="1695"/>
  <c r="AD17" i="1695"/>
  <c r="AD22" i="1695"/>
  <c r="AC24" i="1695"/>
  <c r="M9" i="1695"/>
  <c r="M20" i="1695"/>
  <c r="AB6" i="1695"/>
  <c r="O9" i="1695"/>
  <c r="M12" i="1695"/>
  <c r="AB12" i="1695"/>
  <c r="AD12" i="1695" s="1"/>
  <c r="O13" i="1695"/>
  <c r="M19" i="1695"/>
  <c r="AB19" i="1695"/>
  <c r="AD19" i="1695" s="1"/>
  <c r="O20" i="1695"/>
  <c r="M23" i="1695"/>
  <c r="AB23" i="1695"/>
  <c r="AD23" i="1695" s="1"/>
  <c r="L24" i="1695"/>
  <c r="O24" i="1695" s="1"/>
  <c r="P24" i="1695"/>
  <c r="AB9" i="1695"/>
  <c r="M13" i="1695"/>
  <c r="AB13" i="1695"/>
  <c r="AB20" i="1695"/>
  <c r="AD20" i="1695" s="1"/>
  <c r="M6" i="1695"/>
  <c r="K24" i="1695"/>
  <c r="M22" i="1695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2" i="1694"/>
  <c r="L21" i="1694"/>
  <c r="L20" i="1694"/>
  <c r="M20" i="1694" s="1"/>
  <c r="L19" i="1694"/>
  <c r="L18" i="1694"/>
  <c r="L14" i="1694"/>
  <c r="K14" i="1694"/>
  <c r="L13" i="1694"/>
  <c r="K13" i="1694" s="1"/>
  <c r="L12" i="1694"/>
  <c r="AF12" i="1694"/>
  <c r="AB12" i="1694"/>
  <c r="Q12" i="1694"/>
  <c r="P12" i="1694" s="1"/>
  <c r="AC12" i="1694" s="1"/>
  <c r="O12" i="1694"/>
  <c r="M12" i="1694"/>
  <c r="K12" i="1694"/>
  <c r="I12" i="1694"/>
  <c r="K11" i="1694"/>
  <c r="AF11" i="1694"/>
  <c r="Q11" i="1694"/>
  <c r="O11" i="1694"/>
  <c r="AB11" i="1694"/>
  <c r="L10" i="1694"/>
  <c r="L9" i="1694"/>
  <c r="K9" i="1694" s="1"/>
  <c r="L6" i="1694"/>
  <c r="K22" i="1694"/>
  <c r="K21" i="1694"/>
  <c r="K20" i="1694"/>
  <c r="K19" i="1694"/>
  <c r="K18" i="1694"/>
  <c r="K17" i="1694"/>
  <c r="K16" i="1694"/>
  <c r="K10" i="1694"/>
  <c r="K8" i="1694"/>
  <c r="K6" i="1694"/>
  <c r="A78" i="1694"/>
  <c r="A79" i="1694" s="1"/>
  <c r="A80" i="1694" s="1"/>
  <c r="A81" i="1694" s="1"/>
  <c r="A82" i="1694" s="1"/>
  <c r="A83" i="1694" s="1"/>
  <c r="AF64" i="1694"/>
  <c r="AF62" i="1694"/>
  <c r="AF61" i="1694"/>
  <c r="AA23" i="1694"/>
  <c r="Z23" i="1694"/>
  <c r="Y23" i="1694"/>
  <c r="X23" i="1694"/>
  <c r="W23" i="1694"/>
  <c r="V23" i="1694"/>
  <c r="U23" i="1694"/>
  <c r="T23" i="1694"/>
  <c r="S23" i="1694"/>
  <c r="R23" i="1694"/>
  <c r="N23" i="1694"/>
  <c r="J23" i="1694"/>
  <c r="AF22" i="1694"/>
  <c r="Q22" i="1694"/>
  <c r="P22" i="1694" s="1"/>
  <c r="AC22" i="1694" s="1"/>
  <c r="O22" i="1694"/>
  <c r="AB22" i="1694"/>
  <c r="AF21" i="1694"/>
  <c r="AB21" i="1694"/>
  <c r="Q21" i="1694"/>
  <c r="P21" i="1694"/>
  <c r="AC21" i="1694" s="1"/>
  <c r="O21" i="1694"/>
  <c r="M21" i="1694"/>
  <c r="AF20" i="1694"/>
  <c r="AB20" i="1694"/>
  <c r="Q20" i="1694"/>
  <c r="AF19" i="1694"/>
  <c r="Q19" i="1694"/>
  <c r="P19" i="1694"/>
  <c r="AC19" i="1694" s="1"/>
  <c r="AF18" i="1694"/>
  <c r="Q18" i="1694"/>
  <c r="P18" i="1694"/>
  <c r="AC18" i="1694" s="1"/>
  <c r="O18" i="1694"/>
  <c r="AB18" i="1694"/>
  <c r="AF17" i="1694"/>
  <c r="AB17" i="1694"/>
  <c r="Q17" i="1694"/>
  <c r="P17" i="1694"/>
  <c r="AC17" i="1694" s="1"/>
  <c r="O17" i="1694"/>
  <c r="M17" i="1694"/>
  <c r="I17" i="1694"/>
  <c r="I23" i="1694" s="1"/>
  <c r="AF16" i="1694"/>
  <c r="AB16" i="1694"/>
  <c r="Q16" i="1694"/>
  <c r="P16" i="1694"/>
  <c r="AC16" i="1694" s="1"/>
  <c r="O16" i="1694"/>
  <c r="M16" i="1694"/>
  <c r="AF15" i="1694"/>
  <c r="AB15" i="1694"/>
  <c r="Q15" i="1694"/>
  <c r="P15" i="1694"/>
  <c r="AC15" i="1694" s="1"/>
  <c r="O15" i="1694"/>
  <c r="M15" i="1694"/>
  <c r="K15" i="1694"/>
  <c r="AF14" i="1694"/>
  <c r="AB14" i="1694"/>
  <c r="Q14" i="1694"/>
  <c r="P14" i="1694" s="1"/>
  <c r="AC14" i="1694" s="1"/>
  <c r="O14" i="1694"/>
  <c r="M14" i="1694"/>
  <c r="AF13" i="1694"/>
  <c r="Q13" i="1694"/>
  <c r="AB13" i="1694"/>
  <c r="AF10" i="1694"/>
  <c r="Q10" i="1694"/>
  <c r="P10" i="1694" s="1"/>
  <c r="AC10" i="1694" s="1"/>
  <c r="O10" i="1694"/>
  <c r="AB10" i="1694"/>
  <c r="AF9" i="1694"/>
  <c r="AB9" i="1694"/>
  <c r="Q9" i="1694"/>
  <c r="P9" i="1694" s="1"/>
  <c r="AC9" i="1694" s="1"/>
  <c r="O9" i="1694"/>
  <c r="M9" i="1694"/>
  <c r="AF8" i="1694"/>
  <c r="Q8" i="1694"/>
  <c r="P8" i="1694"/>
  <c r="AC8" i="1694" s="1"/>
  <c r="AB8" i="1694"/>
  <c r="AF7" i="1694"/>
  <c r="AB7" i="1694"/>
  <c r="Q7" i="1694"/>
  <c r="P7" i="1694"/>
  <c r="AC7" i="1694" s="1"/>
  <c r="AD7" i="1694" s="1"/>
  <c r="O7" i="1694"/>
  <c r="M7" i="1694"/>
  <c r="K7" i="1694"/>
  <c r="AF6" i="1694"/>
  <c r="Q6" i="1694"/>
  <c r="AB6" i="1694"/>
  <c r="AE12" i="1696" l="1"/>
  <c r="AE15" i="1696"/>
  <c r="AE23" i="1696"/>
  <c r="AE19" i="1696"/>
  <c r="AE16" i="1696"/>
  <c r="AE8" i="1696"/>
  <c r="AE6" i="1696"/>
  <c r="AE20" i="1696"/>
  <c r="AE11" i="1696"/>
  <c r="AE10" i="1696"/>
  <c r="AE22" i="1696"/>
  <c r="AE18" i="1696"/>
  <c r="AE13" i="1696"/>
  <c r="AE21" i="1696"/>
  <c r="AE17" i="1696"/>
  <c r="AE14" i="1696"/>
  <c r="AE9" i="1696"/>
  <c r="AE7" i="1696"/>
  <c r="AD9" i="1695"/>
  <c r="AB24" i="1695"/>
  <c r="AD13" i="1695"/>
  <c r="M24" i="1695"/>
  <c r="AD6" i="1695"/>
  <c r="P20" i="1694"/>
  <c r="AC20" i="1694" s="1"/>
  <c r="AD12" i="1694"/>
  <c r="P11" i="1694"/>
  <c r="AC11" i="1694" s="1"/>
  <c r="AD11" i="1694" s="1"/>
  <c r="AD15" i="1694"/>
  <c r="AD14" i="1694"/>
  <c r="M11" i="1694"/>
  <c r="AD9" i="1694"/>
  <c r="Q23" i="1694"/>
  <c r="AD21" i="1694"/>
  <c r="AD16" i="1694"/>
  <c r="AD17" i="1694"/>
  <c r="AD10" i="1694"/>
  <c r="AD22" i="1694"/>
  <c r="AD18" i="1694"/>
  <c r="M6" i="1694"/>
  <c r="M13" i="1694"/>
  <c r="O6" i="1694"/>
  <c r="M8" i="1694"/>
  <c r="O13" i="1694"/>
  <c r="M19" i="1694"/>
  <c r="AB19" i="1694"/>
  <c r="AD19" i="1694" s="1"/>
  <c r="O20" i="1694"/>
  <c r="P6" i="1694"/>
  <c r="O8" i="1694"/>
  <c r="AD8" i="1694" s="1"/>
  <c r="M10" i="1694"/>
  <c r="P13" i="1694"/>
  <c r="AC13" i="1694" s="1"/>
  <c r="M18" i="1694"/>
  <c r="O19" i="1694"/>
  <c r="M22" i="1694"/>
  <c r="L23" i="1694"/>
  <c r="O23" i="1694" s="1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693"/>
  <c r="L20" i="1693"/>
  <c r="L19" i="1693"/>
  <c r="K19" i="1693"/>
  <c r="L18" i="1693"/>
  <c r="L17" i="1693"/>
  <c r="L16" i="1693"/>
  <c r="O16" i="1693" s="1"/>
  <c r="L15" i="1693"/>
  <c r="K15" i="1693" s="1"/>
  <c r="L12" i="1693"/>
  <c r="K12" i="1693" s="1"/>
  <c r="L11" i="1693"/>
  <c r="K11" i="1693" s="1"/>
  <c r="L10" i="1693"/>
  <c r="O10" i="1693" s="1"/>
  <c r="L8" i="1693"/>
  <c r="K8" i="1693" s="1"/>
  <c r="L6" i="1693"/>
  <c r="O6" i="1693" s="1"/>
  <c r="K6" i="1693"/>
  <c r="K21" i="1693"/>
  <c r="K20" i="1693"/>
  <c r="K18" i="1693"/>
  <c r="K17" i="1693"/>
  <c r="K16" i="1693"/>
  <c r="K13" i="1693"/>
  <c r="K9" i="1693"/>
  <c r="A77" i="1693"/>
  <c r="A78" i="1693" s="1"/>
  <c r="A79" i="1693" s="1"/>
  <c r="A80" i="1693" s="1"/>
  <c r="A81" i="1693" s="1"/>
  <c r="A82" i="1693" s="1"/>
  <c r="AF61" i="1693"/>
  <c r="AF60" i="1693"/>
  <c r="AA22" i="1693"/>
  <c r="Z22" i="1693"/>
  <c r="Y22" i="1693"/>
  <c r="X22" i="1693"/>
  <c r="W22" i="1693"/>
  <c r="V22" i="1693"/>
  <c r="U22" i="1693"/>
  <c r="T22" i="1693"/>
  <c r="S22" i="1693"/>
  <c r="R22" i="1693"/>
  <c r="N22" i="1693"/>
  <c r="J22" i="1693"/>
  <c r="AF21" i="1693"/>
  <c r="AC21" i="1693"/>
  <c r="AB21" i="1693"/>
  <c r="Q21" i="1693"/>
  <c r="P21" i="1693"/>
  <c r="O21" i="1693"/>
  <c r="M21" i="1693"/>
  <c r="AF20" i="1693"/>
  <c r="Q20" i="1693"/>
  <c r="P20" i="1693"/>
  <c r="AC20" i="1693" s="1"/>
  <c r="AF19" i="1693"/>
  <c r="AB19" i="1693"/>
  <c r="Q19" i="1693"/>
  <c r="O19" i="1693"/>
  <c r="M19" i="1693"/>
  <c r="AF18" i="1693"/>
  <c r="AB18" i="1693"/>
  <c r="Q18" i="1693"/>
  <c r="O18" i="1693"/>
  <c r="M18" i="1693"/>
  <c r="P18" i="1693"/>
  <c r="AC18" i="1693" s="1"/>
  <c r="AF17" i="1693"/>
  <c r="Q17" i="1693"/>
  <c r="P17" i="1693" s="1"/>
  <c r="AC17" i="1693" s="1"/>
  <c r="AF16" i="1693"/>
  <c r="Q16" i="1693"/>
  <c r="P16" i="1693" s="1"/>
  <c r="AC16" i="1693" s="1"/>
  <c r="I16" i="1693"/>
  <c r="I22" i="1693" s="1"/>
  <c r="AF15" i="1693"/>
  <c r="AB15" i="1693"/>
  <c r="Q15" i="1693"/>
  <c r="P15" i="1693" s="1"/>
  <c r="AC15" i="1693" s="1"/>
  <c r="O15" i="1693"/>
  <c r="M15" i="1693"/>
  <c r="AF14" i="1693"/>
  <c r="AB14" i="1693"/>
  <c r="Q14" i="1693"/>
  <c r="P14" i="1693"/>
  <c r="AC14" i="1693" s="1"/>
  <c r="AD14" i="1693" s="1"/>
  <c r="O14" i="1693"/>
  <c r="M14" i="1693"/>
  <c r="K14" i="1693"/>
  <c r="AF13" i="1693"/>
  <c r="AB13" i="1693"/>
  <c r="Q13" i="1693"/>
  <c r="P13" i="1693"/>
  <c r="AC13" i="1693" s="1"/>
  <c r="O13" i="1693"/>
  <c r="M13" i="1693"/>
  <c r="AF12" i="1693"/>
  <c r="Q12" i="1693"/>
  <c r="P12" i="1693" s="1"/>
  <c r="AC12" i="1693" s="1"/>
  <c r="AF11" i="1693"/>
  <c r="AB11" i="1693"/>
  <c r="Q11" i="1693"/>
  <c r="M11" i="1693"/>
  <c r="O11" i="1693"/>
  <c r="AF10" i="1693"/>
  <c r="Q10" i="1693"/>
  <c r="AB10" i="1693"/>
  <c r="AF9" i="1693"/>
  <c r="AB9" i="1693"/>
  <c r="Q9" i="1693"/>
  <c r="P9" i="1693"/>
  <c r="AC9" i="1693" s="1"/>
  <c r="O9" i="1693"/>
  <c r="M9" i="1693"/>
  <c r="AF8" i="1693"/>
  <c r="Q8" i="1693"/>
  <c r="P8" i="1693"/>
  <c r="AC8" i="1693" s="1"/>
  <c r="AF7" i="1693"/>
  <c r="AB7" i="1693"/>
  <c r="Q7" i="1693"/>
  <c r="P7" i="1693"/>
  <c r="AC7" i="1693" s="1"/>
  <c r="O7" i="1693"/>
  <c r="M7" i="1693"/>
  <c r="K7" i="1693"/>
  <c r="AF6" i="1693"/>
  <c r="AB6" i="1693"/>
  <c r="Q6" i="1693"/>
  <c r="P6" i="1693" s="1"/>
  <c r="AC6" i="1693" s="1"/>
  <c r="M6" i="1693"/>
  <c r="AD24" i="1695" l="1"/>
  <c r="AE14" i="1695" s="1"/>
  <c r="AD20" i="1694"/>
  <c r="AD13" i="1694"/>
  <c r="M23" i="1694"/>
  <c r="P23" i="1694"/>
  <c r="AC6" i="1694"/>
  <c r="K23" i="1694"/>
  <c r="AB23" i="1694"/>
  <c r="P19" i="1693"/>
  <c r="AC19" i="1693" s="1"/>
  <c r="AD19" i="1693" s="1"/>
  <c r="AD15" i="1693"/>
  <c r="AD18" i="1693"/>
  <c r="AF63" i="1693"/>
  <c r="AD9" i="1693"/>
  <c r="K10" i="1693"/>
  <c r="P11" i="1693"/>
  <c r="AC11" i="1693" s="1"/>
  <c r="AD11" i="1693" s="1"/>
  <c r="Q22" i="1693"/>
  <c r="AD21" i="1693"/>
  <c r="AD7" i="1693"/>
  <c r="AD13" i="1693"/>
  <c r="AD6" i="1693"/>
  <c r="L22" i="1693"/>
  <c r="O22" i="1693" s="1"/>
  <c r="M8" i="1693"/>
  <c r="AB8" i="1693"/>
  <c r="P10" i="1693"/>
  <c r="AC10" i="1693" s="1"/>
  <c r="AD10" i="1693" s="1"/>
  <c r="M12" i="1693"/>
  <c r="AB12" i="1693"/>
  <c r="M17" i="1693"/>
  <c r="AB17" i="1693"/>
  <c r="M20" i="1693"/>
  <c r="AB20" i="1693"/>
  <c r="M16" i="1693"/>
  <c r="AB16" i="1693"/>
  <c r="AD16" i="1693" s="1"/>
  <c r="O17" i="1693"/>
  <c r="O20" i="1693"/>
  <c r="O8" i="1693"/>
  <c r="O12" i="1693"/>
  <c r="K22" i="1693"/>
  <c r="M10" i="1693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2" i="1692"/>
  <c r="K22" i="1692" s="1"/>
  <c r="L21" i="1692"/>
  <c r="L19" i="1692"/>
  <c r="K19" i="1692" s="1"/>
  <c r="L18" i="1692"/>
  <c r="K18" i="1692" s="1"/>
  <c r="L17" i="1692"/>
  <c r="L13" i="1692"/>
  <c r="L12" i="1692"/>
  <c r="K12" i="1692"/>
  <c r="L11" i="1692"/>
  <c r="K11" i="1692" s="1"/>
  <c r="L10" i="1692"/>
  <c r="L9" i="1692"/>
  <c r="K9" i="1692" s="1"/>
  <c r="K8" i="1692"/>
  <c r="L8" i="1692"/>
  <c r="K21" i="1692"/>
  <c r="K20" i="1692"/>
  <c r="K16" i="1692"/>
  <c r="K14" i="1692"/>
  <c r="K10" i="1692"/>
  <c r="A78" i="1692"/>
  <c r="A79" i="1692" s="1"/>
  <c r="A80" i="1692" s="1"/>
  <c r="A81" i="1692" s="1"/>
  <c r="A82" i="1692" s="1"/>
  <c r="A83" i="1692" s="1"/>
  <c r="AF62" i="1692"/>
  <c r="AF61" i="1692"/>
  <c r="AF64" i="1692" s="1"/>
  <c r="AA23" i="1692"/>
  <c r="Z23" i="1692"/>
  <c r="Y23" i="1692"/>
  <c r="X23" i="1692"/>
  <c r="W23" i="1692"/>
  <c r="V23" i="1692"/>
  <c r="U23" i="1692"/>
  <c r="T23" i="1692"/>
  <c r="S23" i="1692"/>
  <c r="R23" i="1692"/>
  <c r="N23" i="1692"/>
  <c r="J23" i="1692"/>
  <c r="AF22" i="1692"/>
  <c r="Q22" i="1692"/>
  <c r="P22" i="1692"/>
  <c r="AC22" i="1692" s="1"/>
  <c r="O22" i="1692"/>
  <c r="AF21" i="1692"/>
  <c r="AC21" i="1692"/>
  <c r="Q21" i="1692"/>
  <c r="P21" i="1692"/>
  <c r="O21" i="1692"/>
  <c r="AB21" i="1692"/>
  <c r="AF20" i="1692"/>
  <c r="AB20" i="1692"/>
  <c r="Q20" i="1692"/>
  <c r="P20" i="1692"/>
  <c r="AC20" i="1692" s="1"/>
  <c r="O20" i="1692"/>
  <c r="M20" i="1692"/>
  <c r="AF19" i="1692"/>
  <c r="Q19" i="1692"/>
  <c r="P19" i="1692"/>
  <c r="AC19" i="1692" s="1"/>
  <c r="O19" i="1692"/>
  <c r="AF18" i="1692"/>
  <c r="Q18" i="1692"/>
  <c r="P18" i="1692" s="1"/>
  <c r="AC18" i="1692" s="1"/>
  <c r="O18" i="1692"/>
  <c r="AB18" i="1692"/>
  <c r="AF17" i="1692"/>
  <c r="AB17" i="1692"/>
  <c r="Q17" i="1692"/>
  <c r="P17" i="1692"/>
  <c r="AC17" i="1692" s="1"/>
  <c r="O17" i="1692"/>
  <c r="M17" i="1692"/>
  <c r="K17" i="1692"/>
  <c r="I17" i="1692"/>
  <c r="I23" i="1692" s="1"/>
  <c r="AF16" i="1692"/>
  <c r="AB16" i="1692"/>
  <c r="Q16" i="1692"/>
  <c r="P16" i="1692" s="1"/>
  <c r="AC16" i="1692" s="1"/>
  <c r="AD16" i="1692" s="1"/>
  <c r="O16" i="1692"/>
  <c r="M16" i="1692"/>
  <c r="AF15" i="1692"/>
  <c r="AB15" i="1692"/>
  <c r="Q15" i="1692"/>
  <c r="P15" i="1692"/>
  <c r="AC15" i="1692" s="1"/>
  <c r="O15" i="1692"/>
  <c r="M15" i="1692"/>
  <c r="K15" i="1692"/>
  <c r="AF14" i="1692"/>
  <c r="AB14" i="1692"/>
  <c r="Q14" i="1692"/>
  <c r="M14" i="1692"/>
  <c r="P14" i="1692"/>
  <c r="AC14" i="1692" s="1"/>
  <c r="AF13" i="1692"/>
  <c r="Q13" i="1692"/>
  <c r="AF12" i="1692"/>
  <c r="Q12" i="1692"/>
  <c r="P12" i="1692"/>
  <c r="AC12" i="1692" s="1"/>
  <c r="O12" i="1692"/>
  <c r="AB12" i="1692"/>
  <c r="AF11" i="1692"/>
  <c r="AB11" i="1692"/>
  <c r="Q11" i="1692"/>
  <c r="P11" i="1692"/>
  <c r="AC11" i="1692" s="1"/>
  <c r="O11" i="1692"/>
  <c r="M11" i="1692"/>
  <c r="AF10" i="1692"/>
  <c r="AB10" i="1692"/>
  <c r="Q10" i="1692"/>
  <c r="P10" i="1692" s="1"/>
  <c r="AC10" i="1692" s="1"/>
  <c r="M10" i="1692"/>
  <c r="AF9" i="1692"/>
  <c r="AB9" i="1692"/>
  <c r="Q9" i="1692"/>
  <c r="P9" i="1692"/>
  <c r="AC9" i="1692" s="1"/>
  <c r="O9" i="1692"/>
  <c r="M9" i="1692"/>
  <c r="AF8" i="1692"/>
  <c r="AB8" i="1692"/>
  <c r="Q8" i="1692"/>
  <c r="P8" i="1692" s="1"/>
  <c r="AC8" i="1692" s="1"/>
  <c r="O8" i="1692"/>
  <c r="M8" i="1692"/>
  <c r="L23" i="1692"/>
  <c r="O23" i="1692" s="1"/>
  <c r="AF7" i="1692"/>
  <c r="AC7" i="1692"/>
  <c r="AD7" i="1692" s="1"/>
  <c r="AB7" i="1692"/>
  <c r="Q7" i="1692"/>
  <c r="P7" i="1692"/>
  <c r="O7" i="1692"/>
  <c r="M7" i="1692"/>
  <c r="K7" i="1692"/>
  <c r="AF6" i="1692"/>
  <c r="AB6" i="1692"/>
  <c r="Q6" i="1692"/>
  <c r="P6" i="1692"/>
  <c r="AC6" i="1692" s="1"/>
  <c r="O6" i="1692"/>
  <c r="M6" i="1692"/>
  <c r="K6" i="1692"/>
  <c r="AE17" i="1695" l="1"/>
  <c r="AE10" i="1695"/>
  <c r="AE18" i="1695"/>
  <c r="AE9" i="1695"/>
  <c r="AE8" i="1695"/>
  <c r="AE7" i="1695"/>
  <c r="AE21" i="1695"/>
  <c r="AE6" i="1695"/>
  <c r="AE22" i="1695"/>
  <c r="AE11" i="1695"/>
  <c r="AE19" i="1695"/>
  <c r="AE13" i="1695"/>
  <c r="AE12" i="1695"/>
  <c r="AE15" i="1695"/>
  <c r="AE23" i="1695"/>
  <c r="AE20" i="1695"/>
  <c r="AE16" i="1695"/>
  <c r="AC23" i="1694"/>
  <c r="AD6" i="1694"/>
  <c r="AD23" i="1694" s="1"/>
  <c r="AD20" i="1693"/>
  <c r="AD17" i="1693"/>
  <c r="AB22" i="1693"/>
  <c r="AD12" i="1693"/>
  <c r="AC22" i="1693"/>
  <c r="M22" i="1693"/>
  <c r="AD8" i="1693"/>
  <c r="P22" i="1693"/>
  <c r="P13" i="1692"/>
  <c r="AC13" i="1692" s="1"/>
  <c r="AC23" i="1692" s="1"/>
  <c r="K13" i="1692"/>
  <c r="Q23" i="1692"/>
  <c r="AD8" i="1692"/>
  <c r="AD9" i="1692"/>
  <c r="AD15" i="1692"/>
  <c r="AD20" i="1692"/>
  <c r="AD17" i="1692"/>
  <c r="AD11" i="1692"/>
  <c r="AD6" i="1692"/>
  <c r="AD12" i="1692"/>
  <c r="AD18" i="1692"/>
  <c r="AD21" i="1692"/>
  <c r="M13" i="1692"/>
  <c r="AB13" i="1692"/>
  <c r="O14" i="1692"/>
  <c r="AD14" i="1692" s="1"/>
  <c r="M19" i="1692"/>
  <c r="AB19" i="1692"/>
  <c r="AD19" i="1692" s="1"/>
  <c r="M22" i="1692"/>
  <c r="AB22" i="1692"/>
  <c r="AB23" i="1692" s="1"/>
  <c r="O10" i="1692"/>
  <c r="AD10" i="1692" s="1"/>
  <c r="K23" i="1692"/>
  <c r="M12" i="1692"/>
  <c r="O13" i="1692"/>
  <c r="M18" i="1692"/>
  <c r="M21" i="1692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2" i="1691"/>
  <c r="L21" i="1691"/>
  <c r="K20" i="1691"/>
  <c r="L19" i="1691"/>
  <c r="L18" i="1691"/>
  <c r="K16" i="1691"/>
  <c r="L14" i="1691"/>
  <c r="K14" i="1691"/>
  <c r="AF14" i="1691"/>
  <c r="Q14" i="1691"/>
  <c r="O14" i="1691"/>
  <c r="AB14" i="1691"/>
  <c r="L13" i="1691"/>
  <c r="L12" i="1691"/>
  <c r="K12" i="1691" s="1"/>
  <c r="L11" i="1691"/>
  <c r="K11" i="1691" s="1"/>
  <c r="L10" i="1691"/>
  <c r="K10" i="1691" s="1"/>
  <c r="L8" i="1691"/>
  <c r="K8" i="1691" s="1"/>
  <c r="K21" i="1691"/>
  <c r="K19" i="1691"/>
  <c r="K18" i="1691"/>
  <c r="K13" i="1691"/>
  <c r="K9" i="1691"/>
  <c r="A78" i="1691"/>
  <c r="A79" i="1691" s="1"/>
  <c r="A80" i="1691" s="1"/>
  <c r="A81" i="1691" s="1"/>
  <c r="A82" i="1691" s="1"/>
  <c r="A83" i="1691" s="1"/>
  <c r="AF64" i="1691"/>
  <c r="AF62" i="1691"/>
  <c r="AF61" i="1691"/>
  <c r="AA23" i="1691"/>
  <c r="Z23" i="1691"/>
  <c r="Y23" i="1691"/>
  <c r="X23" i="1691"/>
  <c r="W23" i="1691"/>
  <c r="V23" i="1691"/>
  <c r="U23" i="1691"/>
  <c r="T23" i="1691"/>
  <c r="S23" i="1691"/>
  <c r="R23" i="1691"/>
  <c r="N23" i="1691"/>
  <c r="J23" i="1691"/>
  <c r="AF22" i="1691"/>
  <c r="AB22" i="1691"/>
  <c r="Q22" i="1691"/>
  <c r="P22" i="1691" s="1"/>
  <c r="AC22" i="1691" s="1"/>
  <c r="O22" i="1691"/>
  <c r="M22" i="1691"/>
  <c r="K22" i="1691"/>
  <c r="AF21" i="1691"/>
  <c r="AB21" i="1691"/>
  <c r="Q21" i="1691"/>
  <c r="P21" i="1691" s="1"/>
  <c r="AC21" i="1691" s="1"/>
  <c r="O21" i="1691"/>
  <c r="M21" i="1691"/>
  <c r="AF20" i="1691"/>
  <c r="AB20" i="1691"/>
  <c r="Q20" i="1691"/>
  <c r="P20" i="1691"/>
  <c r="AC20" i="1691" s="1"/>
  <c r="O20" i="1691"/>
  <c r="M20" i="1691"/>
  <c r="AF19" i="1691"/>
  <c r="Q19" i="1691"/>
  <c r="O19" i="1691"/>
  <c r="AF18" i="1691"/>
  <c r="Q18" i="1691"/>
  <c r="AB18" i="1691"/>
  <c r="AF17" i="1691"/>
  <c r="AB17" i="1691"/>
  <c r="Q17" i="1691"/>
  <c r="P17" i="1691"/>
  <c r="AC17" i="1691" s="1"/>
  <c r="O17" i="1691"/>
  <c r="M17" i="1691"/>
  <c r="K17" i="1691"/>
  <c r="I17" i="1691"/>
  <c r="I23" i="1691" s="1"/>
  <c r="AF16" i="1691"/>
  <c r="AB16" i="1691"/>
  <c r="Q16" i="1691"/>
  <c r="P16" i="1691" s="1"/>
  <c r="AC16" i="1691" s="1"/>
  <c r="O16" i="1691"/>
  <c r="M16" i="1691"/>
  <c r="AF15" i="1691"/>
  <c r="AB15" i="1691"/>
  <c r="Q15" i="1691"/>
  <c r="P15" i="1691"/>
  <c r="AC15" i="1691" s="1"/>
  <c r="O15" i="1691"/>
  <c r="M15" i="1691"/>
  <c r="K15" i="1691"/>
  <c r="AF13" i="1691"/>
  <c r="AB13" i="1691"/>
  <c r="Q13" i="1691"/>
  <c r="P13" i="1691" s="1"/>
  <c r="AC13" i="1691" s="1"/>
  <c r="AD13" i="1691" s="1"/>
  <c r="O13" i="1691"/>
  <c r="M13" i="1691"/>
  <c r="AF12" i="1691"/>
  <c r="Q12" i="1691"/>
  <c r="O12" i="1691"/>
  <c r="AF11" i="1691"/>
  <c r="Q11" i="1691"/>
  <c r="AF10" i="1691"/>
  <c r="Q10" i="1691"/>
  <c r="M10" i="1691"/>
  <c r="AF9" i="1691"/>
  <c r="AB9" i="1691"/>
  <c r="Q9" i="1691"/>
  <c r="P9" i="1691"/>
  <c r="AC9" i="1691" s="1"/>
  <c r="O9" i="1691"/>
  <c r="M9" i="1691"/>
  <c r="AF8" i="1691"/>
  <c r="AB8" i="1691"/>
  <c r="Q8" i="1691"/>
  <c r="AF7" i="1691"/>
  <c r="AB7" i="1691"/>
  <c r="Q7" i="1691"/>
  <c r="P7" i="1691"/>
  <c r="AC7" i="1691" s="1"/>
  <c r="AD7" i="1691" s="1"/>
  <c r="O7" i="1691"/>
  <c r="M7" i="1691"/>
  <c r="K7" i="1691"/>
  <c r="AF6" i="1691"/>
  <c r="AB6" i="1691"/>
  <c r="Q6" i="1691"/>
  <c r="P6" i="1691"/>
  <c r="AC6" i="1691" s="1"/>
  <c r="O6" i="1691"/>
  <c r="M6" i="1691"/>
  <c r="K6" i="1691"/>
  <c r="AE11" i="1694" l="1"/>
  <c r="AE12" i="1694"/>
  <c r="AE14" i="1694"/>
  <c r="AE8" i="1694"/>
  <c r="AE13" i="1694"/>
  <c r="AE6" i="1694"/>
  <c r="AE19" i="1694"/>
  <c r="AE20" i="1694"/>
  <c r="AE15" i="1694"/>
  <c r="AE21" i="1694"/>
  <c r="AE17" i="1694"/>
  <c r="AE16" i="1694"/>
  <c r="AE9" i="1694"/>
  <c r="AE22" i="1694"/>
  <c r="AE18" i="1694"/>
  <c r="AE10" i="1694"/>
  <c r="AE7" i="1694"/>
  <c r="AD22" i="1693"/>
  <c r="AE18" i="1693" s="1"/>
  <c r="M23" i="1692"/>
  <c r="AD13" i="1692"/>
  <c r="P23" i="1692"/>
  <c r="AD22" i="1692"/>
  <c r="AD21" i="1691"/>
  <c r="AD16" i="1691"/>
  <c r="L23" i="1691"/>
  <c r="O23" i="1691" s="1"/>
  <c r="P14" i="1691"/>
  <c r="AC14" i="1691" s="1"/>
  <c r="AD14" i="1691" s="1"/>
  <c r="AD22" i="1691"/>
  <c r="M14" i="1691"/>
  <c r="P12" i="1691"/>
  <c r="AC12" i="1691" s="1"/>
  <c r="AB12" i="1691"/>
  <c r="M12" i="1691"/>
  <c r="M11" i="1691"/>
  <c r="AB11" i="1691"/>
  <c r="O11" i="1691"/>
  <c r="P11" i="1691"/>
  <c r="AC11" i="1691" s="1"/>
  <c r="AD11" i="1691" s="1"/>
  <c r="Q23" i="1691"/>
  <c r="O10" i="1691"/>
  <c r="P10" i="1691"/>
  <c r="AC10" i="1691" s="1"/>
  <c r="AB10" i="1691"/>
  <c r="M8" i="1691"/>
  <c r="O8" i="1691"/>
  <c r="P8" i="1691"/>
  <c r="AC8" i="1691" s="1"/>
  <c r="AD8" i="1691" s="1"/>
  <c r="AD15" i="1691"/>
  <c r="AD17" i="1691"/>
  <c r="AD20" i="1691"/>
  <c r="AD9" i="1691"/>
  <c r="K23" i="1691"/>
  <c r="AD6" i="1691"/>
  <c r="O18" i="1691"/>
  <c r="P19" i="1691"/>
  <c r="AC19" i="1691" s="1"/>
  <c r="P18" i="1691"/>
  <c r="AC18" i="1691" s="1"/>
  <c r="M19" i="1691"/>
  <c r="AB19" i="1691"/>
  <c r="M18" i="1691"/>
  <c r="AE8" i="1693" l="1"/>
  <c r="AE17" i="1693"/>
  <c r="AE15" i="1693"/>
  <c r="AE9" i="1693"/>
  <c r="AE20" i="1693"/>
  <c r="AE16" i="1693"/>
  <c r="AE13" i="1693"/>
  <c r="AE7" i="1693"/>
  <c r="AE19" i="1693"/>
  <c r="AE14" i="1693"/>
  <c r="AE12" i="1693"/>
  <c r="AE11" i="1693"/>
  <c r="AE10" i="1693"/>
  <c r="AE21" i="1693"/>
  <c r="AE6" i="1693"/>
  <c r="AD23" i="1692"/>
  <c r="AE19" i="1692" s="1"/>
  <c r="AE16" i="1692"/>
  <c r="AE7" i="1692"/>
  <c r="AE20" i="1692"/>
  <c r="AE8" i="1692"/>
  <c r="AE21" i="1692"/>
  <c r="AE12" i="1692"/>
  <c r="AE6" i="1692"/>
  <c r="AD12" i="1691"/>
  <c r="M23" i="1691"/>
  <c r="AB23" i="1691"/>
  <c r="AD10" i="1691"/>
  <c r="P23" i="1691"/>
  <c r="AD18" i="1691"/>
  <c r="AC23" i="1691"/>
  <c r="AD19" i="1691"/>
  <c r="AE9" i="1692" l="1"/>
  <c r="AE22" i="1692"/>
  <c r="AE15" i="1692"/>
  <c r="AE11" i="1692"/>
  <c r="AE10" i="1692"/>
  <c r="AE13" i="1692"/>
  <c r="AE18" i="1692"/>
  <c r="AE17" i="1692"/>
  <c r="AE14" i="1692"/>
  <c r="AD23" i="1691"/>
  <c r="AE22" i="1691" l="1"/>
  <c r="AE14" i="1691"/>
  <c r="AE13" i="1691"/>
  <c r="AE10" i="1691"/>
  <c r="AE15" i="1691"/>
  <c r="AE11" i="1691"/>
  <c r="AE16" i="1691"/>
  <c r="AE12" i="1691"/>
  <c r="AE18" i="1691"/>
  <c r="AE17" i="1691"/>
  <c r="AE6" i="1691"/>
  <c r="AE19" i="1691"/>
  <c r="AE7" i="1691"/>
  <c r="AE20" i="1691"/>
  <c r="AE8" i="1691"/>
  <c r="AE21" i="1691"/>
  <c r="AE9" i="1691"/>
  <c r="W19" i="16" l="1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18" i="1690"/>
  <c r="M18" i="1690" s="1"/>
  <c r="L17" i="1690"/>
  <c r="K17" i="1690" s="1"/>
  <c r="L13" i="1690"/>
  <c r="K10" i="1690"/>
  <c r="K20" i="1690"/>
  <c r="K19" i="1690"/>
  <c r="K13" i="1690"/>
  <c r="K12" i="1690"/>
  <c r="K11" i="1690"/>
  <c r="K9" i="1690"/>
  <c r="K8" i="1690"/>
  <c r="K7" i="1690"/>
  <c r="K6" i="1690"/>
  <c r="A77" i="1690"/>
  <c r="A78" i="1690" s="1"/>
  <c r="A79" i="1690" s="1"/>
  <c r="A80" i="1690" s="1"/>
  <c r="A81" i="1690" s="1"/>
  <c r="A82" i="1690" s="1"/>
  <c r="AF61" i="1690"/>
  <c r="AF60" i="1690"/>
  <c r="AA22" i="1690"/>
  <c r="Z22" i="1690"/>
  <c r="Y22" i="1690"/>
  <c r="X22" i="1690"/>
  <c r="W22" i="1690"/>
  <c r="V22" i="1690"/>
  <c r="U22" i="1690"/>
  <c r="T22" i="1690"/>
  <c r="S22" i="1690"/>
  <c r="R22" i="1690"/>
  <c r="N22" i="1690"/>
  <c r="J22" i="1690"/>
  <c r="AF21" i="1690"/>
  <c r="AB21" i="1690"/>
  <c r="Q21" i="1690"/>
  <c r="P21" i="1690"/>
  <c r="AC21" i="1690" s="1"/>
  <c r="AD21" i="1690" s="1"/>
  <c r="O21" i="1690"/>
  <c r="M21" i="1690"/>
  <c r="K21" i="1690"/>
  <c r="AF20" i="1690"/>
  <c r="Q20" i="1690"/>
  <c r="M20" i="1690"/>
  <c r="O20" i="1690"/>
  <c r="AF19" i="1690"/>
  <c r="Q19" i="1690"/>
  <c r="AB19" i="1690"/>
  <c r="AF18" i="1690"/>
  <c r="AB18" i="1690"/>
  <c r="Q18" i="1690"/>
  <c r="AF17" i="1690"/>
  <c r="Q17" i="1690"/>
  <c r="AB17" i="1690"/>
  <c r="AF16" i="1690"/>
  <c r="AB16" i="1690"/>
  <c r="Q16" i="1690"/>
  <c r="P16" i="1690"/>
  <c r="AC16" i="1690" s="1"/>
  <c r="O16" i="1690"/>
  <c r="M16" i="1690"/>
  <c r="K16" i="1690"/>
  <c r="I16" i="1690"/>
  <c r="I22" i="1690" s="1"/>
  <c r="AF15" i="1690"/>
  <c r="AB15" i="1690"/>
  <c r="Q15" i="1690"/>
  <c r="P15" i="1690"/>
  <c r="AC15" i="1690" s="1"/>
  <c r="AD15" i="1690" s="1"/>
  <c r="O15" i="1690"/>
  <c r="M15" i="1690"/>
  <c r="K15" i="1690"/>
  <c r="AF14" i="1690"/>
  <c r="AB14" i="1690"/>
  <c r="Q14" i="1690"/>
  <c r="P14" i="1690"/>
  <c r="AC14" i="1690" s="1"/>
  <c r="O14" i="1690"/>
  <c r="M14" i="1690"/>
  <c r="K14" i="1690"/>
  <c r="AF13" i="1690"/>
  <c r="AB13" i="1690"/>
  <c r="Q13" i="1690"/>
  <c r="P13" i="1690" s="1"/>
  <c r="AC13" i="1690" s="1"/>
  <c r="O13" i="1690"/>
  <c r="M13" i="1690"/>
  <c r="AF12" i="1690"/>
  <c r="AB12" i="1690"/>
  <c r="Q12" i="1690"/>
  <c r="P12" i="1690" s="1"/>
  <c r="AC12" i="1690" s="1"/>
  <c r="O12" i="1690"/>
  <c r="M12" i="1690"/>
  <c r="AF11" i="1690"/>
  <c r="AB11" i="1690"/>
  <c r="Q11" i="1690"/>
  <c r="M11" i="1690"/>
  <c r="O11" i="1690"/>
  <c r="AF10" i="1690"/>
  <c r="Q10" i="1690"/>
  <c r="AB10" i="1690"/>
  <c r="AF9" i="1690"/>
  <c r="AB9" i="1690"/>
  <c r="Q9" i="1690"/>
  <c r="P9" i="1690" s="1"/>
  <c r="AC9" i="1690" s="1"/>
  <c r="O9" i="1690"/>
  <c r="M9" i="1690"/>
  <c r="AF8" i="1690"/>
  <c r="Q8" i="1690"/>
  <c r="M8" i="1690"/>
  <c r="AF7" i="1690"/>
  <c r="Q7" i="1690"/>
  <c r="P7" i="1690"/>
  <c r="AC7" i="1690" s="1"/>
  <c r="O7" i="1690"/>
  <c r="AB7" i="1690"/>
  <c r="AF6" i="1690"/>
  <c r="AB6" i="1690"/>
  <c r="Q6" i="1690"/>
  <c r="P6" i="1690"/>
  <c r="AC6" i="1690" s="1"/>
  <c r="O6" i="1690"/>
  <c r="M6" i="1690"/>
  <c r="L22" i="1690"/>
  <c r="AF63" i="1690" l="1"/>
  <c r="O18" i="1690"/>
  <c r="K18" i="1690"/>
  <c r="O22" i="1690"/>
  <c r="AD12" i="1690"/>
  <c r="AD6" i="1690"/>
  <c r="AD13" i="1690"/>
  <c r="AD9" i="1690"/>
  <c r="Q22" i="1690"/>
  <c r="AD14" i="1690"/>
  <c r="AD16" i="1690"/>
  <c r="AD7" i="1690"/>
  <c r="AB8" i="1690"/>
  <c r="M7" i="1690"/>
  <c r="O8" i="1690"/>
  <c r="K22" i="1690"/>
  <c r="O10" i="1690"/>
  <c r="P11" i="1690"/>
  <c r="AC11" i="1690" s="1"/>
  <c r="AD11" i="1690" s="1"/>
  <c r="O17" i="1690"/>
  <c r="P18" i="1690"/>
  <c r="AC18" i="1690" s="1"/>
  <c r="AD18" i="1690" s="1"/>
  <c r="O19" i="1690"/>
  <c r="P20" i="1690"/>
  <c r="AC20" i="1690" s="1"/>
  <c r="P8" i="1690"/>
  <c r="AC8" i="1690" s="1"/>
  <c r="P10" i="1690"/>
  <c r="AC10" i="1690" s="1"/>
  <c r="P17" i="1690"/>
  <c r="AC17" i="1690" s="1"/>
  <c r="P19" i="1690"/>
  <c r="AC19" i="1690" s="1"/>
  <c r="AB20" i="1690"/>
  <c r="M10" i="1690"/>
  <c r="M17" i="1690"/>
  <c r="M19" i="1690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3" i="1689"/>
  <c r="L22" i="1689"/>
  <c r="O22" i="1689" s="1"/>
  <c r="AF21" i="1689"/>
  <c r="AC21" i="1689"/>
  <c r="AD21" i="1689" s="1"/>
  <c r="AB21" i="1689"/>
  <c r="Q21" i="1689"/>
  <c r="P21" i="1689"/>
  <c r="O21" i="1689"/>
  <c r="M21" i="1689"/>
  <c r="K21" i="1689"/>
  <c r="K22" i="1689"/>
  <c r="L20" i="1689"/>
  <c r="P20" i="1689" s="1"/>
  <c r="AC20" i="1689" s="1"/>
  <c r="L19" i="1689"/>
  <c r="L15" i="1689"/>
  <c r="O15" i="1689" s="1"/>
  <c r="AF14" i="1689"/>
  <c r="AB14" i="1689"/>
  <c r="Q14" i="1689"/>
  <c r="P14" i="1689" s="1"/>
  <c r="AC14" i="1689" s="1"/>
  <c r="O14" i="1689"/>
  <c r="M14" i="1689"/>
  <c r="K14" i="1689"/>
  <c r="K13" i="1689"/>
  <c r="L12" i="1689"/>
  <c r="K12" i="1689" s="1"/>
  <c r="L11" i="1689"/>
  <c r="K11" i="1689" s="1"/>
  <c r="K10" i="1689"/>
  <c r="AF10" i="1689"/>
  <c r="AB10" i="1689"/>
  <c r="Q10" i="1689"/>
  <c r="P10" i="1689" s="1"/>
  <c r="AC10" i="1689" s="1"/>
  <c r="O10" i="1689"/>
  <c r="M10" i="1689"/>
  <c r="L9" i="1689"/>
  <c r="O9" i="1689" s="1"/>
  <c r="L8" i="1689"/>
  <c r="L7" i="1689"/>
  <c r="O7" i="1689" s="1"/>
  <c r="L6" i="1689"/>
  <c r="K24" i="1689"/>
  <c r="K23" i="1689"/>
  <c r="K20" i="1689"/>
  <c r="K19" i="1689"/>
  <c r="K18" i="1689"/>
  <c r="K17" i="1689"/>
  <c r="K15" i="1689"/>
  <c r="K9" i="1689"/>
  <c r="K8" i="1689"/>
  <c r="K7" i="1689"/>
  <c r="K6" i="1689"/>
  <c r="A80" i="1689"/>
  <c r="A81" i="1689" s="1"/>
  <c r="A82" i="1689" s="1"/>
  <c r="A83" i="1689" s="1"/>
  <c r="A84" i="1689" s="1"/>
  <c r="A85" i="1689" s="1"/>
  <c r="AF64" i="1689"/>
  <c r="AF63" i="1689"/>
  <c r="AA25" i="1689"/>
  <c r="Z25" i="1689"/>
  <c r="Y25" i="1689"/>
  <c r="X25" i="1689"/>
  <c r="W25" i="1689"/>
  <c r="V25" i="1689"/>
  <c r="U25" i="1689"/>
  <c r="T25" i="1689"/>
  <c r="S25" i="1689"/>
  <c r="R25" i="1689"/>
  <c r="N25" i="1689"/>
  <c r="J25" i="1689"/>
  <c r="AF24" i="1689"/>
  <c r="AB24" i="1689"/>
  <c r="Q24" i="1689"/>
  <c r="P24" i="1689"/>
  <c r="AC24" i="1689" s="1"/>
  <c r="O24" i="1689"/>
  <c r="M24" i="1689"/>
  <c r="AF23" i="1689"/>
  <c r="AB23" i="1689"/>
  <c r="Q23" i="1689"/>
  <c r="O23" i="1689"/>
  <c r="M23" i="1689"/>
  <c r="AF22" i="1689"/>
  <c r="Q22" i="1689"/>
  <c r="AB22" i="1689"/>
  <c r="AF20" i="1689"/>
  <c r="AB20" i="1689"/>
  <c r="Q20" i="1689"/>
  <c r="M20" i="1689"/>
  <c r="AF19" i="1689"/>
  <c r="Q19" i="1689"/>
  <c r="AF18" i="1689"/>
  <c r="AB18" i="1689"/>
  <c r="Q18" i="1689"/>
  <c r="P18" i="1689"/>
  <c r="AC18" i="1689" s="1"/>
  <c r="M18" i="1689"/>
  <c r="O18" i="1689"/>
  <c r="I18" i="1689"/>
  <c r="AF17" i="1689"/>
  <c r="AB17" i="1689"/>
  <c r="Q17" i="1689"/>
  <c r="P17" i="1689"/>
  <c r="AC17" i="1689" s="1"/>
  <c r="O17" i="1689"/>
  <c r="M17" i="1689"/>
  <c r="AF16" i="1689"/>
  <c r="AB16" i="1689"/>
  <c r="Q16" i="1689"/>
  <c r="P16" i="1689"/>
  <c r="AC16" i="1689" s="1"/>
  <c r="O16" i="1689"/>
  <c r="M16" i="1689"/>
  <c r="K16" i="1689"/>
  <c r="AF15" i="1689"/>
  <c r="Q15" i="1689"/>
  <c r="AF13" i="1689"/>
  <c r="AB13" i="1689"/>
  <c r="Q13" i="1689"/>
  <c r="P13" i="1689" s="1"/>
  <c r="AC13" i="1689" s="1"/>
  <c r="O13" i="1689"/>
  <c r="M13" i="1689"/>
  <c r="AF12" i="1689"/>
  <c r="Q12" i="1689"/>
  <c r="P12" i="1689" s="1"/>
  <c r="AC12" i="1689" s="1"/>
  <c r="AF11" i="1689"/>
  <c r="Q11" i="1689"/>
  <c r="I25" i="1689"/>
  <c r="AF9" i="1689"/>
  <c r="Q9" i="1689"/>
  <c r="AF8" i="1689"/>
  <c r="Q8" i="1689"/>
  <c r="P8" i="1689" s="1"/>
  <c r="AC8" i="1689" s="1"/>
  <c r="O8" i="1689"/>
  <c r="AB8" i="1689"/>
  <c r="AF7" i="1689"/>
  <c r="AB7" i="1689"/>
  <c r="Q7" i="1689"/>
  <c r="P7" i="1689" s="1"/>
  <c r="AC7" i="1689" s="1"/>
  <c r="M7" i="1689"/>
  <c r="AF6" i="1689"/>
  <c r="Q6" i="1689"/>
  <c r="M22" i="1690" l="1"/>
  <c r="AD10" i="1690"/>
  <c r="AB22" i="1690"/>
  <c r="AD17" i="1690"/>
  <c r="AD19" i="1690"/>
  <c r="AD20" i="1690"/>
  <c r="P22" i="1690"/>
  <c r="AD8" i="1690"/>
  <c r="AC22" i="1690"/>
  <c r="P23" i="1689"/>
  <c r="AC23" i="1689" s="1"/>
  <c r="AD23" i="1689" s="1"/>
  <c r="O20" i="1689"/>
  <c r="AD20" i="1689" s="1"/>
  <c r="P19" i="1689"/>
  <c r="AC19" i="1689" s="1"/>
  <c r="P9" i="1689"/>
  <c r="AC9" i="1689" s="1"/>
  <c r="AF66" i="1689"/>
  <c r="O11" i="1689"/>
  <c r="P6" i="1689"/>
  <c r="AD10" i="1689"/>
  <c r="P15" i="1689"/>
  <c r="AC15" i="1689" s="1"/>
  <c r="AD14" i="1689"/>
  <c r="AD17" i="1689"/>
  <c r="AD13" i="1689"/>
  <c r="P11" i="1689"/>
  <c r="AC11" i="1689" s="1"/>
  <c r="AD16" i="1689"/>
  <c r="Q25" i="1689"/>
  <c r="AD7" i="1689"/>
  <c r="AD18" i="1689"/>
  <c r="AD24" i="1689"/>
  <c r="AC6" i="1689"/>
  <c r="AD8" i="1689"/>
  <c r="M19" i="1689"/>
  <c r="AB19" i="1689"/>
  <c r="P22" i="1689"/>
  <c r="AC22" i="1689" s="1"/>
  <c r="AD22" i="1689" s="1"/>
  <c r="O19" i="1689"/>
  <c r="L25" i="1689"/>
  <c r="O25" i="1689" s="1"/>
  <c r="M6" i="1689"/>
  <c r="AB6" i="1689"/>
  <c r="M12" i="1689"/>
  <c r="AB12" i="1689"/>
  <c r="O6" i="1689"/>
  <c r="M9" i="1689"/>
  <c r="AB9" i="1689"/>
  <c r="M11" i="1689"/>
  <c r="AB11" i="1689"/>
  <c r="O12" i="1689"/>
  <c r="M15" i="1689"/>
  <c r="AB15" i="1689"/>
  <c r="M8" i="1689"/>
  <c r="M22" i="1689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2" i="1688"/>
  <c r="L20" i="1688"/>
  <c r="L19" i="1688"/>
  <c r="K19" i="1688" s="1"/>
  <c r="L18" i="1688"/>
  <c r="K18" i="1688" s="1"/>
  <c r="L17" i="1688"/>
  <c r="K16" i="1688"/>
  <c r="L13" i="1688"/>
  <c r="K13" i="1688"/>
  <c r="AF13" i="1688"/>
  <c r="AB13" i="1688"/>
  <c r="Q13" i="1688"/>
  <c r="P13" i="1688"/>
  <c r="AC13" i="1688" s="1"/>
  <c r="O13" i="1688"/>
  <c r="M13" i="1688"/>
  <c r="L14" i="1688"/>
  <c r="L12" i="1688"/>
  <c r="L11" i="1688"/>
  <c r="K11" i="1688" s="1"/>
  <c r="L10" i="1688"/>
  <c r="L9" i="1688"/>
  <c r="L8" i="1688"/>
  <c r="L7" i="1688"/>
  <c r="K7" i="1688" s="1"/>
  <c r="AF7" i="1688"/>
  <c r="AB7" i="1688"/>
  <c r="Q7" i="1688"/>
  <c r="P7" i="1688" s="1"/>
  <c r="AC7" i="1688" s="1"/>
  <c r="O7" i="1688"/>
  <c r="M7" i="1688"/>
  <c r="L6" i="1688"/>
  <c r="K22" i="1688"/>
  <c r="K20" i="1688"/>
  <c r="K17" i="1688"/>
  <c r="K14" i="1688"/>
  <c r="K12" i="1688"/>
  <c r="K10" i="1688"/>
  <c r="K9" i="1688"/>
  <c r="K8" i="1688"/>
  <c r="A79" i="1688"/>
  <c r="A80" i="1688" s="1"/>
  <c r="A81" i="1688" s="1"/>
  <c r="A82" i="1688" s="1"/>
  <c r="A83" i="1688" s="1"/>
  <c r="A78" i="1688"/>
  <c r="AF62" i="1688"/>
  <c r="AF61" i="1688"/>
  <c r="AF64" i="1688" s="1"/>
  <c r="AA23" i="1688"/>
  <c r="Z23" i="1688"/>
  <c r="Y23" i="1688"/>
  <c r="X23" i="1688"/>
  <c r="W23" i="1688"/>
  <c r="V23" i="1688"/>
  <c r="U23" i="1688"/>
  <c r="T23" i="1688"/>
  <c r="S23" i="1688"/>
  <c r="R23" i="1688"/>
  <c r="N23" i="1688"/>
  <c r="J23" i="1688"/>
  <c r="AF22" i="1688"/>
  <c r="AB22" i="1688"/>
  <c r="Q22" i="1688"/>
  <c r="M22" i="1688"/>
  <c r="P22" i="1688"/>
  <c r="AC22" i="1688" s="1"/>
  <c r="AF21" i="1688"/>
  <c r="AB21" i="1688"/>
  <c r="Q21" i="1688"/>
  <c r="P21" i="1688" s="1"/>
  <c r="AC21" i="1688" s="1"/>
  <c r="O21" i="1688"/>
  <c r="M21" i="1688"/>
  <c r="K21" i="1688"/>
  <c r="AF20" i="1688"/>
  <c r="Q20" i="1688"/>
  <c r="M20" i="1688"/>
  <c r="AB20" i="1688"/>
  <c r="AF19" i="1688"/>
  <c r="Q19" i="1688"/>
  <c r="P19" i="1688"/>
  <c r="AC19" i="1688" s="1"/>
  <c r="AF18" i="1688"/>
  <c r="Q18" i="1688"/>
  <c r="AF17" i="1688"/>
  <c r="AB17" i="1688"/>
  <c r="Q17" i="1688"/>
  <c r="P17" i="1688"/>
  <c r="AC17" i="1688" s="1"/>
  <c r="O17" i="1688"/>
  <c r="M17" i="1688"/>
  <c r="I17" i="1688"/>
  <c r="AF16" i="1688"/>
  <c r="AB16" i="1688"/>
  <c r="Q16" i="1688"/>
  <c r="P16" i="1688"/>
  <c r="AC16" i="1688" s="1"/>
  <c r="O16" i="1688"/>
  <c r="M16" i="1688"/>
  <c r="AF15" i="1688"/>
  <c r="AB15" i="1688"/>
  <c r="Q15" i="1688"/>
  <c r="P15" i="1688"/>
  <c r="AC15" i="1688" s="1"/>
  <c r="O15" i="1688"/>
  <c r="M15" i="1688"/>
  <c r="K15" i="1688"/>
  <c r="AF14" i="1688"/>
  <c r="AB14" i="1688"/>
  <c r="Q14" i="1688"/>
  <c r="P14" i="1688" s="1"/>
  <c r="AC14" i="1688" s="1"/>
  <c r="O14" i="1688"/>
  <c r="M14" i="1688"/>
  <c r="AF12" i="1688"/>
  <c r="AB12" i="1688"/>
  <c r="Q12" i="1688"/>
  <c r="P12" i="1688" s="1"/>
  <c r="AC12" i="1688" s="1"/>
  <c r="M12" i="1688"/>
  <c r="AF11" i="1688"/>
  <c r="Q11" i="1688"/>
  <c r="P11" i="1688" s="1"/>
  <c r="AC11" i="1688" s="1"/>
  <c r="AF10" i="1688"/>
  <c r="Q10" i="1688"/>
  <c r="P10" i="1688"/>
  <c r="AC10" i="1688" s="1"/>
  <c r="O10" i="1688"/>
  <c r="AB10" i="1688"/>
  <c r="I10" i="1688"/>
  <c r="I23" i="1688" s="1"/>
  <c r="AF9" i="1688"/>
  <c r="Q9" i="1688"/>
  <c r="P9" i="1688"/>
  <c r="AC9" i="1688" s="1"/>
  <c r="O9" i="1688"/>
  <c r="AB9" i="1688"/>
  <c r="AF8" i="1688"/>
  <c r="AB8" i="1688"/>
  <c r="Q8" i="1688"/>
  <c r="P8" i="1688" s="1"/>
  <c r="AC8" i="1688" s="1"/>
  <c r="O8" i="1688"/>
  <c r="M8" i="1688"/>
  <c r="AF6" i="1688"/>
  <c r="Q6" i="1688"/>
  <c r="AD22" i="1690" l="1"/>
  <c r="AD15" i="1689"/>
  <c r="AD9" i="1689"/>
  <c r="AD19" i="1689"/>
  <c r="AD11" i="1689"/>
  <c r="AD12" i="1689"/>
  <c r="K25" i="1689"/>
  <c r="M25" i="1689"/>
  <c r="P25" i="1689"/>
  <c r="AD6" i="1689"/>
  <c r="AC25" i="1689"/>
  <c r="AB25" i="1689"/>
  <c r="P18" i="1688"/>
  <c r="AC18" i="1688" s="1"/>
  <c r="O18" i="1688"/>
  <c r="AB18" i="1688"/>
  <c r="AD18" i="1688" s="1"/>
  <c r="AD13" i="1688"/>
  <c r="AD17" i="1688"/>
  <c r="P6" i="1688"/>
  <c r="AC6" i="1688" s="1"/>
  <c r="AD16" i="1688"/>
  <c r="AD14" i="1688"/>
  <c r="Q23" i="1688"/>
  <c r="AD7" i="1688"/>
  <c r="K6" i="1688"/>
  <c r="K23" i="1688" s="1"/>
  <c r="AB6" i="1688"/>
  <c r="O6" i="1688"/>
  <c r="AD15" i="1688"/>
  <c r="AD8" i="1688"/>
  <c r="AD21" i="1688"/>
  <c r="AD9" i="1688"/>
  <c r="AD10" i="1688"/>
  <c r="M11" i="1688"/>
  <c r="AB11" i="1688"/>
  <c r="O12" i="1688"/>
  <c r="AD12" i="1688" s="1"/>
  <c r="M19" i="1688"/>
  <c r="AB19" i="1688"/>
  <c r="O20" i="1688"/>
  <c r="L23" i="1688"/>
  <c r="O23" i="1688" s="1"/>
  <c r="P23" i="1688"/>
  <c r="M6" i="1688"/>
  <c r="M9" i="1688"/>
  <c r="M10" i="1688"/>
  <c r="O11" i="1688"/>
  <c r="M18" i="1688"/>
  <c r="O19" i="1688"/>
  <c r="P20" i="1688"/>
  <c r="AC20" i="1688" s="1"/>
  <c r="O22" i="1688"/>
  <c r="AD22" i="1688" s="1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AE13" i="1687"/>
  <c r="AE14" i="1687"/>
  <c r="L21" i="1687"/>
  <c r="L19" i="1687"/>
  <c r="K19" i="1687" s="1"/>
  <c r="L18" i="1687"/>
  <c r="K18" i="1687" s="1"/>
  <c r="L17" i="1687"/>
  <c r="K17" i="1687" s="1"/>
  <c r="L16" i="1687"/>
  <c r="M16" i="1687" s="1"/>
  <c r="L13" i="1687"/>
  <c r="L12" i="1687"/>
  <c r="K12" i="1687"/>
  <c r="L11" i="1687"/>
  <c r="L10" i="1687"/>
  <c r="L9" i="1687"/>
  <c r="P9" i="1687" s="1"/>
  <c r="AC9" i="1687" s="1"/>
  <c r="L8" i="1687"/>
  <c r="L6" i="1687"/>
  <c r="K6" i="1687" s="1"/>
  <c r="K21" i="1687"/>
  <c r="K16" i="1687"/>
  <c r="K15" i="1687"/>
  <c r="K13" i="1687"/>
  <c r="K11" i="1687"/>
  <c r="K10" i="1687"/>
  <c r="K8" i="1687"/>
  <c r="K7" i="1687"/>
  <c r="A77" i="1687"/>
  <c r="A78" i="1687" s="1"/>
  <c r="A79" i="1687" s="1"/>
  <c r="A80" i="1687" s="1"/>
  <c r="A81" i="1687" s="1"/>
  <c r="A82" i="1687" s="1"/>
  <c r="AF61" i="1687"/>
  <c r="AF60" i="1687"/>
  <c r="AF63" i="1687" s="1"/>
  <c r="AA22" i="1687"/>
  <c r="Z22" i="1687"/>
  <c r="Y22" i="1687"/>
  <c r="X22" i="1687"/>
  <c r="W22" i="1687"/>
  <c r="V22" i="1687"/>
  <c r="U22" i="1687"/>
  <c r="T22" i="1687"/>
  <c r="S22" i="1687"/>
  <c r="R22" i="1687"/>
  <c r="N22" i="1687"/>
  <c r="J22" i="1687"/>
  <c r="AF21" i="1687"/>
  <c r="Q21" i="1687"/>
  <c r="P21" i="1687"/>
  <c r="AC21" i="1687" s="1"/>
  <c r="O21" i="1687"/>
  <c r="AF20" i="1687"/>
  <c r="AB20" i="1687"/>
  <c r="Q20" i="1687"/>
  <c r="P20" i="1687"/>
  <c r="AC20" i="1687" s="1"/>
  <c r="O20" i="1687"/>
  <c r="M20" i="1687"/>
  <c r="K20" i="1687"/>
  <c r="AF19" i="1687"/>
  <c r="Q19" i="1687"/>
  <c r="AB19" i="1687"/>
  <c r="AF18" i="1687"/>
  <c r="Q18" i="1687"/>
  <c r="AF17" i="1687"/>
  <c r="Q17" i="1687"/>
  <c r="AF16" i="1687"/>
  <c r="Q16" i="1687"/>
  <c r="O16" i="1687"/>
  <c r="P16" i="1687"/>
  <c r="AC16" i="1687" s="1"/>
  <c r="I16" i="1687"/>
  <c r="AF15" i="1687"/>
  <c r="AB15" i="1687"/>
  <c r="Q15" i="1687"/>
  <c r="O15" i="1687"/>
  <c r="M15" i="1687"/>
  <c r="P15" i="1687"/>
  <c r="AC15" i="1687" s="1"/>
  <c r="AF14" i="1687"/>
  <c r="AB14" i="1687"/>
  <c r="Q14" i="1687"/>
  <c r="P14" i="1687"/>
  <c r="AC14" i="1687" s="1"/>
  <c r="O14" i="1687"/>
  <c r="M14" i="1687"/>
  <c r="K14" i="1687"/>
  <c r="AF13" i="1687"/>
  <c r="Q13" i="1687"/>
  <c r="P13" i="1687"/>
  <c r="AC13" i="1687" s="1"/>
  <c r="O13" i="1687"/>
  <c r="M13" i="1687"/>
  <c r="AB13" i="1687"/>
  <c r="AF12" i="1687"/>
  <c r="AB12" i="1687"/>
  <c r="Q12" i="1687"/>
  <c r="O12" i="1687"/>
  <c r="M12" i="1687"/>
  <c r="P12" i="1687"/>
  <c r="AC12" i="1687" s="1"/>
  <c r="AD12" i="1687" s="1"/>
  <c r="AF11" i="1687"/>
  <c r="Q11" i="1687"/>
  <c r="AB11" i="1687"/>
  <c r="AF10" i="1687"/>
  <c r="Q10" i="1687"/>
  <c r="P10" i="1687"/>
  <c r="AC10" i="1687" s="1"/>
  <c r="O10" i="1687"/>
  <c r="I10" i="1687"/>
  <c r="I22" i="1687" s="1"/>
  <c r="AF9" i="1687"/>
  <c r="Q9" i="1687"/>
  <c r="AF8" i="1687"/>
  <c r="AB8" i="1687"/>
  <c r="Q8" i="1687"/>
  <c r="P8" i="1687" s="1"/>
  <c r="AC8" i="1687" s="1"/>
  <c r="O8" i="1687"/>
  <c r="M8" i="1687"/>
  <c r="AF7" i="1687"/>
  <c r="AB7" i="1687"/>
  <c r="Q7" i="1687"/>
  <c r="O7" i="1687"/>
  <c r="M7" i="1687"/>
  <c r="P7" i="1687"/>
  <c r="AC7" i="1687" s="1"/>
  <c r="AD7" i="1687" s="1"/>
  <c r="AF6" i="1687"/>
  <c r="Q6" i="1687"/>
  <c r="P6" i="1687"/>
  <c r="AE21" i="1690" l="1"/>
  <c r="AE16" i="1690"/>
  <c r="AE9" i="1690"/>
  <c r="AE14" i="1690"/>
  <c r="AE10" i="1690"/>
  <c r="AE8" i="1690"/>
  <c r="AE19" i="1690"/>
  <c r="AE17" i="1690"/>
  <c r="AE20" i="1690"/>
  <c r="AE18" i="1690"/>
  <c r="AE12" i="1690"/>
  <c r="AE11" i="1690"/>
  <c r="AE15" i="1690"/>
  <c r="AE13" i="1690"/>
  <c r="AE6" i="1690"/>
  <c r="AE7" i="1690"/>
  <c r="AD25" i="1689"/>
  <c r="AE21" i="1689" s="1"/>
  <c r="AD11" i="1688"/>
  <c r="AD6" i="1688"/>
  <c r="AD19" i="1688"/>
  <c r="AB23" i="1688"/>
  <c r="AD20" i="1688"/>
  <c r="M23" i="1688"/>
  <c r="AC23" i="1688"/>
  <c r="O18" i="1687"/>
  <c r="P18" i="1687"/>
  <c r="AC18" i="1687" s="1"/>
  <c r="AB17" i="1687"/>
  <c r="AD17" i="1687" s="1"/>
  <c r="P17" i="1687"/>
  <c r="AC17" i="1687" s="1"/>
  <c r="O17" i="1687"/>
  <c r="AD16" i="1687"/>
  <c r="AB16" i="1687"/>
  <c r="K9" i="1687"/>
  <c r="O9" i="1687"/>
  <c r="AD8" i="1687"/>
  <c r="Q22" i="1687"/>
  <c r="AD14" i="1687"/>
  <c r="AD15" i="1687"/>
  <c r="AD20" i="1687"/>
  <c r="AC6" i="1687"/>
  <c r="AD13" i="1687"/>
  <c r="AB6" i="1687"/>
  <c r="M11" i="1687"/>
  <c r="O6" i="1687"/>
  <c r="M9" i="1687"/>
  <c r="AB9" i="1687"/>
  <c r="AD9" i="1687" s="1"/>
  <c r="M10" i="1687"/>
  <c r="AB10" i="1687"/>
  <c r="AD10" i="1687" s="1"/>
  <c r="O11" i="1687"/>
  <c r="M18" i="1687"/>
  <c r="AB18" i="1687"/>
  <c r="AD18" i="1687" s="1"/>
  <c r="O19" i="1687"/>
  <c r="M21" i="1687"/>
  <c r="AB21" i="1687"/>
  <c r="AD21" i="1687" s="1"/>
  <c r="L22" i="1687"/>
  <c r="O22" i="1687" s="1"/>
  <c r="M6" i="1687"/>
  <c r="K22" i="1687"/>
  <c r="P11" i="1687"/>
  <c r="AC11" i="1687" s="1"/>
  <c r="AD11" i="1687" s="1"/>
  <c r="M17" i="1687"/>
  <c r="P19" i="1687"/>
  <c r="AC19" i="1687" s="1"/>
  <c r="AD19" i="1687" s="1"/>
  <c r="M19" i="1687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1686"/>
  <c r="K21" i="1686" s="1"/>
  <c r="L19" i="1686"/>
  <c r="O19" i="1686" s="1"/>
  <c r="L18" i="1686"/>
  <c r="L17" i="1686"/>
  <c r="P17" i="1686" s="1"/>
  <c r="AC17" i="1686" s="1"/>
  <c r="L16" i="1686"/>
  <c r="AB16" i="1686" s="1"/>
  <c r="L15" i="1686"/>
  <c r="O15" i="1686" s="1"/>
  <c r="L13" i="1686"/>
  <c r="O13" i="1686" s="1"/>
  <c r="K13" i="1686"/>
  <c r="AF13" i="1686"/>
  <c r="AE13" i="1686"/>
  <c r="Q13" i="1686"/>
  <c r="P13" i="1686"/>
  <c r="AC13" i="1686" s="1"/>
  <c r="AB13" i="1686"/>
  <c r="L12" i="1686"/>
  <c r="O12" i="1686" s="1"/>
  <c r="L11" i="1686"/>
  <c r="I10" i="1686"/>
  <c r="L10" i="1686"/>
  <c r="K10" i="1686" s="1"/>
  <c r="L9" i="1686"/>
  <c r="K9" i="1686" s="1"/>
  <c r="L8" i="1686"/>
  <c r="K8" i="1686" s="1"/>
  <c r="L7" i="1686"/>
  <c r="P7" i="1686" s="1"/>
  <c r="AC7" i="1686" s="1"/>
  <c r="L6" i="1686"/>
  <c r="K6" i="1686" s="1"/>
  <c r="K20" i="1686"/>
  <c r="K19" i="1686"/>
  <c r="K18" i="1686"/>
  <c r="K17" i="1686"/>
  <c r="K16" i="1686"/>
  <c r="K15" i="1686"/>
  <c r="K12" i="1686"/>
  <c r="K11" i="1686"/>
  <c r="A79" i="1686"/>
  <c r="A80" i="1686" s="1"/>
  <c r="A81" i="1686" s="1"/>
  <c r="A82" i="1686" s="1"/>
  <c r="A78" i="1686"/>
  <c r="A77" i="1686"/>
  <c r="AF61" i="1686"/>
  <c r="AF60" i="1686"/>
  <c r="AF63" i="1686" s="1"/>
  <c r="AA22" i="1686"/>
  <c r="Z22" i="1686"/>
  <c r="Y22" i="1686"/>
  <c r="X22" i="1686"/>
  <c r="W22" i="1686"/>
  <c r="V22" i="1686"/>
  <c r="U22" i="1686"/>
  <c r="T22" i="1686"/>
  <c r="S22" i="1686"/>
  <c r="R22" i="1686"/>
  <c r="N22" i="1686"/>
  <c r="J22" i="1686"/>
  <c r="AF21" i="1686"/>
  <c r="Q21" i="1686"/>
  <c r="AF20" i="1686"/>
  <c r="AB20" i="1686"/>
  <c r="Q20" i="1686"/>
  <c r="P20" i="1686" s="1"/>
  <c r="AC20" i="1686" s="1"/>
  <c r="O20" i="1686"/>
  <c r="M20" i="1686"/>
  <c r="AF19" i="1686"/>
  <c r="AB19" i="1686"/>
  <c r="Q19" i="1686"/>
  <c r="M19" i="1686"/>
  <c r="P19" i="1686"/>
  <c r="AC19" i="1686" s="1"/>
  <c r="AF18" i="1686"/>
  <c r="AB18" i="1686"/>
  <c r="Q18" i="1686"/>
  <c r="P18" i="1686" s="1"/>
  <c r="AC18" i="1686" s="1"/>
  <c r="M18" i="1686"/>
  <c r="AF17" i="1686"/>
  <c r="Q17" i="1686"/>
  <c r="AF16" i="1686"/>
  <c r="Q16" i="1686"/>
  <c r="P16" i="1686"/>
  <c r="AC16" i="1686" s="1"/>
  <c r="O16" i="1686"/>
  <c r="I16" i="1686"/>
  <c r="I22" i="1686" s="1"/>
  <c r="AF15" i="1686"/>
  <c r="Q15" i="1686"/>
  <c r="P15" i="1686" s="1"/>
  <c r="AC15" i="1686" s="1"/>
  <c r="AB15" i="1686"/>
  <c r="AF14" i="1686"/>
  <c r="AB14" i="1686"/>
  <c r="Q14" i="1686"/>
  <c r="P14" i="1686"/>
  <c r="AC14" i="1686" s="1"/>
  <c r="O14" i="1686"/>
  <c r="M14" i="1686"/>
  <c r="K14" i="1686"/>
  <c r="AF12" i="1686"/>
  <c r="Q12" i="1686"/>
  <c r="P12" i="1686"/>
  <c r="AC12" i="1686" s="1"/>
  <c r="AB12" i="1686"/>
  <c r="AF11" i="1686"/>
  <c r="AC11" i="1686"/>
  <c r="AB11" i="1686"/>
  <c r="Q11" i="1686"/>
  <c r="P11" i="1686"/>
  <c r="O11" i="1686"/>
  <c r="M11" i="1686"/>
  <c r="AF10" i="1686"/>
  <c r="Q10" i="1686"/>
  <c r="M10" i="1686"/>
  <c r="P10" i="1686"/>
  <c r="AC10" i="1686" s="1"/>
  <c r="AF9" i="1686"/>
  <c r="Q9" i="1686"/>
  <c r="P9" i="1686"/>
  <c r="AC9" i="1686" s="1"/>
  <c r="AF8" i="1686"/>
  <c r="Q8" i="1686"/>
  <c r="P8" i="1686" s="1"/>
  <c r="AC8" i="1686" s="1"/>
  <c r="O8" i="1686"/>
  <c r="AB8" i="1686"/>
  <c r="AF7" i="1686"/>
  <c r="AB7" i="1686"/>
  <c r="Q7" i="1686"/>
  <c r="O7" i="1686"/>
  <c r="M7" i="1686"/>
  <c r="AF6" i="1686"/>
  <c r="Q6" i="1686"/>
  <c r="M6" i="1686"/>
  <c r="P6" i="1686"/>
  <c r="AE8" i="1689" l="1"/>
  <c r="AE14" i="1689"/>
  <c r="AE20" i="1689"/>
  <c r="AE10" i="1689"/>
  <c r="AE19" i="1689"/>
  <c r="AE6" i="1689"/>
  <c r="AE7" i="1689"/>
  <c r="AE17" i="1689"/>
  <c r="AE12" i="1689"/>
  <c r="AE13" i="1689"/>
  <c r="AE18" i="1689"/>
  <c r="AE11" i="1689"/>
  <c r="AE24" i="1689"/>
  <c r="AE22" i="1689"/>
  <c r="AE15" i="1689"/>
  <c r="AE16" i="1689"/>
  <c r="AE23" i="1689"/>
  <c r="AE9" i="1689"/>
  <c r="AD23" i="1688"/>
  <c r="AE22" i="1688" s="1"/>
  <c r="M22" i="1687"/>
  <c r="AC22" i="1687"/>
  <c r="AD6" i="1687"/>
  <c r="AD22" i="1687" s="1"/>
  <c r="P22" i="1687"/>
  <c r="AB22" i="1687"/>
  <c r="AB21" i="1686"/>
  <c r="P21" i="1686"/>
  <c r="AC21" i="1686" s="1"/>
  <c r="M21" i="1686"/>
  <c r="AD19" i="1686"/>
  <c r="AD13" i="1686"/>
  <c r="M13" i="1686"/>
  <c r="AB10" i="1686"/>
  <c r="Q22" i="1686"/>
  <c r="K7" i="1686"/>
  <c r="AB6" i="1686"/>
  <c r="AD7" i="1686"/>
  <c r="AD11" i="1686"/>
  <c r="AD20" i="1686"/>
  <c r="AD14" i="1686"/>
  <c r="AD8" i="1686"/>
  <c r="AD16" i="1686"/>
  <c r="AC6" i="1686"/>
  <c r="P22" i="1686"/>
  <c r="AD12" i="1686"/>
  <c r="AD15" i="1686"/>
  <c r="M17" i="1686"/>
  <c r="AB17" i="1686"/>
  <c r="O18" i="1686"/>
  <c r="AD18" i="1686" s="1"/>
  <c r="O21" i="1686"/>
  <c r="L22" i="1686"/>
  <c r="O22" i="1686" s="1"/>
  <c r="O6" i="1686"/>
  <c r="M9" i="1686"/>
  <c r="AB9" i="1686"/>
  <c r="O10" i="1686"/>
  <c r="M8" i="1686"/>
  <c r="O9" i="1686"/>
  <c r="M12" i="1686"/>
  <c r="M15" i="1686"/>
  <c r="M16" i="1686"/>
  <c r="O17" i="168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1685"/>
  <c r="K21" i="1685"/>
  <c r="L19" i="1685"/>
  <c r="L18" i="1685"/>
  <c r="K18" i="1685"/>
  <c r="L17" i="1685"/>
  <c r="L16" i="1685"/>
  <c r="I16" i="1685"/>
  <c r="K16" i="1685"/>
  <c r="L15" i="1685"/>
  <c r="K15" i="1685" s="1"/>
  <c r="L13" i="1685"/>
  <c r="K13" i="1685" s="1"/>
  <c r="L12" i="1685"/>
  <c r="L11" i="1685"/>
  <c r="K11" i="1685" s="1"/>
  <c r="L10" i="1685"/>
  <c r="L9" i="1685"/>
  <c r="L8" i="1685"/>
  <c r="O8" i="1685" s="1"/>
  <c r="L7" i="1685"/>
  <c r="L6" i="1685"/>
  <c r="K20" i="1685"/>
  <c r="K19" i="1685"/>
  <c r="K17" i="1685"/>
  <c r="K12" i="1685"/>
  <c r="K10" i="1685"/>
  <c r="K9" i="1685"/>
  <c r="K8" i="1685"/>
  <c r="K7" i="1685"/>
  <c r="K6" i="1685"/>
  <c r="A77" i="1685"/>
  <c r="A78" i="1685" s="1"/>
  <c r="A79" i="1685" s="1"/>
  <c r="A80" i="1685" s="1"/>
  <c r="A81" i="1685" s="1"/>
  <c r="A82" i="1685" s="1"/>
  <c r="AF63" i="1685"/>
  <c r="AF61" i="1685"/>
  <c r="AF60" i="1685"/>
  <c r="AA22" i="1685"/>
  <c r="Z22" i="1685"/>
  <c r="Y22" i="1685"/>
  <c r="X22" i="1685"/>
  <c r="W22" i="1685"/>
  <c r="V22" i="1685"/>
  <c r="U22" i="1685"/>
  <c r="T22" i="1685"/>
  <c r="S22" i="1685"/>
  <c r="R22" i="1685"/>
  <c r="N22" i="1685"/>
  <c r="J22" i="1685"/>
  <c r="I22" i="1685"/>
  <c r="AF21" i="1685"/>
  <c r="AB21" i="1685"/>
  <c r="Q21" i="1685"/>
  <c r="P21" i="1685" s="1"/>
  <c r="AC21" i="1685" s="1"/>
  <c r="O21" i="1685"/>
  <c r="M21" i="1685"/>
  <c r="AF20" i="1685"/>
  <c r="Q20" i="1685"/>
  <c r="O20" i="1685"/>
  <c r="AF19" i="1685"/>
  <c r="Q19" i="1685"/>
  <c r="P19" i="1685"/>
  <c r="AC19" i="1685" s="1"/>
  <c r="AB19" i="1685"/>
  <c r="AF18" i="1685"/>
  <c r="Q18" i="1685"/>
  <c r="P18" i="1685"/>
  <c r="AC18" i="1685" s="1"/>
  <c r="O18" i="1685"/>
  <c r="AB18" i="1685"/>
  <c r="AF17" i="1685"/>
  <c r="AB17" i="1685"/>
  <c r="Q17" i="1685"/>
  <c r="P17" i="1685"/>
  <c r="AC17" i="1685" s="1"/>
  <c r="O17" i="1685"/>
  <c r="M17" i="1685"/>
  <c r="AF16" i="1685"/>
  <c r="Q16" i="1685"/>
  <c r="O16" i="1685"/>
  <c r="AF15" i="1685"/>
  <c r="Q15" i="1685"/>
  <c r="AF14" i="1685"/>
  <c r="AB14" i="1685"/>
  <c r="Q14" i="1685"/>
  <c r="P14" i="1685"/>
  <c r="AC14" i="1685" s="1"/>
  <c r="AD14" i="1685" s="1"/>
  <c r="O14" i="1685"/>
  <c r="M14" i="1685"/>
  <c r="K14" i="1685"/>
  <c r="AF13" i="1685"/>
  <c r="Q13" i="1685"/>
  <c r="P13" i="1685"/>
  <c r="AC13" i="1685" s="1"/>
  <c r="AB13" i="1685"/>
  <c r="AF12" i="1685"/>
  <c r="Q12" i="1685"/>
  <c r="P12" i="1685" s="1"/>
  <c r="AC12" i="1685" s="1"/>
  <c r="O12" i="1685"/>
  <c r="AB12" i="1685"/>
  <c r="AF11" i="1685"/>
  <c r="AB11" i="1685"/>
  <c r="Q11" i="1685"/>
  <c r="P11" i="1685"/>
  <c r="AC11" i="1685" s="1"/>
  <c r="O11" i="1685"/>
  <c r="M11" i="1685"/>
  <c r="AF10" i="1685"/>
  <c r="Q10" i="1685"/>
  <c r="M10" i="1685"/>
  <c r="AF9" i="1685"/>
  <c r="Q9" i="1685"/>
  <c r="P9" i="1685"/>
  <c r="AC9" i="1685" s="1"/>
  <c r="M9" i="1685"/>
  <c r="AF8" i="1685"/>
  <c r="Q8" i="1685"/>
  <c r="P8" i="1685"/>
  <c r="AC8" i="1685" s="1"/>
  <c r="AF7" i="1685"/>
  <c r="AB7" i="1685"/>
  <c r="Q7" i="1685"/>
  <c r="P7" i="1685"/>
  <c r="AC7" i="1685" s="1"/>
  <c r="O7" i="1685"/>
  <c r="M7" i="1685"/>
  <c r="AF6" i="1685"/>
  <c r="Q6" i="1685"/>
  <c r="M6" i="1685"/>
  <c r="AE20" i="1688" l="1"/>
  <c r="AE8" i="1688"/>
  <c r="AE11" i="1688"/>
  <c r="AE18" i="1688"/>
  <c r="AE12" i="1688"/>
  <c r="AE21" i="1688"/>
  <c r="AE10" i="1688"/>
  <c r="AE16" i="1688"/>
  <c r="AE19" i="1688"/>
  <c r="AE7" i="1688"/>
  <c r="AE13" i="1688"/>
  <c r="AE14" i="1688"/>
  <c r="AE9" i="1688"/>
  <c r="AE6" i="1688"/>
  <c r="AE17" i="1688"/>
  <c r="AE15" i="1688"/>
  <c r="AE21" i="1687"/>
  <c r="AE18" i="1687"/>
  <c r="AE9" i="1687"/>
  <c r="AE6" i="1687"/>
  <c r="AE19" i="1687"/>
  <c r="AE11" i="1687"/>
  <c r="AE16" i="1687"/>
  <c r="AE15" i="1687"/>
  <c r="AE12" i="1687"/>
  <c r="AE7" i="1687"/>
  <c r="AE10" i="1687"/>
  <c r="AE20" i="1687"/>
  <c r="AE17" i="1687"/>
  <c r="AE8" i="1687"/>
  <c r="AD21" i="1686"/>
  <c r="AD10" i="1686"/>
  <c r="AD9" i="1686"/>
  <c r="AB22" i="1686"/>
  <c r="M22" i="1686"/>
  <c r="AD17" i="1686"/>
  <c r="K22" i="1686"/>
  <c r="AD6" i="1686"/>
  <c r="AC22" i="1686"/>
  <c r="AD21" i="1685"/>
  <c r="O15" i="1685"/>
  <c r="M15" i="1685"/>
  <c r="P15" i="1685"/>
  <c r="AC15" i="1685" s="1"/>
  <c r="AB15" i="1685"/>
  <c r="Q22" i="1685"/>
  <c r="AB8" i="1685"/>
  <c r="AD8" i="1685" s="1"/>
  <c r="AD17" i="1685"/>
  <c r="AD7" i="1685"/>
  <c r="AD11" i="1685"/>
  <c r="AD18" i="1685"/>
  <c r="AD12" i="1685"/>
  <c r="AB6" i="1685"/>
  <c r="AB10" i="1685"/>
  <c r="O6" i="1685"/>
  <c r="AB9" i="1685"/>
  <c r="O10" i="1685"/>
  <c r="P6" i="1685"/>
  <c r="M8" i="1685"/>
  <c r="O9" i="1685"/>
  <c r="P10" i="1685"/>
  <c r="AC10" i="1685" s="1"/>
  <c r="M12" i="1685"/>
  <c r="O13" i="1685"/>
  <c r="AD13" i="1685" s="1"/>
  <c r="P16" i="1685"/>
  <c r="AC16" i="1685" s="1"/>
  <c r="M18" i="1685"/>
  <c r="O19" i="1685"/>
  <c r="AD19" i="1685" s="1"/>
  <c r="P20" i="1685"/>
  <c r="AC20" i="1685" s="1"/>
  <c r="L22" i="1685"/>
  <c r="O22" i="1685" s="1"/>
  <c r="M16" i="1685"/>
  <c r="AB16" i="1685"/>
  <c r="M20" i="1685"/>
  <c r="AB20" i="1685"/>
  <c r="M13" i="1685"/>
  <c r="M19" i="1685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1684"/>
  <c r="K20" i="1684" s="1"/>
  <c r="L19" i="1684"/>
  <c r="O19" i="1684" s="1"/>
  <c r="K19" i="1684"/>
  <c r="L18" i="1684"/>
  <c r="O18" i="1684" s="1"/>
  <c r="L17" i="1684"/>
  <c r="O17" i="1684" s="1"/>
  <c r="L16" i="1684"/>
  <c r="L13" i="1684"/>
  <c r="L12" i="1684"/>
  <c r="L11" i="1684"/>
  <c r="O11" i="1684" s="1"/>
  <c r="L10" i="1684"/>
  <c r="K10" i="1684"/>
  <c r="L9" i="1684"/>
  <c r="K9" i="1684" s="1"/>
  <c r="L8" i="1684"/>
  <c r="L7" i="1684"/>
  <c r="L6" i="1684"/>
  <c r="AB6" i="1684" s="1"/>
  <c r="K18" i="1684"/>
  <c r="K17" i="1684"/>
  <c r="K16" i="1684"/>
  <c r="K13" i="1684"/>
  <c r="K11" i="1684"/>
  <c r="K8" i="1684"/>
  <c r="K7" i="1684"/>
  <c r="A77" i="1684"/>
  <c r="A78" i="1684" s="1"/>
  <c r="A79" i="1684" s="1"/>
  <c r="A80" i="1684" s="1"/>
  <c r="A81" i="1684" s="1"/>
  <c r="A82" i="1684" s="1"/>
  <c r="AF61" i="1684"/>
  <c r="AF60" i="1684"/>
  <c r="AF63" i="1684" s="1"/>
  <c r="AA22" i="1684"/>
  <c r="Z22" i="1684"/>
  <c r="Y22" i="1684"/>
  <c r="X22" i="1684"/>
  <c r="W22" i="1684"/>
  <c r="V22" i="1684"/>
  <c r="U22" i="1684"/>
  <c r="T22" i="1684"/>
  <c r="S22" i="1684"/>
  <c r="R22" i="1684"/>
  <c r="N22" i="1684"/>
  <c r="J22" i="1684"/>
  <c r="I22" i="1684"/>
  <c r="AF21" i="1684"/>
  <c r="AB21" i="1684"/>
  <c r="Q21" i="1684"/>
  <c r="P21" i="1684"/>
  <c r="AC21" i="1684" s="1"/>
  <c r="AD21" i="1684" s="1"/>
  <c r="O21" i="1684"/>
  <c r="M21" i="1684"/>
  <c r="K21" i="1684"/>
  <c r="AF20" i="1684"/>
  <c r="Q20" i="1684"/>
  <c r="P20" i="1684" s="1"/>
  <c r="AC20" i="1684" s="1"/>
  <c r="O20" i="1684"/>
  <c r="M20" i="1684"/>
  <c r="AF19" i="1684"/>
  <c r="Q19" i="1684"/>
  <c r="P19" i="1684" s="1"/>
  <c r="AC19" i="1684" s="1"/>
  <c r="AF18" i="1684"/>
  <c r="Q18" i="1684"/>
  <c r="P18" i="1684" s="1"/>
  <c r="AC18" i="1684" s="1"/>
  <c r="AF17" i="1684"/>
  <c r="Q17" i="1684"/>
  <c r="P17" i="1684"/>
  <c r="AC17" i="1684" s="1"/>
  <c r="AF16" i="1684"/>
  <c r="AB16" i="1684"/>
  <c r="Q16" i="1684"/>
  <c r="P16" i="1684" s="1"/>
  <c r="AC16" i="1684" s="1"/>
  <c r="O16" i="1684"/>
  <c r="M16" i="1684"/>
  <c r="AF15" i="1684"/>
  <c r="AB15" i="1684"/>
  <c r="Q15" i="1684"/>
  <c r="P15" i="1684"/>
  <c r="AC15" i="1684" s="1"/>
  <c r="O15" i="1684"/>
  <c r="M15" i="1684"/>
  <c r="K15" i="1684"/>
  <c r="AF14" i="1684"/>
  <c r="AB14" i="1684"/>
  <c r="Q14" i="1684"/>
  <c r="P14" i="1684"/>
  <c r="AC14" i="1684" s="1"/>
  <c r="AD14" i="1684" s="1"/>
  <c r="O14" i="1684"/>
  <c r="M14" i="1684"/>
  <c r="K14" i="1684"/>
  <c r="AF13" i="1684"/>
  <c r="Q13" i="1684"/>
  <c r="P13" i="1684" s="1"/>
  <c r="AC13" i="1684" s="1"/>
  <c r="AB13" i="1684"/>
  <c r="AF12" i="1684"/>
  <c r="AB12" i="1684"/>
  <c r="Q12" i="1684"/>
  <c r="P12" i="1684" s="1"/>
  <c r="AC12" i="1684" s="1"/>
  <c r="O12" i="1684"/>
  <c r="M12" i="1684"/>
  <c r="K12" i="1684"/>
  <c r="AF11" i="1684"/>
  <c r="AB11" i="1684"/>
  <c r="Q11" i="1684"/>
  <c r="P11" i="1684" s="1"/>
  <c r="AC11" i="1684" s="1"/>
  <c r="AF10" i="1684"/>
  <c r="AB10" i="1684"/>
  <c r="Q10" i="1684"/>
  <c r="P10" i="1684" s="1"/>
  <c r="AC10" i="1684" s="1"/>
  <c r="O10" i="1684"/>
  <c r="M10" i="1684"/>
  <c r="AF9" i="1684"/>
  <c r="Q9" i="1684"/>
  <c r="O9" i="1684"/>
  <c r="AF8" i="1684"/>
  <c r="AB8" i="1684"/>
  <c r="Q8" i="1684"/>
  <c r="P8" i="1684"/>
  <c r="AC8" i="1684" s="1"/>
  <c r="O8" i="1684"/>
  <c r="M8" i="1684"/>
  <c r="AF7" i="1684"/>
  <c r="AB7" i="1684"/>
  <c r="Q7" i="1684"/>
  <c r="P7" i="1684"/>
  <c r="AC7" i="1684" s="1"/>
  <c r="O7" i="1684"/>
  <c r="M7" i="1684"/>
  <c r="AF6" i="1684"/>
  <c r="Q6" i="1684"/>
  <c r="O6" i="1684"/>
  <c r="M6" i="1684"/>
  <c r="AD22" i="1686" l="1"/>
  <c r="AE21" i="1686" s="1"/>
  <c r="AD15" i="1685"/>
  <c r="AB22" i="1685"/>
  <c r="AD9" i="1685"/>
  <c r="M22" i="1685"/>
  <c r="AD20" i="1685"/>
  <c r="AD16" i="1685"/>
  <c r="AD10" i="1685"/>
  <c r="P22" i="1685"/>
  <c r="AC6" i="1685"/>
  <c r="K22" i="1685"/>
  <c r="AB20" i="1684"/>
  <c r="AD20" i="1684" s="1"/>
  <c r="M19" i="1684"/>
  <c r="AB19" i="1684"/>
  <c r="M18" i="1684"/>
  <c r="AB18" i="1684"/>
  <c r="AD18" i="1684" s="1"/>
  <c r="L22" i="1684"/>
  <c r="O22" i="1684" s="1"/>
  <c r="AB17" i="1684"/>
  <c r="AD16" i="1684"/>
  <c r="AD12" i="1684"/>
  <c r="M11" i="1684"/>
  <c r="AD11" i="1684"/>
  <c r="Q22" i="1684"/>
  <c r="AD7" i="1684"/>
  <c r="K6" i="1684"/>
  <c r="AD10" i="1684"/>
  <c r="AD15" i="1684"/>
  <c r="AD19" i="1684"/>
  <c r="AD8" i="1684"/>
  <c r="AD17" i="1684"/>
  <c r="P6" i="1684"/>
  <c r="K22" i="1684"/>
  <c r="P9" i="1684"/>
  <c r="AC9" i="1684" s="1"/>
  <c r="O13" i="1684"/>
  <c r="AD13" i="1684" s="1"/>
  <c r="M17" i="1684"/>
  <c r="M9" i="1684"/>
  <c r="AB9" i="1684"/>
  <c r="M13" i="1684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K19" i="1683"/>
  <c r="AF19" i="1683"/>
  <c r="Q19" i="1683"/>
  <c r="M19" i="1683"/>
  <c r="AB19" i="1683"/>
  <c r="L17" i="1683"/>
  <c r="K17" i="1683" s="1"/>
  <c r="L13" i="1683"/>
  <c r="L9" i="1683"/>
  <c r="K9" i="1683" s="1"/>
  <c r="L7" i="1683"/>
  <c r="O7" i="1683" s="1"/>
  <c r="K20" i="1683"/>
  <c r="K18" i="1683"/>
  <c r="K16" i="1683"/>
  <c r="K15" i="1683"/>
  <c r="K13" i="1683"/>
  <c r="K12" i="1683"/>
  <c r="K11" i="1683"/>
  <c r="K8" i="1683"/>
  <c r="K6" i="1683"/>
  <c r="A78" i="1683"/>
  <c r="A79" i="1683" s="1"/>
  <c r="A80" i="1683" s="1"/>
  <c r="A81" i="1683" s="1"/>
  <c r="A82" i="1683" s="1"/>
  <c r="A77" i="1683"/>
  <c r="AF61" i="1683"/>
  <c r="AF60" i="1683"/>
  <c r="AA22" i="1683"/>
  <c r="Z22" i="1683"/>
  <c r="Y22" i="1683"/>
  <c r="X22" i="1683"/>
  <c r="W22" i="1683"/>
  <c r="V22" i="1683"/>
  <c r="U22" i="1683"/>
  <c r="T22" i="1683"/>
  <c r="S22" i="1683"/>
  <c r="R22" i="1683"/>
  <c r="N22" i="1683"/>
  <c r="J22" i="1683"/>
  <c r="I22" i="1683"/>
  <c r="AF21" i="1683"/>
  <c r="AB21" i="1683"/>
  <c r="Q21" i="1683"/>
  <c r="P21" i="1683"/>
  <c r="AC21" i="1683" s="1"/>
  <c r="O21" i="1683"/>
  <c r="M21" i="1683"/>
  <c r="K21" i="1683"/>
  <c r="AF20" i="1683"/>
  <c r="Q20" i="1683"/>
  <c r="O20" i="1683"/>
  <c r="AF18" i="1683"/>
  <c r="Q18" i="1683"/>
  <c r="P18" i="1683" s="1"/>
  <c r="AC18" i="1683" s="1"/>
  <c r="O18" i="1683"/>
  <c r="AB18" i="1683"/>
  <c r="AF17" i="1683"/>
  <c r="Q17" i="1683"/>
  <c r="P17" i="1683" s="1"/>
  <c r="AC17" i="1683" s="1"/>
  <c r="AF16" i="1683"/>
  <c r="Q16" i="1683"/>
  <c r="P16" i="1683" s="1"/>
  <c r="AC16" i="1683" s="1"/>
  <c r="O16" i="1683"/>
  <c r="AB16" i="1683"/>
  <c r="AF15" i="1683"/>
  <c r="AB15" i="1683"/>
  <c r="Q15" i="1683"/>
  <c r="P15" i="1683"/>
  <c r="AC15" i="1683" s="1"/>
  <c r="O15" i="1683"/>
  <c r="M15" i="1683"/>
  <c r="AF14" i="1683"/>
  <c r="AB14" i="1683"/>
  <c r="Q14" i="1683"/>
  <c r="P14" i="1683"/>
  <c r="AC14" i="1683" s="1"/>
  <c r="O14" i="1683"/>
  <c r="M14" i="1683"/>
  <c r="K14" i="1683"/>
  <c r="AF13" i="1683"/>
  <c r="AB13" i="1683"/>
  <c r="Q13" i="1683"/>
  <c r="P13" i="1683" s="1"/>
  <c r="AC13" i="1683" s="1"/>
  <c r="O13" i="1683"/>
  <c r="M13" i="1683"/>
  <c r="AF12" i="1683"/>
  <c r="Q12" i="1683"/>
  <c r="P12" i="1683"/>
  <c r="AC12" i="1683" s="1"/>
  <c r="AB12" i="1683"/>
  <c r="AF11" i="1683"/>
  <c r="AB11" i="1683"/>
  <c r="Q11" i="1683"/>
  <c r="P11" i="1683" s="1"/>
  <c r="AC11" i="1683" s="1"/>
  <c r="O11" i="1683"/>
  <c r="M11" i="1683"/>
  <c r="AF10" i="1683"/>
  <c r="AC10" i="1683"/>
  <c r="AB10" i="1683"/>
  <c r="Q10" i="1683"/>
  <c r="P10" i="1683"/>
  <c r="O10" i="1683"/>
  <c r="M10" i="1683"/>
  <c r="K10" i="1683"/>
  <c r="AF9" i="1683"/>
  <c r="Q9" i="1683"/>
  <c r="P9" i="1683" s="1"/>
  <c r="AC9" i="1683" s="1"/>
  <c r="AF8" i="1683"/>
  <c r="AB8" i="1683"/>
  <c r="Q8" i="1683"/>
  <c r="P8" i="1683" s="1"/>
  <c r="AC8" i="1683" s="1"/>
  <c r="O8" i="1683"/>
  <c r="M8" i="1683"/>
  <c r="AF7" i="1683"/>
  <c r="AB7" i="1683"/>
  <c r="Q7" i="1683"/>
  <c r="M7" i="1683"/>
  <c r="P7" i="1683"/>
  <c r="AC7" i="1683" s="1"/>
  <c r="AF6" i="1683"/>
  <c r="Q6" i="1683"/>
  <c r="O6" i="1683"/>
  <c r="AE20" i="1686" l="1"/>
  <c r="AE14" i="1686"/>
  <c r="AE16" i="1686"/>
  <c r="AE8" i="1686"/>
  <c r="AE19" i="1686"/>
  <c r="AE9" i="1686"/>
  <c r="AE12" i="1686"/>
  <c r="AE10" i="1686"/>
  <c r="AE11" i="1686"/>
  <c r="AE18" i="1686"/>
  <c r="AE15" i="1686"/>
  <c r="AE17" i="1686"/>
  <c r="AE7" i="1686"/>
  <c r="AE6" i="1686"/>
  <c r="AC22" i="1685"/>
  <c r="AD6" i="1685"/>
  <c r="AD22" i="1685" s="1"/>
  <c r="AB22" i="1684"/>
  <c r="M22" i="1684"/>
  <c r="P22" i="1684"/>
  <c r="AC6" i="1684"/>
  <c r="AD9" i="1684"/>
  <c r="AB9" i="1683"/>
  <c r="AF63" i="1683"/>
  <c r="AB17" i="1683"/>
  <c r="O19" i="1683"/>
  <c r="P19" i="1683"/>
  <c r="AC19" i="1683" s="1"/>
  <c r="AD21" i="1683"/>
  <c r="AD11" i="1683"/>
  <c r="Q22" i="1683"/>
  <c r="K7" i="1683"/>
  <c r="AD7" i="1683"/>
  <c r="P4" i="16" s="1"/>
  <c r="AD15" i="1683"/>
  <c r="AD8" i="1683"/>
  <c r="P5" i="16" s="1"/>
  <c r="AD10" i="1683"/>
  <c r="AD13" i="1683"/>
  <c r="AD14" i="1683"/>
  <c r="AD16" i="1683"/>
  <c r="AD18" i="1683"/>
  <c r="M6" i="1683"/>
  <c r="P6" i="1683"/>
  <c r="O9" i="1683"/>
  <c r="AD9" i="1683" s="1"/>
  <c r="O12" i="1683"/>
  <c r="AD12" i="1683" s="1"/>
  <c r="M16" i="1683"/>
  <c r="O17" i="1683"/>
  <c r="AD17" i="1683" s="1"/>
  <c r="M18" i="1683"/>
  <c r="P20" i="1683"/>
  <c r="AC20" i="1683" s="1"/>
  <c r="L22" i="1683"/>
  <c r="O22" i="1683" s="1"/>
  <c r="M20" i="1683"/>
  <c r="AB20" i="1683"/>
  <c r="AB6" i="1683"/>
  <c r="M9" i="1683"/>
  <c r="M12" i="1683"/>
  <c r="M17" i="1683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2" i="1682"/>
  <c r="K22" i="1682" s="1"/>
  <c r="L21" i="1682"/>
  <c r="K21" i="1682" s="1"/>
  <c r="L20" i="1682"/>
  <c r="M20" i="1682" s="1"/>
  <c r="K20" i="1682"/>
  <c r="AF20" i="1682"/>
  <c r="Q20" i="1682"/>
  <c r="O20" i="1682"/>
  <c r="L18" i="1682"/>
  <c r="O18" i="1682" s="1"/>
  <c r="L17" i="1682"/>
  <c r="K17" i="1682" s="1"/>
  <c r="L14" i="1682"/>
  <c r="K14" i="1682" s="1"/>
  <c r="AF14" i="1682"/>
  <c r="Q14" i="1682"/>
  <c r="M14" i="1682"/>
  <c r="L13" i="1682"/>
  <c r="K13" i="1682" s="1"/>
  <c r="L12" i="1682"/>
  <c r="L11" i="1682"/>
  <c r="L9" i="1682"/>
  <c r="O9" i="1682" s="1"/>
  <c r="L8" i="1682"/>
  <c r="K8" i="1682" s="1"/>
  <c r="L7" i="1682"/>
  <c r="L6" i="1682"/>
  <c r="O6" i="1682" s="1"/>
  <c r="K19" i="1682"/>
  <c r="K16" i="1682"/>
  <c r="K15" i="1682"/>
  <c r="K12" i="1682"/>
  <c r="K11" i="1682"/>
  <c r="K10" i="1682"/>
  <c r="K9" i="1682"/>
  <c r="K7" i="1682"/>
  <c r="K6" i="1682"/>
  <c r="A79" i="1682"/>
  <c r="A80" i="1682" s="1"/>
  <c r="A81" i="1682" s="1"/>
  <c r="A82" i="1682" s="1"/>
  <c r="A83" i="1682" s="1"/>
  <c r="A84" i="1682" s="1"/>
  <c r="AF63" i="1682"/>
  <c r="AF62" i="1682"/>
  <c r="AA24" i="1682"/>
  <c r="Z24" i="1682"/>
  <c r="Y24" i="1682"/>
  <c r="X24" i="1682"/>
  <c r="W24" i="1682"/>
  <c r="V24" i="1682"/>
  <c r="U24" i="1682"/>
  <c r="T24" i="1682"/>
  <c r="S24" i="1682"/>
  <c r="R24" i="1682"/>
  <c r="N24" i="1682"/>
  <c r="J24" i="1682"/>
  <c r="I24" i="1682"/>
  <c r="AF23" i="1682"/>
  <c r="AB23" i="1682"/>
  <c r="Q23" i="1682"/>
  <c r="P23" i="1682"/>
  <c r="AC23" i="1682" s="1"/>
  <c r="O23" i="1682"/>
  <c r="M23" i="1682"/>
  <c r="K23" i="1682"/>
  <c r="AF22" i="1682"/>
  <c r="Q22" i="1682"/>
  <c r="O22" i="1682"/>
  <c r="AF21" i="1682"/>
  <c r="Q21" i="1682"/>
  <c r="AF19" i="1682"/>
  <c r="Q19" i="1682"/>
  <c r="P19" i="1682" s="1"/>
  <c r="AC19" i="1682" s="1"/>
  <c r="O19" i="1682"/>
  <c r="AB19" i="1682"/>
  <c r="AF18" i="1682"/>
  <c r="Q18" i="1682"/>
  <c r="AF17" i="1682"/>
  <c r="Q17" i="1682"/>
  <c r="AF16" i="1682"/>
  <c r="Q16" i="1682"/>
  <c r="P16" i="1682" s="1"/>
  <c r="AC16" i="1682" s="1"/>
  <c r="AB16" i="1682"/>
  <c r="AF15" i="1682"/>
  <c r="AB15" i="1682"/>
  <c r="Q15" i="1682"/>
  <c r="P15" i="1682"/>
  <c r="AC15" i="1682" s="1"/>
  <c r="O15" i="1682"/>
  <c r="M15" i="1682"/>
  <c r="AF13" i="1682"/>
  <c r="Q13" i="1682"/>
  <c r="AF12" i="1682"/>
  <c r="Q12" i="1682"/>
  <c r="P12" i="1682" s="1"/>
  <c r="AC12" i="1682" s="1"/>
  <c r="AB12" i="1682"/>
  <c r="AF11" i="1682"/>
  <c r="Q11" i="1682"/>
  <c r="P11" i="1682" s="1"/>
  <c r="AC11" i="1682" s="1"/>
  <c r="O11" i="1682"/>
  <c r="AB11" i="1682"/>
  <c r="AF10" i="1682"/>
  <c r="AB10" i="1682"/>
  <c r="Q10" i="1682"/>
  <c r="P10" i="1682"/>
  <c r="AC10" i="1682" s="1"/>
  <c r="O10" i="1682"/>
  <c r="M10" i="1682"/>
  <c r="AF9" i="1682"/>
  <c r="Q9" i="1682"/>
  <c r="AF8" i="1682"/>
  <c r="Q8" i="1682"/>
  <c r="AF7" i="1682"/>
  <c r="Q7" i="1682"/>
  <c r="P7" i="1682" s="1"/>
  <c r="AC7" i="1682" s="1"/>
  <c r="O7" i="1682"/>
  <c r="AB7" i="1682"/>
  <c r="AF6" i="1682"/>
  <c r="Q6" i="1682"/>
  <c r="AE21" i="1685" l="1"/>
  <c r="AE18" i="1685"/>
  <c r="AE12" i="1685"/>
  <c r="AE13" i="1685"/>
  <c r="AE9" i="1685"/>
  <c r="AE19" i="1685"/>
  <c r="AE15" i="1685"/>
  <c r="AE20" i="1685"/>
  <c r="AE16" i="1685"/>
  <c r="AE10" i="1685"/>
  <c r="AE6" i="1685"/>
  <c r="AE17" i="1685"/>
  <c r="AE14" i="1685"/>
  <c r="AE11" i="1685"/>
  <c r="AE7" i="1685"/>
  <c r="AE8" i="1685"/>
  <c r="AC22" i="1684"/>
  <c r="AD6" i="1684"/>
  <c r="AD22" i="1684" s="1"/>
  <c r="AB22" i="1683"/>
  <c r="AD19" i="1683"/>
  <c r="AD20" i="1683"/>
  <c r="M22" i="1683"/>
  <c r="K22" i="1683"/>
  <c r="AC6" i="1683"/>
  <c r="P22" i="1683"/>
  <c r="AD15" i="1682"/>
  <c r="AF65" i="1682"/>
  <c r="AB14" i="1682"/>
  <c r="AB21" i="1682"/>
  <c r="P21" i="1682"/>
  <c r="AC21" i="1682" s="1"/>
  <c r="AB20" i="1682"/>
  <c r="P20" i="1682"/>
  <c r="AC20" i="1682" s="1"/>
  <c r="AD23" i="1682"/>
  <c r="AD10" i="1682"/>
  <c r="M18" i="1682"/>
  <c r="K18" i="1682"/>
  <c r="K24" i="1682" s="1"/>
  <c r="P18" i="1682"/>
  <c r="AC18" i="1682" s="1"/>
  <c r="AB18" i="1682"/>
  <c r="O17" i="1682"/>
  <c r="L24" i="1682"/>
  <c r="O24" i="1682" s="1"/>
  <c r="O14" i="1682"/>
  <c r="P14" i="1682"/>
  <c r="AC14" i="1682" s="1"/>
  <c r="M13" i="1682"/>
  <c r="Q24" i="1682"/>
  <c r="AB8" i="1682"/>
  <c r="P8" i="1682"/>
  <c r="AC8" i="1682" s="1"/>
  <c r="P6" i="1682"/>
  <c r="AC6" i="1682" s="1"/>
  <c r="M6" i="1682"/>
  <c r="AB6" i="1682"/>
  <c r="AD7" i="1682"/>
  <c r="AD11" i="1682"/>
  <c r="AD19" i="1682"/>
  <c r="AB9" i="1682"/>
  <c r="AB13" i="1682"/>
  <c r="AB17" i="1682"/>
  <c r="M22" i="1682"/>
  <c r="M8" i="1682"/>
  <c r="M12" i="1682"/>
  <c r="O13" i="1682"/>
  <c r="M16" i="1682"/>
  <c r="M21" i="1682"/>
  <c r="M7" i="1682"/>
  <c r="O8" i="1682"/>
  <c r="P9" i="1682"/>
  <c r="AC9" i="1682" s="1"/>
  <c r="M11" i="1682"/>
  <c r="O12" i="1682"/>
  <c r="AD12" i="1682" s="1"/>
  <c r="P13" i="1682"/>
  <c r="AC13" i="1682" s="1"/>
  <c r="O16" i="1682"/>
  <c r="AD16" i="1682" s="1"/>
  <c r="P17" i="1682"/>
  <c r="AC17" i="1682" s="1"/>
  <c r="M19" i="1682"/>
  <c r="O21" i="1682"/>
  <c r="P22" i="1682"/>
  <c r="AC22" i="1682" s="1"/>
  <c r="M9" i="1682"/>
  <c r="M17" i="1682"/>
  <c r="AB22" i="1682"/>
  <c r="AD23" i="1680"/>
  <c r="AC23" i="1680"/>
  <c r="AB23" i="1680"/>
  <c r="AD25" i="1679"/>
  <c r="AC25" i="1679"/>
  <c r="AB25" i="1679"/>
  <c r="AD23" i="1678"/>
  <c r="AC23" i="1678"/>
  <c r="AB23" i="1678"/>
  <c r="AD22" i="1677"/>
  <c r="AC22" i="1677"/>
  <c r="AB22" i="1677"/>
  <c r="AD22" i="1676"/>
  <c r="AC22" i="1676"/>
  <c r="AB22" i="1676"/>
  <c r="AD22" i="1675"/>
  <c r="AC22" i="1675"/>
  <c r="AB22" i="1675"/>
  <c r="AD24" i="1674"/>
  <c r="AC24" i="1674"/>
  <c r="AB24" i="1674"/>
  <c r="AD22" i="1673"/>
  <c r="AC22" i="1673"/>
  <c r="AB22" i="1673"/>
  <c r="AD23" i="1672"/>
  <c r="AC23" i="1672"/>
  <c r="AB23" i="1672"/>
  <c r="AD24" i="1671"/>
  <c r="AC24" i="1671"/>
  <c r="AB24" i="1671"/>
  <c r="AD22" i="1670"/>
  <c r="AC22" i="1670"/>
  <c r="AB22" i="1670"/>
  <c r="AD24" i="1681"/>
  <c r="N19" i="16" s="1"/>
  <c r="AC24" i="1681"/>
  <c r="AB24" i="1681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2" i="1681"/>
  <c r="L21" i="1681"/>
  <c r="AB21" i="1681" s="1"/>
  <c r="AF21" i="1681"/>
  <c r="Q21" i="1681"/>
  <c r="M21" i="1681"/>
  <c r="AF20" i="1681"/>
  <c r="AB20" i="1681"/>
  <c r="Q20" i="1681"/>
  <c r="P20" i="1681" s="1"/>
  <c r="AC20" i="1681" s="1"/>
  <c r="O20" i="1681"/>
  <c r="M20" i="1681"/>
  <c r="K20" i="1681"/>
  <c r="K19" i="1681"/>
  <c r="L18" i="1681"/>
  <c r="L17" i="1681"/>
  <c r="L16" i="1681"/>
  <c r="L15" i="1681"/>
  <c r="K15" i="1681" s="1"/>
  <c r="AE21" i="1684" l="1"/>
  <c r="AE19" i="1684"/>
  <c r="AE17" i="1684"/>
  <c r="AE12" i="1684"/>
  <c r="AE10" i="1684"/>
  <c r="AE6" i="1684"/>
  <c r="AE15" i="1684"/>
  <c r="AE11" i="1684"/>
  <c r="AE20" i="1684"/>
  <c r="AE18" i="1684"/>
  <c r="AE16" i="1684"/>
  <c r="AE14" i="1684"/>
  <c r="AE7" i="1684"/>
  <c r="AE13" i="1684"/>
  <c r="AE8" i="1684"/>
  <c r="AE9" i="1684"/>
  <c r="AC22" i="1683"/>
  <c r="AD6" i="1683"/>
  <c r="AD6" i="1682"/>
  <c r="AD21" i="1682"/>
  <c r="AE20" i="1682" s="1"/>
  <c r="AD20" i="1682"/>
  <c r="AD18" i="1682"/>
  <c r="AD17" i="1682"/>
  <c r="AD22" i="1682"/>
  <c r="AD14" i="1682"/>
  <c r="AD8" i="1682"/>
  <c r="AB24" i="1682"/>
  <c r="M24" i="1682"/>
  <c r="P24" i="1682"/>
  <c r="AC24" i="1682"/>
  <c r="AD13" i="1682"/>
  <c r="AD9" i="1682"/>
  <c r="P21" i="1681"/>
  <c r="AC21" i="1681" s="1"/>
  <c r="AD21" i="1681" s="1"/>
  <c r="O21" i="1681"/>
  <c r="K21" i="1681"/>
  <c r="AD20" i="1681"/>
  <c r="AD22" i="1683" l="1"/>
  <c r="P3" i="16"/>
  <c r="AE11" i="1683"/>
  <c r="AE12" i="1683"/>
  <c r="AE10" i="1683"/>
  <c r="AD24" i="1682"/>
  <c r="K14" i="1681"/>
  <c r="L13" i="1681"/>
  <c r="K13" i="1681" s="1"/>
  <c r="L12" i="1681"/>
  <c r="K12" i="1681" s="1"/>
  <c r="L11" i="1681"/>
  <c r="L10" i="1681"/>
  <c r="K10" i="1681" s="1"/>
  <c r="L9" i="1681"/>
  <c r="L8" i="1681"/>
  <c r="K8" i="1681" s="1"/>
  <c r="L7" i="1681"/>
  <c r="K7" i="1681" s="1"/>
  <c r="L6" i="1681"/>
  <c r="K6" i="1681" s="1"/>
  <c r="K22" i="1681"/>
  <c r="K18" i="1681"/>
  <c r="K17" i="1681"/>
  <c r="K16" i="1681"/>
  <c r="K11" i="1681"/>
  <c r="K9" i="1681"/>
  <c r="A79" i="1681"/>
  <c r="A80" i="1681" s="1"/>
  <c r="A81" i="1681" s="1"/>
  <c r="A82" i="1681" s="1"/>
  <c r="A83" i="1681" s="1"/>
  <c r="A84" i="1681" s="1"/>
  <c r="AF63" i="1681"/>
  <c r="AF62" i="1681"/>
  <c r="AA24" i="1681"/>
  <c r="Z24" i="1681"/>
  <c r="Y24" i="1681"/>
  <c r="X24" i="1681"/>
  <c r="W24" i="1681"/>
  <c r="V24" i="1681"/>
  <c r="U24" i="1681"/>
  <c r="T24" i="1681"/>
  <c r="S24" i="1681"/>
  <c r="R24" i="1681"/>
  <c r="N24" i="1681"/>
  <c r="J24" i="1681"/>
  <c r="I24" i="1681"/>
  <c r="AF23" i="1681"/>
  <c r="AB23" i="1681"/>
  <c r="Q23" i="1681"/>
  <c r="P23" i="1681"/>
  <c r="AC23" i="1681" s="1"/>
  <c r="AD23" i="1681" s="1"/>
  <c r="O23" i="1681"/>
  <c r="M23" i="1681"/>
  <c r="K23" i="1681"/>
  <c r="AF22" i="1681"/>
  <c r="Q22" i="1681"/>
  <c r="P22" i="1681"/>
  <c r="AC22" i="1681" s="1"/>
  <c r="O22" i="1681"/>
  <c r="AF19" i="1681"/>
  <c r="AB19" i="1681"/>
  <c r="Q19" i="1681"/>
  <c r="P19" i="1681" s="1"/>
  <c r="AC19" i="1681" s="1"/>
  <c r="O19" i="1681"/>
  <c r="M19" i="1681"/>
  <c r="AF18" i="1681"/>
  <c r="AB18" i="1681"/>
  <c r="Q18" i="1681"/>
  <c r="P18" i="1681" s="1"/>
  <c r="AC18" i="1681" s="1"/>
  <c r="O18" i="1681"/>
  <c r="M18" i="1681"/>
  <c r="AF17" i="1681"/>
  <c r="AC17" i="1681"/>
  <c r="AB17" i="1681"/>
  <c r="Q17" i="1681"/>
  <c r="P17" i="1681"/>
  <c r="O17" i="1681"/>
  <c r="M17" i="1681"/>
  <c r="AF16" i="1681"/>
  <c r="AB16" i="1681"/>
  <c r="Q16" i="1681"/>
  <c r="P16" i="1681" s="1"/>
  <c r="AC16" i="1681" s="1"/>
  <c r="O16" i="1681"/>
  <c r="M16" i="1681"/>
  <c r="AF15" i="1681"/>
  <c r="AB15" i="1681"/>
  <c r="Q15" i="1681"/>
  <c r="P15" i="1681" s="1"/>
  <c r="AC15" i="1681" s="1"/>
  <c r="O15" i="1681"/>
  <c r="M15" i="1681"/>
  <c r="AF14" i="1681"/>
  <c r="AB14" i="1681"/>
  <c r="Q14" i="1681"/>
  <c r="P14" i="1681" s="1"/>
  <c r="AC14" i="1681" s="1"/>
  <c r="O14" i="1681"/>
  <c r="M14" i="1681"/>
  <c r="AF13" i="1681"/>
  <c r="Q13" i="1681"/>
  <c r="AF12" i="1681"/>
  <c r="Q12" i="1681"/>
  <c r="P12" i="1681" s="1"/>
  <c r="AC12" i="1681" s="1"/>
  <c r="AF11" i="1681"/>
  <c r="AB11" i="1681"/>
  <c r="Q11" i="1681"/>
  <c r="P11" i="1681" s="1"/>
  <c r="AC11" i="1681" s="1"/>
  <c r="O11" i="1681"/>
  <c r="M11" i="1681"/>
  <c r="AF10" i="1681"/>
  <c r="AB10" i="1681"/>
  <c r="Q10" i="1681"/>
  <c r="P10" i="1681" s="1"/>
  <c r="AC10" i="1681" s="1"/>
  <c r="M10" i="1681"/>
  <c r="AF9" i="1681"/>
  <c r="Q9" i="1681"/>
  <c r="AF8" i="1681"/>
  <c r="Q8" i="1681"/>
  <c r="AF7" i="1681"/>
  <c r="AB7" i="1681"/>
  <c r="Q7" i="1681"/>
  <c r="O7" i="1681"/>
  <c r="M7" i="1681"/>
  <c r="AF6" i="1681"/>
  <c r="Q6" i="1681"/>
  <c r="O6" i="1681"/>
  <c r="AE17" i="1683" l="1"/>
  <c r="AE18" i="1683"/>
  <c r="AE19" i="1683"/>
  <c r="AE13" i="1683"/>
  <c r="AE9" i="1683"/>
  <c r="AE16" i="1683"/>
  <c r="AE6" i="1683"/>
  <c r="AE15" i="1683"/>
  <c r="AE14" i="1683"/>
  <c r="AE21" i="1683"/>
  <c r="AE7" i="1683"/>
  <c r="AE20" i="1683"/>
  <c r="AE8" i="1683"/>
  <c r="AE23" i="1682"/>
  <c r="AE14" i="1682"/>
  <c r="AE16" i="1682"/>
  <c r="AE9" i="1682"/>
  <c r="AE22" i="1682"/>
  <c r="AE21" i="1682"/>
  <c r="AE18" i="1682"/>
  <c r="AE17" i="1682"/>
  <c r="AE12" i="1682"/>
  <c r="AE6" i="1682"/>
  <c r="AE11" i="1682"/>
  <c r="AE10" i="1682"/>
  <c r="AE19" i="1682"/>
  <c r="AE13" i="1682"/>
  <c r="AE8" i="1682"/>
  <c r="AE15" i="1682"/>
  <c r="AE7" i="1682"/>
  <c r="AD19" i="1681"/>
  <c r="O12" i="1681"/>
  <c r="AF65" i="1681"/>
  <c r="AD18" i="1681"/>
  <c r="P13" i="1681"/>
  <c r="AC13" i="1681" s="1"/>
  <c r="AD11" i="1681"/>
  <c r="O10" i="1681"/>
  <c r="P9" i="1681"/>
  <c r="AC9" i="1681" s="1"/>
  <c r="Q24" i="1681"/>
  <c r="O8" i="1681"/>
  <c r="P8" i="1681"/>
  <c r="AC8" i="1681" s="1"/>
  <c r="P7" i="1681"/>
  <c r="AC7" i="1681" s="1"/>
  <c r="AD7" i="1681" s="1"/>
  <c r="P6" i="1681"/>
  <c r="AB6" i="1681"/>
  <c r="M6" i="1681"/>
  <c r="AD14" i="1681"/>
  <c r="AD17" i="1681"/>
  <c r="AD15" i="1681"/>
  <c r="AD16" i="1681"/>
  <c r="AD10" i="1681"/>
  <c r="AC6" i="1681"/>
  <c r="M8" i="1681"/>
  <c r="AB8" i="1681"/>
  <c r="O9" i="1681"/>
  <c r="M12" i="1681"/>
  <c r="AB12" i="1681"/>
  <c r="AD12" i="1681" s="1"/>
  <c r="O13" i="1681"/>
  <c r="M22" i="1681"/>
  <c r="AB22" i="1681"/>
  <c r="AD22" i="1681" s="1"/>
  <c r="L24" i="1681"/>
  <c r="O24" i="1681" s="1"/>
  <c r="M9" i="1681"/>
  <c r="AB9" i="1681"/>
  <c r="M13" i="1681"/>
  <c r="AB13" i="1681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AE21" i="1680"/>
  <c r="AE22" i="1680"/>
  <c r="L21" i="1680"/>
  <c r="AB21" i="1680" s="1"/>
  <c r="L20" i="1680"/>
  <c r="K20" i="1680" s="1"/>
  <c r="L19" i="1680"/>
  <c r="K19" i="1680"/>
  <c r="AF19" i="1680"/>
  <c r="AB19" i="1680"/>
  <c r="Q19" i="1680"/>
  <c r="P19" i="1680" s="1"/>
  <c r="AC19" i="1680" s="1"/>
  <c r="O19" i="1680"/>
  <c r="M19" i="1680"/>
  <c r="L17" i="1680"/>
  <c r="L16" i="1680"/>
  <c r="L13" i="1680"/>
  <c r="K13" i="1680" s="1"/>
  <c r="L12" i="1680"/>
  <c r="O12" i="1680" s="1"/>
  <c r="L11" i="1680"/>
  <c r="K11" i="1680" s="1"/>
  <c r="L10" i="1680"/>
  <c r="K10" i="1680" s="1"/>
  <c r="L9" i="1680"/>
  <c r="L8" i="1680"/>
  <c r="AB8" i="1680" s="1"/>
  <c r="L7" i="1680"/>
  <c r="AB7" i="1680" s="1"/>
  <c r="L6" i="1680"/>
  <c r="O6" i="1680" s="1"/>
  <c r="K18" i="1680"/>
  <c r="K17" i="1680"/>
  <c r="K16" i="1680"/>
  <c r="K12" i="1680"/>
  <c r="K9" i="1680"/>
  <c r="K6" i="1680"/>
  <c r="A78" i="1680"/>
  <c r="A79" i="1680" s="1"/>
  <c r="A80" i="1680" s="1"/>
  <c r="A81" i="1680" s="1"/>
  <c r="A82" i="1680" s="1"/>
  <c r="A83" i="1680" s="1"/>
  <c r="AF62" i="1680"/>
  <c r="AF61" i="1680"/>
  <c r="AF64" i="1680" s="1"/>
  <c r="AA23" i="1680"/>
  <c r="Z23" i="1680"/>
  <c r="Y23" i="1680"/>
  <c r="X23" i="1680"/>
  <c r="W23" i="1680"/>
  <c r="V23" i="1680"/>
  <c r="U23" i="1680"/>
  <c r="T23" i="1680"/>
  <c r="S23" i="1680"/>
  <c r="R23" i="1680"/>
  <c r="N23" i="1680"/>
  <c r="J23" i="1680"/>
  <c r="I23" i="1680"/>
  <c r="AF22" i="1680"/>
  <c r="AB22" i="1680"/>
  <c r="Q22" i="1680"/>
  <c r="P22" i="1680"/>
  <c r="AC22" i="1680" s="1"/>
  <c r="O22" i="1680"/>
  <c r="M22" i="1680"/>
  <c r="K22" i="1680"/>
  <c r="AF21" i="1680"/>
  <c r="Q21" i="1680"/>
  <c r="M21" i="1680"/>
  <c r="O21" i="1680"/>
  <c r="AF20" i="1680"/>
  <c r="Q20" i="1680"/>
  <c r="P20" i="1680" s="1"/>
  <c r="AC20" i="1680" s="1"/>
  <c r="O20" i="1680"/>
  <c r="AB20" i="1680"/>
  <c r="AF18" i="1680"/>
  <c r="AB18" i="1680"/>
  <c r="Q18" i="1680"/>
  <c r="P18" i="1680" s="1"/>
  <c r="AC18" i="1680" s="1"/>
  <c r="O18" i="1680"/>
  <c r="M18" i="1680"/>
  <c r="AF17" i="1680"/>
  <c r="AB17" i="1680"/>
  <c r="Q17" i="1680"/>
  <c r="M17" i="1680"/>
  <c r="O17" i="1680"/>
  <c r="AF16" i="1680"/>
  <c r="Q16" i="1680"/>
  <c r="AB16" i="1680"/>
  <c r="AF15" i="1680"/>
  <c r="AB15" i="1680"/>
  <c r="Q15" i="1680"/>
  <c r="P15" i="1680"/>
  <c r="AC15" i="1680" s="1"/>
  <c r="O15" i="1680"/>
  <c r="M15" i="1680"/>
  <c r="K15" i="1680"/>
  <c r="AF14" i="1680"/>
  <c r="AB14" i="1680"/>
  <c r="Q14" i="1680"/>
  <c r="P14" i="1680"/>
  <c r="AC14" i="1680" s="1"/>
  <c r="O14" i="1680"/>
  <c r="M14" i="1680"/>
  <c r="K14" i="1680"/>
  <c r="AF13" i="1680"/>
  <c r="Q13" i="1680"/>
  <c r="P13" i="1680" s="1"/>
  <c r="AC13" i="1680" s="1"/>
  <c r="AF12" i="1680"/>
  <c r="AB12" i="1680"/>
  <c r="Q12" i="1680"/>
  <c r="AF11" i="1680"/>
  <c r="Q11" i="1680"/>
  <c r="AF10" i="1680"/>
  <c r="Q10" i="1680"/>
  <c r="AF9" i="1680"/>
  <c r="AB9" i="1680"/>
  <c r="Q9" i="1680"/>
  <c r="O9" i="1680"/>
  <c r="M9" i="1680"/>
  <c r="AF8" i="1680"/>
  <c r="Q8" i="1680"/>
  <c r="O8" i="1680"/>
  <c r="M8" i="1680"/>
  <c r="AF7" i="1680"/>
  <c r="Q7" i="1680"/>
  <c r="O7" i="1680"/>
  <c r="AF6" i="1680"/>
  <c r="AB6" i="1680"/>
  <c r="Q6" i="1680"/>
  <c r="M6" i="1680"/>
  <c r="AD13" i="1681" l="1"/>
  <c r="AD9" i="1681"/>
  <c r="P24" i="1681"/>
  <c r="M24" i="1681"/>
  <c r="AD8" i="1681"/>
  <c r="K24" i="1681"/>
  <c r="AD6" i="1681"/>
  <c r="K21" i="1680"/>
  <c r="AB10" i="1680"/>
  <c r="AB13" i="1680"/>
  <c r="AD19" i="1680"/>
  <c r="P10" i="1680"/>
  <c r="AC10" i="1680" s="1"/>
  <c r="O13" i="1680"/>
  <c r="AD22" i="1680"/>
  <c r="P9" i="1680"/>
  <c r="AC9" i="1680" s="1"/>
  <c r="P8" i="1680"/>
  <c r="AC8" i="1680" s="1"/>
  <c r="AD8" i="1680" s="1"/>
  <c r="M12" i="1680"/>
  <c r="AD14" i="1680"/>
  <c r="K8" i="1680"/>
  <c r="O11" i="1680"/>
  <c r="P12" i="1680"/>
  <c r="AC12" i="1680" s="1"/>
  <c r="Q23" i="1680"/>
  <c r="P7" i="1680"/>
  <c r="AC7" i="1680" s="1"/>
  <c r="AD7" i="1680" s="1"/>
  <c r="K7" i="1680"/>
  <c r="L23" i="1680"/>
  <c r="O23" i="1680" s="1"/>
  <c r="P6" i="1680"/>
  <c r="AC6" i="1680" s="1"/>
  <c r="AD18" i="1680"/>
  <c r="AD12" i="1680"/>
  <c r="AD15" i="1680"/>
  <c r="AD9" i="1680"/>
  <c r="AD20" i="1680"/>
  <c r="AD13" i="1680"/>
  <c r="M11" i="1680"/>
  <c r="AD6" i="1680"/>
  <c r="M7" i="1680"/>
  <c r="O10" i="1680"/>
  <c r="AD10" i="1680" s="1"/>
  <c r="P11" i="1680"/>
  <c r="AC11" i="1680" s="1"/>
  <c r="M13" i="1680"/>
  <c r="O16" i="1680"/>
  <c r="P17" i="1680"/>
  <c r="AC17" i="1680" s="1"/>
  <c r="AD17" i="1680" s="1"/>
  <c r="M20" i="1680"/>
  <c r="P21" i="1680"/>
  <c r="AC21" i="1680" s="1"/>
  <c r="AD21" i="1680" s="1"/>
  <c r="P16" i="1680"/>
  <c r="AC16" i="1680" s="1"/>
  <c r="AD16" i="1680" s="1"/>
  <c r="AB11" i="1680"/>
  <c r="M10" i="1680"/>
  <c r="M16" i="1680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3" i="1679"/>
  <c r="K23" i="1679"/>
  <c r="AF23" i="1679"/>
  <c r="AE23" i="1679"/>
  <c r="AB23" i="1679"/>
  <c r="Q23" i="1679"/>
  <c r="O23" i="1679"/>
  <c r="M23" i="1679"/>
  <c r="L21" i="1679"/>
  <c r="K21" i="1679"/>
  <c r="L22" i="1679"/>
  <c r="L20" i="1679"/>
  <c r="L19" i="1679"/>
  <c r="L18" i="1679"/>
  <c r="K15" i="1679"/>
  <c r="K14" i="1679"/>
  <c r="AF15" i="1679"/>
  <c r="AB15" i="1679"/>
  <c r="Q15" i="1679"/>
  <c r="M15" i="1679"/>
  <c r="P15" i="1679"/>
  <c r="AC15" i="1679" s="1"/>
  <c r="AF14" i="1679"/>
  <c r="Q14" i="1679"/>
  <c r="P14" i="1679"/>
  <c r="AC14" i="1679" s="1"/>
  <c r="L13" i="1679"/>
  <c r="L12" i="1679"/>
  <c r="L11" i="1679"/>
  <c r="L10" i="1679"/>
  <c r="K9" i="1679"/>
  <c r="L7" i="1679"/>
  <c r="K7" i="1679" s="1"/>
  <c r="K23" i="1680" l="1"/>
  <c r="M23" i="1680"/>
  <c r="P23" i="1680"/>
  <c r="AD11" i="1680"/>
  <c r="AE19" i="1680" s="1"/>
  <c r="P23" i="1679"/>
  <c r="AC23" i="1679" s="1"/>
  <c r="AD23" i="1679"/>
  <c r="AB14" i="1679"/>
  <c r="AD14" i="1679" s="1"/>
  <c r="O15" i="1679"/>
  <c r="AD15" i="1679" s="1"/>
  <c r="O14" i="1679"/>
  <c r="M14" i="1679"/>
  <c r="L6" i="1679"/>
  <c r="O6" i="1679" s="1"/>
  <c r="K22" i="1679"/>
  <c r="K20" i="1679"/>
  <c r="K19" i="1679"/>
  <c r="K18" i="1679"/>
  <c r="K17" i="1679"/>
  <c r="K16" i="1679"/>
  <c r="K13" i="1679"/>
  <c r="K12" i="1679"/>
  <c r="K11" i="1679"/>
  <c r="K10" i="1679"/>
  <c r="K8" i="1679"/>
  <c r="A80" i="1679"/>
  <c r="A81" i="1679" s="1"/>
  <c r="A82" i="1679" s="1"/>
  <c r="A83" i="1679" s="1"/>
  <c r="A84" i="1679" s="1"/>
  <c r="A85" i="1679" s="1"/>
  <c r="AF66" i="1679"/>
  <c r="AF64" i="1679"/>
  <c r="AF63" i="1679"/>
  <c r="AA25" i="1679"/>
  <c r="Z25" i="1679"/>
  <c r="Y25" i="1679"/>
  <c r="X25" i="1679"/>
  <c r="W25" i="1679"/>
  <c r="V25" i="1679"/>
  <c r="U25" i="1679"/>
  <c r="T25" i="1679"/>
  <c r="S25" i="1679"/>
  <c r="R25" i="1679"/>
  <c r="N25" i="1679"/>
  <c r="J25" i="1679"/>
  <c r="I25" i="1679"/>
  <c r="AF24" i="1679"/>
  <c r="AB24" i="1679"/>
  <c r="Q24" i="1679"/>
  <c r="P24" i="1679"/>
  <c r="AC24" i="1679" s="1"/>
  <c r="AD24" i="1679" s="1"/>
  <c r="O24" i="1679"/>
  <c r="M24" i="1679"/>
  <c r="K24" i="1679"/>
  <c r="AF22" i="1679"/>
  <c r="Q22" i="1679"/>
  <c r="P22" i="1679" s="1"/>
  <c r="AC22" i="1679" s="1"/>
  <c r="O22" i="1679"/>
  <c r="M22" i="1679"/>
  <c r="AB22" i="1679"/>
  <c r="AF21" i="1679"/>
  <c r="AB21" i="1679"/>
  <c r="Q21" i="1679"/>
  <c r="P21" i="1679" s="1"/>
  <c r="AC21" i="1679" s="1"/>
  <c r="O21" i="1679"/>
  <c r="M21" i="1679"/>
  <c r="AF20" i="1679"/>
  <c r="Q20" i="1679"/>
  <c r="P20" i="1679" s="1"/>
  <c r="AC20" i="1679" s="1"/>
  <c r="AB20" i="1679"/>
  <c r="AF19" i="1679"/>
  <c r="Q19" i="1679"/>
  <c r="P19" i="1679"/>
  <c r="AC19" i="1679" s="1"/>
  <c r="O19" i="1679"/>
  <c r="M19" i="1679"/>
  <c r="AB19" i="1679"/>
  <c r="AF18" i="1679"/>
  <c r="AB18" i="1679"/>
  <c r="Q18" i="1679"/>
  <c r="O18" i="1679"/>
  <c r="M18" i="1679"/>
  <c r="P18" i="1679"/>
  <c r="AC18" i="1679" s="1"/>
  <c r="AF17" i="1679"/>
  <c r="AB17" i="1679"/>
  <c r="Q17" i="1679"/>
  <c r="P17" i="1679" s="1"/>
  <c r="AC17" i="1679" s="1"/>
  <c r="O17" i="1679"/>
  <c r="M17" i="1679"/>
  <c r="AF16" i="1679"/>
  <c r="AB16" i="1679"/>
  <c r="Q16" i="1679"/>
  <c r="P16" i="1679"/>
  <c r="AC16" i="1679" s="1"/>
  <c r="O16" i="1679"/>
  <c r="M16" i="1679"/>
  <c r="AF13" i="1679"/>
  <c r="AB13" i="1679"/>
  <c r="Q13" i="1679"/>
  <c r="M13" i="1679"/>
  <c r="P13" i="1679"/>
  <c r="AC13" i="1679" s="1"/>
  <c r="AF12" i="1679"/>
  <c r="Q12" i="1679"/>
  <c r="O12" i="1679"/>
  <c r="AF11" i="1679"/>
  <c r="Q11" i="1679"/>
  <c r="P11" i="1679" s="1"/>
  <c r="AC11" i="1679" s="1"/>
  <c r="AB11" i="1679"/>
  <c r="AF10" i="1679"/>
  <c r="AB10" i="1679"/>
  <c r="Q10" i="1679"/>
  <c r="P10" i="1679" s="1"/>
  <c r="AC10" i="1679" s="1"/>
  <c r="O10" i="1679"/>
  <c r="M10" i="1679"/>
  <c r="AF9" i="1679"/>
  <c r="Q9" i="1679"/>
  <c r="O9" i="1679"/>
  <c r="AF8" i="1679"/>
  <c r="Q8" i="1679"/>
  <c r="P8" i="1679"/>
  <c r="AC8" i="1679" s="1"/>
  <c r="AB8" i="1679"/>
  <c r="AF7" i="1679"/>
  <c r="AB7" i="1679"/>
  <c r="Q7" i="1679"/>
  <c r="P7" i="1679" s="1"/>
  <c r="AC7" i="1679" s="1"/>
  <c r="O7" i="1679"/>
  <c r="M7" i="1679"/>
  <c r="AF6" i="1679"/>
  <c r="Q6" i="1679"/>
  <c r="AE23" i="1681" l="1"/>
  <c r="AE20" i="1681"/>
  <c r="AE21" i="1681"/>
  <c r="AE7" i="1681"/>
  <c r="AE11" i="1681"/>
  <c r="AE12" i="1681"/>
  <c r="AE9" i="1681"/>
  <c r="AE19" i="1681"/>
  <c r="AE10" i="1681"/>
  <c r="AE14" i="1681"/>
  <c r="AE13" i="1681"/>
  <c r="AE22" i="1681"/>
  <c r="AE18" i="1681"/>
  <c r="AE16" i="1681"/>
  <c r="AE8" i="1681"/>
  <c r="AE17" i="1681"/>
  <c r="AE15" i="1681"/>
  <c r="AE6" i="1681"/>
  <c r="AE20" i="1680"/>
  <c r="AE15" i="1680"/>
  <c r="AE13" i="1680"/>
  <c r="AE9" i="1680"/>
  <c r="AE10" i="1680"/>
  <c r="AE16" i="1680"/>
  <c r="AE8" i="1680"/>
  <c r="AE17" i="1680"/>
  <c r="AE14" i="1680"/>
  <c r="AE11" i="1680"/>
  <c r="AE18" i="1680"/>
  <c r="AE12" i="1680"/>
  <c r="AE6" i="1680"/>
  <c r="AE7" i="1680"/>
  <c r="AD16" i="1679"/>
  <c r="AD10" i="1679"/>
  <c r="Q25" i="1679"/>
  <c r="AD7" i="1679"/>
  <c r="K6" i="1679"/>
  <c r="AD21" i="1679"/>
  <c r="AD18" i="1679"/>
  <c r="AD19" i="1679"/>
  <c r="AD17" i="1679"/>
  <c r="AD22" i="1679"/>
  <c r="M6" i="1679"/>
  <c r="P6" i="1679"/>
  <c r="O8" i="1679"/>
  <c r="AD8" i="1679" s="1"/>
  <c r="P9" i="1679"/>
  <c r="AC9" i="1679" s="1"/>
  <c r="O11" i="1679"/>
  <c r="AD11" i="1679" s="1"/>
  <c r="P12" i="1679"/>
  <c r="AC12" i="1679" s="1"/>
  <c r="O20" i="1679"/>
  <c r="AD20" i="1679" s="1"/>
  <c r="L25" i="1679"/>
  <c r="O25" i="1679" s="1"/>
  <c r="AB6" i="1679"/>
  <c r="M9" i="1679"/>
  <c r="AB9" i="1679"/>
  <c r="M12" i="1679"/>
  <c r="AB12" i="1679"/>
  <c r="O13" i="1679"/>
  <c r="AD13" i="1679" s="1"/>
  <c r="M8" i="1679"/>
  <c r="M11" i="1679"/>
  <c r="M20" i="1679"/>
  <c r="L20" i="1678"/>
  <c r="K20" i="1678" s="1"/>
  <c r="AF20" i="1678"/>
  <c r="Q20" i="1678"/>
  <c r="O20" i="1678"/>
  <c r="L18" i="1678"/>
  <c r="O18" i="1678" s="1"/>
  <c r="K18" i="1678"/>
  <c r="L17" i="1678"/>
  <c r="O17" i="1678" s="1"/>
  <c r="L16" i="1678"/>
  <c r="K16" i="1678" s="1"/>
  <c r="K15" i="1678"/>
  <c r="L14" i="1678"/>
  <c r="O14" i="1678" s="1"/>
  <c r="L13" i="1678"/>
  <c r="L12" i="1678"/>
  <c r="L11" i="1678"/>
  <c r="L9" i="1678"/>
  <c r="K9" i="1678" s="1"/>
  <c r="L8" i="1678"/>
  <c r="K8" i="1678" s="1"/>
  <c r="L6" i="1678"/>
  <c r="K6" i="1678" s="1"/>
  <c r="K21" i="1678"/>
  <c r="K19" i="1678"/>
  <c r="K17" i="1678"/>
  <c r="K14" i="1678"/>
  <c r="K11" i="1678"/>
  <c r="K10" i="1678"/>
  <c r="A78" i="1678"/>
  <c r="A79" i="1678" s="1"/>
  <c r="A80" i="1678" s="1"/>
  <c r="A81" i="1678" s="1"/>
  <c r="A82" i="1678" s="1"/>
  <c r="A83" i="1678" s="1"/>
  <c r="AF62" i="1678"/>
  <c r="AF61" i="1678"/>
  <c r="AA23" i="1678"/>
  <c r="Z23" i="1678"/>
  <c r="Y23" i="1678"/>
  <c r="X23" i="1678"/>
  <c r="W23" i="1678"/>
  <c r="V23" i="1678"/>
  <c r="U23" i="1678"/>
  <c r="T23" i="1678"/>
  <c r="S23" i="1678"/>
  <c r="R23" i="1678"/>
  <c r="N23" i="1678"/>
  <c r="J23" i="1678"/>
  <c r="I23" i="1678"/>
  <c r="AF22" i="1678"/>
  <c r="AB22" i="1678"/>
  <c r="Q22" i="1678"/>
  <c r="P22" i="1678"/>
  <c r="AC22" i="1678" s="1"/>
  <c r="O22" i="1678"/>
  <c r="M22" i="1678"/>
  <c r="K22" i="1678"/>
  <c r="AF21" i="1678"/>
  <c r="AB21" i="1678"/>
  <c r="Q21" i="1678"/>
  <c r="P21" i="1678" s="1"/>
  <c r="AC21" i="1678" s="1"/>
  <c r="O21" i="1678"/>
  <c r="M21" i="1678"/>
  <c r="AF19" i="1678"/>
  <c r="Q19" i="1678"/>
  <c r="P19" i="1678" s="1"/>
  <c r="AC19" i="1678" s="1"/>
  <c r="O19" i="1678"/>
  <c r="AF18" i="1678"/>
  <c r="AB18" i="1678"/>
  <c r="Q18" i="1678"/>
  <c r="P18" i="1678" s="1"/>
  <c r="AC18" i="1678" s="1"/>
  <c r="M18" i="1678"/>
  <c r="AF17" i="1678"/>
  <c r="AB17" i="1678"/>
  <c r="Q17" i="1678"/>
  <c r="M17" i="1678"/>
  <c r="AF16" i="1678"/>
  <c r="Q16" i="1678"/>
  <c r="AF15" i="1678"/>
  <c r="AB15" i="1678"/>
  <c r="Q15" i="1678"/>
  <c r="P15" i="1678" s="1"/>
  <c r="AC15" i="1678" s="1"/>
  <c r="O15" i="1678"/>
  <c r="M15" i="1678"/>
  <c r="AF14" i="1678"/>
  <c r="Q14" i="1678"/>
  <c r="M14" i="1678"/>
  <c r="AF13" i="1678"/>
  <c r="Q13" i="1678"/>
  <c r="AF12" i="1678"/>
  <c r="Q12" i="1678"/>
  <c r="AF11" i="1678"/>
  <c r="AB11" i="1678"/>
  <c r="Q11" i="1678"/>
  <c r="P11" i="1678" s="1"/>
  <c r="AC11" i="1678" s="1"/>
  <c r="O11" i="1678"/>
  <c r="M11" i="1678"/>
  <c r="AF10" i="1678"/>
  <c r="AB10" i="1678"/>
  <c r="Q10" i="1678"/>
  <c r="P10" i="1678" s="1"/>
  <c r="AC10" i="1678" s="1"/>
  <c r="O10" i="1678"/>
  <c r="M10" i="1678"/>
  <c r="AF9" i="1678"/>
  <c r="Q9" i="1678"/>
  <c r="P9" i="1678" s="1"/>
  <c r="AC9" i="1678" s="1"/>
  <c r="AF8" i="1678"/>
  <c r="Q8" i="1678"/>
  <c r="O8" i="1678"/>
  <c r="AF7" i="1678"/>
  <c r="AB7" i="1678"/>
  <c r="Q7" i="1678"/>
  <c r="P7" i="1678"/>
  <c r="AC7" i="1678" s="1"/>
  <c r="O7" i="1678"/>
  <c r="M7" i="1678"/>
  <c r="K7" i="1678"/>
  <c r="AF6" i="1678"/>
  <c r="Q6" i="1678"/>
  <c r="AD12" i="1679" l="1"/>
  <c r="AC6" i="1679"/>
  <c r="P25" i="1679"/>
  <c r="AD9" i="1679"/>
  <c r="K25" i="1679"/>
  <c r="M25" i="1679"/>
  <c r="P20" i="1678"/>
  <c r="AC20" i="1678" s="1"/>
  <c r="P6" i="1678"/>
  <c r="P17" i="1678"/>
  <c r="AC17" i="1678" s="1"/>
  <c r="AD22" i="1678"/>
  <c r="K18" i="16" s="1"/>
  <c r="AB20" i="1678"/>
  <c r="AF64" i="1678"/>
  <c r="AD20" i="1678"/>
  <c r="M20" i="1678"/>
  <c r="P12" i="1678"/>
  <c r="AC12" i="1678" s="1"/>
  <c r="AD7" i="1678"/>
  <c r="K4" i="16" s="1"/>
  <c r="P16" i="1678"/>
  <c r="AC16" i="1678" s="1"/>
  <c r="P14" i="1678"/>
  <c r="AC14" i="1678" s="1"/>
  <c r="AB14" i="1678"/>
  <c r="P13" i="1678"/>
  <c r="AC13" i="1678" s="1"/>
  <c r="K13" i="1678"/>
  <c r="K12" i="1678"/>
  <c r="O12" i="1678"/>
  <c r="Q23" i="1678"/>
  <c r="P8" i="1678"/>
  <c r="AC8" i="1678" s="1"/>
  <c r="AD11" i="1678"/>
  <c r="K8" i="16" s="1"/>
  <c r="AD18" i="1678"/>
  <c r="K15" i="16" s="1"/>
  <c r="AD21" i="1678"/>
  <c r="K17" i="16" s="1"/>
  <c r="AD10" i="1678"/>
  <c r="K7" i="16" s="1"/>
  <c r="AD17" i="1678"/>
  <c r="K14" i="16" s="1"/>
  <c r="AD15" i="1678"/>
  <c r="K12" i="16" s="1"/>
  <c r="AC6" i="1678"/>
  <c r="AB6" i="1678"/>
  <c r="M13" i="1678"/>
  <c r="M16" i="1678"/>
  <c r="M9" i="1678"/>
  <c r="AB13" i="1678"/>
  <c r="AB16" i="1678"/>
  <c r="O6" i="1678"/>
  <c r="M8" i="1678"/>
  <c r="AB8" i="1678"/>
  <c r="AD8" i="1678" s="1"/>
  <c r="K5" i="16" s="1"/>
  <c r="O9" i="1678"/>
  <c r="M12" i="1678"/>
  <c r="AB12" i="1678"/>
  <c r="O13" i="1678"/>
  <c r="O16" i="1678"/>
  <c r="M19" i="1678"/>
  <c r="AB19" i="1678"/>
  <c r="AD19" i="1678" s="1"/>
  <c r="K16" i="16" s="1"/>
  <c r="L23" i="1678"/>
  <c r="O23" i="1678" s="1"/>
  <c r="M6" i="1678"/>
  <c r="AB9" i="1678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19" i="1677"/>
  <c r="AB19" i="1677" s="1"/>
  <c r="K19" i="1677"/>
  <c r="L18" i="1677"/>
  <c r="K18" i="1677" s="1"/>
  <c r="L17" i="1677"/>
  <c r="K17" i="1677"/>
  <c r="L16" i="1677"/>
  <c r="AB16" i="1677" s="1"/>
  <c r="L14" i="1677"/>
  <c r="O14" i="1677" s="1"/>
  <c r="K14" i="1677"/>
  <c r="L13" i="1677"/>
  <c r="K13" i="1677" s="1"/>
  <c r="L12" i="1677"/>
  <c r="L11" i="1677"/>
  <c r="K11" i="1677" s="1"/>
  <c r="L10" i="1677"/>
  <c r="K10" i="1677" s="1"/>
  <c r="L9" i="1677"/>
  <c r="K9" i="1677" s="1"/>
  <c r="L8" i="1677"/>
  <c r="K8" i="1677" s="1"/>
  <c r="L6" i="1677"/>
  <c r="K6" i="1677" s="1"/>
  <c r="K20" i="1677"/>
  <c r="K12" i="1677"/>
  <c r="A75" i="1677"/>
  <c r="A76" i="1677" s="1"/>
  <c r="A77" i="1677" s="1"/>
  <c r="A78" i="1677" s="1"/>
  <c r="A79" i="1677" s="1"/>
  <c r="A80" i="1677" s="1"/>
  <c r="A81" i="1677" s="1"/>
  <c r="A82" i="1677" s="1"/>
  <c r="AF63" i="1677"/>
  <c r="AF61" i="1677"/>
  <c r="AF60" i="1677"/>
  <c r="AA22" i="1677"/>
  <c r="Z22" i="1677"/>
  <c r="Y22" i="1677"/>
  <c r="X22" i="1677"/>
  <c r="W22" i="1677"/>
  <c r="V22" i="1677"/>
  <c r="U22" i="1677"/>
  <c r="T22" i="1677"/>
  <c r="S22" i="1677"/>
  <c r="R22" i="1677"/>
  <c r="N22" i="1677"/>
  <c r="J22" i="1677"/>
  <c r="I22" i="1677"/>
  <c r="AF21" i="1677"/>
  <c r="AB21" i="1677"/>
  <c r="Q21" i="1677"/>
  <c r="P21" i="1677"/>
  <c r="AC21" i="1677" s="1"/>
  <c r="AD21" i="1677" s="1"/>
  <c r="O21" i="1677"/>
  <c r="M21" i="1677"/>
  <c r="K21" i="1677"/>
  <c r="AF20" i="1677"/>
  <c r="AB20" i="1677"/>
  <c r="Q20" i="1677"/>
  <c r="P20" i="1677" s="1"/>
  <c r="AC20" i="1677" s="1"/>
  <c r="O20" i="1677"/>
  <c r="M20" i="1677"/>
  <c r="AF19" i="1677"/>
  <c r="Q19" i="1677"/>
  <c r="P19" i="1677" s="1"/>
  <c r="AC19" i="1677" s="1"/>
  <c r="O19" i="1677"/>
  <c r="AF18" i="1677"/>
  <c r="AB18" i="1677"/>
  <c r="Q18" i="1677"/>
  <c r="AF17" i="1677"/>
  <c r="Q17" i="1677"/>
  <c r="P17" i="1677"/>
  <c r="AC17" i="1677" s="1"/>
  <c r="AF16" i="1677"/>
  <c r="Q16" i="1677"/>
  <c r="P16" i="1677" s="1"/>
  <c r="AC16" i="1677" s="1"/>
  <c r="O16" i="1677"/>
  <c r="K16" i="1677"/>
  <c r="AF15" i="1677"/>
  <c r="AB15" i="1677"/>
  <c r="Q15" i="1677"/>
  <c r="P15" i="1677"/>
  <c r="AC15" i="1677" s="1"/>
  <c r="O15" i="1677"/>
  <c r="M15" i="1677"/>
  <c r="K15" i="1677"/>
  <c r="AF14" i="1677"/>
  <c r="AB14" i="1677"/>
  <c r="Q14" i="1677"/>
  <c r="P14" i="1677"/>
  <c r="AC14" i="1677" s="1"/>
  <c r="M14" i="1677"/>
  <c r="AF13" i="1677"/>
  <c r="AB13" i="1677"/>
  <c r="Q13" i="1677"/>
  <c r="M13" i="1677"/>
  <c r="AF12" i="1677"/>
  <c r="AB12" i="1677"/>
  <c r="Q12" i="1677"/>
  <c r="P12" i="1677" s="1"/>
  <c r="AC12" i="1677" s="1"/>
  <c r="O12" i="1677"/>
  <c r="M12" i="1677"/>
  <c r="AF11" i="1677"/>
  <c r="Q11" i="1677"/>
  <c r="P11" i="1677" s="1"/>
  <c r="AC11" i="1677" s="1"/>
  <c r="O11" i="1677"/>
  <c r="M11" i="1677"/>
  <c r="AF10" i="1677"/>
  <c r="AB10" i="1677"/>
  <c r="Q10" i="1677"/>
  <c r="P10" i="1677" s="1"/>
  <c r="AC10" i="1677" s="1"/>
  <c r="O10" i="1677"/>
  <c r="AF9" i="1677"/>
  <c r="AB9" i="1677"/>
  <c r="Q9" i="1677"/>
  <c r="P9" i="1677" s="1"/>
  <c r="AC9" i="1677" s="1"/>
  <c r="M9" i="1677"/>
  <c r="AF8" i="1677"/>
  <c r="AB8" i="1677"/>
  <c r="Q8" i="1677"/>
  <c r="O8" i="1677"/>
  <c r="M8" i="1677"/>
  <c r="AF7" i="1677"/>
  <c r="AB7" i="1677"/>
  <c r="Q7" i="1677"/>
  <c r="P7" i="1677"/>
  <c r="AC7" i="1677" s="1"/>
  <c r="AD7" i="1677" s="1"/>
  <c r="O7" i="1677"/>
  <c r="M7" i="1677"/>
  <c r="K7" i="1677"/>
  <c r="AF6" i="1677"/>
  <c r="AB6" i="1677"/>
  <c r="Q6" i="1677"/>
  <c r="O6" i="1677"/>
  <c r="M6" i="1677"/>
  <c r="AD6" i="1679" l="1"/>
  <c r="AD9" i="1678"/>
  <c r="K6" i="16" s="1"/>
  <c r="AD14" i="1678"/>
  <c r="K11" i="16" s="1"/>
  <c r="P23" i="1678"/>
  <c r="AD12" i="1678"/>
  <c r="K9" i="16" s="1"/>
  <c r="M23" i="1678"/>
  <c r="AD16" i="1678"/>
  <c r="K13" i="16" s="1"/>
  <c r="AD13" i="1678"/>
  <c r="K10" i="16" s="1"/>
  <c r="K23" i="1678"/>
  <c r="AD6" i="1678"/>
  <c r="K3" i="16" s="1"/>
  <c r="AD20" i="1677"/>
  <c r="AD19" i="1677"/>
  <c r="M19" i="1677"/>
  <c r="L22" i="1677"/>
  <c r="O22" i="1677" s="1"/>
  <c r="M18" i="1677"/>
  <c r="O18" i="1677"/>
  <c r="P18" i="1677"/>
  <c r="AC18" i="1677" s="1"/>
  <c r="AD18" i="1677" s="1"/>
  <c r="M16" i="1677"/>
  <c r="AD14" i="1677"/>
  <c r="AB11" i="1677"/>
  <c r="AD11" i="1677" s="1"/>
  <c r="Q22" i="1677"/>
  <c r="M10" i="1677"/>
  <c r="O9" i="1677"/>
  <c r="AD9" i="1677"/>
  <c r="P8" i="1677"/>
  <c r="AC8" i="1677" s="1"/>
  <c r="AD8" i="1677"/>
  <c r="AD12" i="1677"/>
  <c r="AD16" i="1677"/>
  <c r="AD10" i="1677"/>
  <c r="AD15" i="1677"/>
  <c r="O13" i="1677"/>
  <c r="M17" i="1677"/>
  <c r="AB17" i="1677"/>
  <c r="K22" i="1677"/>
  <c r="P13" i="1677"/>
  <c r="AC13" i="1677" s="1"/>
  <c r="AD13" i="1677" s="1"/>
  <c r="O17" i="1677"/>
  <c r="P6" i="1677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K20" i="1676"/>
  <c r="L19" i="1676"/>
  <c r="L17" i="1676"/>
  <c r="M17" i="1676" s="1"/>
  <c r="L13" i="1676"/>
  <c r="K13" i="1676" s="1"/>
  <c r="K19" i="1676"/>
  <c r="K18" i="1676"/>
  <c r="K17" i="1676"/>
  <c r="K12" i="1676"/>
  <c r="K11" i="1676"/>
  <c r="K10" i="1676"/>
  <c r="K9" i="1676"/>
  <c r="K8" i="1676"/>
  <c r="K6" i="1676"/>
  <c r="A75" i="1676"/>
  <c r="A76" i="1676" s="1"/>
  <c r="A77" i="1676" s="1"/>
  <c r="A78" i="1676" s="1"/>
  <c r="A79" i="1676" s="1"/>
  <c r="A80" i="1676" s="1"/>
  <c r="A81" i="1676" s="1"/>
  <c r="A82" i="1676" s="1"/>
  <c r="AF61" i="1676"/>
  <c r="AF63" i="1676" s="1"/>
  <c r="AF60" i="1676"/>
  <c r="AA22" i="1676"/>
  <c r="Z22" i="1676"/>
  <c r="Y22" i="1676"/>
  <c r="X22" i="1676"/>
  <c r="W22" i="1676"/>
  <c r="V22" i="1676"/>
  <c r="U22" i="1676"/>
  <c r="T22" i="1676"/>
  <c r="S22" i="1676"/>
  <c r="R22" i="1676"/>
  <c r="N22" i="1676"/>
  <c r="J22" i="1676"/>
  <c r="I22" i="1676"/>
  <c r="AF21" i="1676"/>
  <c r="AB21" i="1676"/>
  <c r="Q21" i="1676"/>
  <c r="P21" i="1676"/>
  <c r="AC21" i="1676" s="1"/>
  <c r="AD21" i="1676" s="1"/>
  <c r="O21" i="1676"/>
  <c r="M21" i="1676"/>
  <c r="K21" i="1676"/>
  <c r="AF20" i="1676"/>
  <c r="AB20" i="1676"/>
  <c r="Q20" i="1676"/>
  <c r="P20" i="1676" s="1"/>
  <c r="AC20" i="1676" s="1"/>
  <c r="O20" i="1676"/>
  <c r="M20" i="1676"/>
  <c r="AF19" i="1676"/>
  <c r="AB19" i="1676"/>
  <c r="Q19" i="1676"/>
  <c r="P19" i="1676"/>
  <c r="AC19" i="1676" s="1"/>
  <c r="O19" i="1676"/>
  <c r="M19" i="1676"/>
  <c r="AF18" i="1676"/>
  <c r="AB18" i="1676"/>
  <c r="Q18" i="1676"/>
  <c r="P18" i="1676" s="1"/>
  <c r="AC18" i="1676" s="1"/>
  <c r="AD18" i="1676" s="1"/>
  <c r="O18" i="1676"/>
  <c r="M18" i="1676"/>
  <c r="AF17" i="1676"/>
  <c r="AB17" i="1676"/>
  <c r="Q17" i="1676"/>
  <c r="P17" i="1676"/>
  <c r="AC17" i="1676" s="1"/>
  <c r="AF16" i="1676"/>
  <c r="AB16" i="1676"/>
  <c r="Q16" i="1676"/>
  <c r="P16" i="1676"/>
  <c r="AC16" i="1676" s="1"/>
  <c r="AD16" i="1676" s="1"/>
  <c r="O16" i="1676"/>
  <c r="M16" i="1676"/>
  <c r="K16" i="1676"/>
  <c r="AF15" i="1676"/>
  <c r="AB15" i="1676"/>
  <c r="Q15" i="1676"/>
  <c r="P15" i="1676"/>
  <c r="AC15" i="1676" s="1"/>
  <c r="AD15" i="1676" s="1"/>
  <c r="O15" i="1676"/>
  <c r="M15" i="1676"/>
  <c r="K15" i="1676"/>
  <c r="AF14" i="1676"/>
  <c r="AB14" i="1676"/>
  <c r="Q14" i="1676"/>
  <c r="P14" i="1676"/>
  <c r="AC14" i="1676" s="1"/>
  <c r="O14" i="1676"/>
  <c r="M14" i="1676"/>
  <c r="K14" i="1676"/>
  <c r="AF13" i="1676"/>
  <c r="Q13" i="1676"/>
  <c r="AF12" i="1676"/>
  <c r="AB12" i="1676"/>
  <c r="Q12" i="1676"/>
  <c r="P12" i="1676" s="1"/>
  <c r="AC12" i="1676" s="1"/>
  <c r="M12" i="1676"/>
  <c r="AF11" i="1676"/>
  <c r="Q11" i="1676"/>
  <c r="P11" i="1676"/>
  <c r="AC11" i="1676" s="1"/>
  <c r="AF10" i="1676"/>
  <c r="Q10" i="1676"/>
  <c r="P10" i="1676"/>
  <c r="AC10" i="1676" s="1"/>
  <c r="O10" i="1676"/>
  <c r="M10" i="1676"/>
  <c r="AB10" i="1676"/>
  <c r="AF9" i="1676"/>
  <c r="AB9" i="1676"/>
  <c r="Q9" i="1676"/>
  <c r="P9" i="1676" s="1"/>
  <c r="AC9" i="1676" s="1"/>
  <c r="AD9" i="1676" s="1"/>
  <c r="O9" i="1676"/>
  <c r="M9" i="1676"/>
  <c r="AF8" i="1676"/>
  <c r="AB8" i="1676"/>
  <c r="Q8" i="1676"/>
  <c r="P8" i="1676" s="1"/>
  <c r="AC8" i="1676" s="1"/>
  <c r="M8" i="1676"/>
  <c r="AF7" i="1676"/>
  <c r="AB7" i="1676"/>
  <c r="Q7" i="1676"/>
  <c r="P7" i="1676"/>
  <c r="AC7" i="1676" s="1"/>
  <c r="O7" i="1676"/>
  <c r="M7" i="1676"/>
  <c r="K7" i="1676"/>
  <c r="AF6" i="1676"/>
  <c r="AB6" i="1676"/>
  <c r="Q6" i="1676"/>
  <c r="O6" i="1676"/>
  <c r="M6" i="1676"/>
  <c r="AE15" i="1679" l="1"/>
  <c r="AE14" i="1679"/>
  <c r="AE24" i="1679"/>
  <c r="AE22" i="1679"/>
  <c r="AE19" i="1679"/>
  <c r="AE16" i="1679"/>
  <c r="AE10" i="1679"/>
  <c r="AE7" i="1679"/>
  <c r="AE9" i="1679"/>
  <c r="AE20" i="1679"/>
  <c r="AE11" i="1679"/>
  <c r="AE8" i="1679"/>
  <c r="AE12" i="1679"/>
  <c r="AE21" i="1679"/>
  <c r="AE18" i="1679"/>
  <c r="AE13" i="1679"/>
  <c r="AE17" i="1679"/>
  <c r="AE6" i="1679"/>
  <c r="K19" i="16"/>
  <c r="M22" i="1677"/>
  <c r="AD17" i="1677"/>
  <c r="P22" i="1677"/>
  <c r="AC6" i="1677"/>
  <c r="AB13" i="1676"/>
  <c r="L22" i="1676"/>
  <c r="O22" i="1676" s="1"/>
  <c r="M13" i="1676"/>
  <c r="P13" i="1676"/>
  <c r="AC13" i="1676" s="1"/>
  <c r="O13" i="1676"/>
  <c r="Q22" i="1676"/>
  <c r="AD10" i="1676"/>
  <c r="AD14" i="1676"/>
  <c r="AD19" i="1676"/>
  <c r="AD7" i="1676"/>
  <c r="AD20" i="1676"/>
  <c r="P6" i="1676"/>
  <c r="O8" i="1676"/>
  <c r="AD8" i="1676" s="1"/>
  <c r="M11" i="1676"/>
  <c r="AB11" i="1676"/>
  <c r="O12" i="1676"/>
  <c r="AD12" i="1676" s="1"/>
  <c r="O17" i="1676"/>
  <c r="AD17" i="1676" s="1"/>
  <c r="O11" i="167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19" i="1675"/>
  <c r="L18" i="1675"/>
  <c r="K18" i="1675" s="1"/>
  <c r="L17" i="1675"/>
  <c r="L13" i="1675"/>
  <c r="L12" i="1675"/>
  <c r="L11" i="1675"/>
  <c r="L10" i="1675"/>
  <c r="K10" i="1675" s="1"/>
  <c r="L9" i="1675"/>
  <c r="K9" i="1675" s="1"/>
  <c r="L8" i="1675"/>
  <c r="L6" i="1675"/>
  <c r="K6" i="1675" s="1"/>
  <c r="K20" i="1675"/>
  <c r="K17" i="1675"/>
  <c r="K15" i="1675"/>
  <c r="K14" i="1675"/>
  <c r="K13" i="1675"/>
  <c r="K12" i="1675"/>
  <c r="A75" i="1675"/>
  <c r="A76" i="1675" s="1"/>
  <c r="A77" i="1675" s="1"/>
  <c r="A78" i="1675" s="1"/>
  <c r="A79" i="1675" s="1"/>
  <c r="A80" i="1675" s="1"/>
  <c r="A81" i="1675" s="1"/>
  <c r="A82" i="1675" s="1"/>
  <c r="AF61" i="1675"/>
  <c r="AF60" i="1675"/>
  <c r="AA22" i="1675"/>
  <c r="Z22" i="1675"/>
  <c r="Y22" i="1675"/>
  <c r="X22" i="1675"/>
  <c r="W22" i="1675"/>
  <c r="V22" i="1675"/>
  <c r="U22" i="1675"/>
  <c r="T22" i="1675"/>
  <c r="S22" i="1675"/>
  <c r="R22" i="1675"/>
  <c r="N22" i="1675"/>
  <c r="J22" i="1675"/>
  <c r="I22" i="1675"/>
  <c r="AF21" i="1675"/>
  <c r="AB21" i="1675"/>
  <c r="Q21" i="1675"/>
  <c r="P21" i="1675"/>
  <c r="AC21" i="1675" s="1"/>
  <c r="O21" i="1675"/>
  <c r="M21" i="1675"/>
  <c r="K21" i="1675"/>
  <c r="AF20" i="1675"/>
  <c r="Q20" i="1675"/>
  <c r="P20" i="1675" s="1"/>
  <c r="AC20" i="1675" s="1"/>
  <c r="AF19" i="1675"/>
  <c r="Q19" i="1675"/>
  <c r="AF18" i="1675"/>
  <c r="Q18" i="1675"/>
  <c r="P18" i="1675" s="1"/>
  <c r="AC18" i="1675" s="1"/>
  <c r="AF17" i="1675"/>
  <c r="Q17" i="1675"/>
  <c r="P17" i="1675" s="1"/>
  <c r="AC17" i="1675" s="1"/>
  <c r="O17" i="1675"/>
  <c r="AF16" i="1675"/>
  <c r="AB16" i="1675"/>
  <c r="Q16" i="1675"/>
  <c r="P16" i="1675"/>
  <c r="AC16" i="1675" s="1"/>
  <c r="O16" i="1675"/>
  <c r="M16" i="1675"/>
  <c r="K16" i="1675"/>
  <c r="AF15" i="1675"/>
  <c r="Q15" i="1675"/>
  <c r="P15" i="1675"/>
  <c r="AC15" i="1675" s="1"/>
  <c r="AF14" i="1675"/>
  <c r="AB14" i="1675"/>
  <c r="Q14" i="1675"/>
  <c r="P14" i="1675"/>
  <c r="AC14" i="1675" s="1"/>
  <c r="O14" i="1675"/>
  <c r="M14" i="1675"/>
  <c r="AF13" i="1675"/>
  <c r="Q13" i="1675"/>
  <c r="P13" i="1675" s="1"/>
  <c r="AC13" i="1675" s="1"/>
  <c r="AF12" i="1675"/>
  <c r="Q12" i="1675"/>
  <c r="P12" i="1675" s="1"/>
  <c r="AC12" i="1675" s="1"/>
  <c r="AF11" i="1675"/>
  <c r="Q11" i="1675"/>
  <c r="AF10" i="1675"/>
  <c r="Q10" i="1675"/>
  <c r="AF9" i="1675"/>
  <c r="Q9" i="1675"/>
  <c r="AF8" i="1675"/>
  <c r="Q8" i="1675"/>
  <c r="O8" i="1675"/>
  <c r="AF7" i="1675"/>
  <c r="AB7" i="1675"/>
  <c r="Q7" i="1675"/>
  <c r="P7" i="1675"/>
  <c r="AC7" i="1675" s="1"/>
  <c r="O7" i="1675"/>
  <c r="M7" i="1675"/>
  <c r="K7" i="1675"/>
  <c r="AF6" i="1675"/>
  <c r="Q6" i="1675"/>
  <c r="AE21" i="1678" l="1"/>
  <c r="AE20" i="1678"/>
  <c r="AE12" i="1678"/>
  <c r="AE13" i="1678"/>
  <c r="AE19" i="1678"/>
  <c r="AE8" i="1678"/>
  <c r="AE14" i="1678"/>
  <c r="AE6" i="1678"/>
  <c r="AE7" i="1678"/>
  <c r="AE16" i="1678"/>
  <c r="AE9" i="1678"/>
  <c r="AE10" i="1678"/>
  <c r="AE11" i="1678"/>
  <c r="AE17" i="1678"/>
  <c r="AE22" i="1678"/>
  <c r="AE15" i="1678"/>
  <c r="AE18" i="1678"/>
  <c r="AD6" i="1677"/>
  <c r="AD13" i="1676"/>
  <c r="M22" i="1676"/>
  <c r="AD11" i="1676"/>
  <c r="K22" i="1676"/>
  <c r="P22" i="1676"/>
  <c r="AC6" i="1676"/>
  <c r="P19" i="1675"/>
  <c r="AC19" i="1675" s="1"/>
  <c r="K19" i="1675"/>
  <c r="O19" i="1675"/>
  <c r="AB10" i="1675"/>
  <c r="AF63" i="1675"/>
  <c r="P10" i="1675"/>
  <c r="AC10" i="1675" s="1"/>
  <c r="P8" i="1675"/>
  <c r="AC8" i="1675" s="1"/>
  <c r="M10" i="1675"/>
  <c r="AD21" i="1675"/>
  <c r="Q22" i="1675"/>
  <c r="P11" i="1675"/>
  <c r="AC11" i="1675" s="1"/>
  <c r="AB11" i="1675"/>
  <c r="K11" i="1675"/>
  <c r="O11" i="1675"/>
  <c r="M11" i="1675"/>
  <c r="O10" i="1675"/>
  <c r="P9" i="1675"/>
  <c r="AC9" i="1675" s="1"/>
  <c r="K8" i="1675"/>
  <c r="L22" i="1675"/>
  <c r="O22" i="1675" s="1"/>
  <c r="AD16" i="1675"/>
  <c r="AD7" i="1675"/>
  <c r="AD14" i="1675"/>
  <c r="AB6" i="1675"/>
  <c r="AB9" i="1675"/>
  <c r="M18" i="1675"/>
  <c r="AB18" i="1675"/>
  <c r="M20" i="1675"/>
  <c r="AB20" i="1675"/>
  <c r="M13" i="1675"/>
  <c r="AB13" i="1675"/>
  <c r="AD13" i="1675" s="1"/>
  <c r="O6" i="1675"/>
  <c r="M8" i="1675"/>
  <c r="AB8" i="1675"/>
  <c r="O9" i="1675"/>
  <c r="M12" i="1675"/>
  <c r="AB12" i="1675"/>
  <c r="O13" i="1675"/>
  <c r="M15" i="1675"/>
  <c r="AB15" i="1675"/>
  <c r="M17" i="1675"/>
  <c r="AB17" i="1675"/>
  <c r="AD17" i="1675" s="1"/>
  <c r="O18" i="1675"/>
  <c r="M19" i="1675"/>
  <c r="AB19" i="1675"/>
  <c r="O20" i="1675"/>
  <c r="M6" i="1675"/>
  <c r="M9" i="1675"/>
  <c r="P6" i="1675"/>
  <c r="O12" i="1675"/>
  <c r="O15" i="1675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2" i="1674"/>
  <c r="L21" i="1674"/>
  <c r="K21" i="1674" s="1"/>
  <c r="AF21" i="1674"/>
  <c r="AB21" i="1674"/>
  <c r="Q21" i="1674"/>
  <c r="P21" i="1674" s="1"/>
  <c r="AC21" i="1674" s="1"/>
  <c r="O21" i="1674"/>
  <c r="M21" i="1674"/>
  <c r="K20" i="1674"/>
  <c r="L19" i="1674"/>
  <c r="K19" i="1674" s="1"/>
  <c r="L18" i="1674"/>
  <c r="K18" i="1674"/>
  <c r="AF18" i="1674"/>
  <c r="Q18" i="1674"/>
  <c r="P18" i="1674" s="1"/>
  <c r="AC18" i="1674" s="1"/>
  <c r="O18" i="1674"/>
  <c r="AB18" i="1674"/>
  <c r="L17" i="1674"/>
  <c r="L15" i="1674"/>
  <c r="K15" i="1674"/>
  <c r="K14" i="1674"/>
  <c r="L13" i="1674"/>
  <c r="L12" i="1674"/>
  <c r="L11" i="1674"/>
  <c r="L10" i="1674"/>
  <c r="L9" i="1674"/>
  <c r="L8" i="1674"/>
  <c r="L6" i="1674"/>
  <c r="AE20" i="1677" l="1"/>
  <c r="AE15" i="1677"/>
  <c r="AE13" i="1677"/>
  <c r="AE6" i="1677"/>
  <c r="AE18" i="1677"/>
  <c r="AE11" i="1677"/>
  <c r="AE9" i="1677"/>
  <c r="AE7" i="1677"/>
  <c r="AE17" i="1677"/>
  <c r="AE12" i="1677"/>
  <c r="AE8" i="1677"/>
  <c r="AE21" i="1677"/>
  <c r="AE19" i="1677"/>
  <c r="AE16" i="1677"/>
  <c r="AE14" i="1677"/>
  <c r="AE10" i="1677"/>
  <c r="AD6" i="1676"/>
  <c r="AD19" i="1675"/>
  <c r="AD8" i="1675"/>
  <c r="AD10" i="1675"/>
  <c r="AD11" i="1675"/>
  <c r="AD18" i="1675"/>
  <c r="AD9" i="1675"/>
  <c r="AD15" i="1675"/>
  <c r="M22" i="1675"/>
  <c r="AD12" i="1675"/>
  <c r="AD20" i="1675"/>
  <c r="P22" i="1675"/>
  <c r="AC6" i="1675"/>
  <c r="K22" i="1675"/>
  <c r="AD21" i="1674"/>
  <c r="AD18" i="1674"/>
  <c r="M18" i="1674"/>
  <c r="K22" i="1674"/>
  <c r="K17" i="1674"/>
  <c r="K13" i="1674"/>
  <c r="K12" i="1674"/>
  <c r="K11" i="1674"/>
  <c r="K10" i="1674"/>
  <c r="K8" i="1674"/>
  <c r="K6" i="1674"/>
  <c r="A78" i="1674"/>
  <c r="A79" i="1674" s="1"/>
  <c r="A80" i="1674" s="1"/>
  <c r="A81" i="1674" s="1"/>
  <c r="A82" i="1674" s="1"/>
  <c r="A83" i="1674" s="1"/>
  <c r="A84" i="1674" s="1"/>
  <c r="A77" i="1674"/>
  <c r="AF63" i="1674"/>
  <c r="AF62" i="1674"/>
  <c r="AF65" i="1674" s="1"/>
  <c r="AA24" i="1674"/>
  <c r="Z24" i="1674"/>
  <c r="Y24" i="1674"/>
  <c r="X24" i="1674"/>
  <c r="W24" i="1674"/>
  <c r="V24" i="1674"/>
  <c r="U24" i="1674"/>
  <c r="T24" i="1674"/>
  <c r="S24" i="1674"/>
  <c r="R24" i="1674"/>
  <c r="N24" i="1674"/>
  <c r="J24" i="1674"/>
  <c r="I24" i="1674"/>
  <c r="AF23" i="1674"/>
  <c r="AB23" i="1674"/>
  <c r="Q23" i="1674"/>
  <c r="P23" i="1674"/>
  <c r="AC23" i="1674" s="1"/>
  <c r="O23" i="1674"/>
  <c r="M23" i="1674"/>
  <c r="K23" i="1674"/>
  <c r="AF22" i="1674"/>
  <c r="Q22" i="1674"/>
  <c r="P22" i="1674"/>
  <c r="AC22" i="1674" s="1"/>
  <c r="O22" i="1674"/>
  <c r="AB22" i="1674"/>
  <c r="AF20" i="1674"/>
  <c r="AB20" i="1674"/>
  <c r="Q20" i="1674"/>
  <c r="P20" i="1674"/>
  <c r="AC20" i="1674" s="1"/>
  <c r="O20" i="1674"/>
  <c r="M20" i="1674"/>
  <c r="AF19" i="1674"/>
  <c r="Q19" i="1674"/>
  <c r="AB19" i="1674"/>
  <c r="AF17" i="1674"/>
  <c r="Q17" i="1674"/>
  <c r="P17" i="1674" s="1"/>
  <c r="AC17" i="1674" s="1"/>
  <c r="O17" i="1674"/>
  <c r="AB17" i="1674"/>
  <c r="AF16" i="1674"/>
  <c r="AB16" i="1674"/>
  <c r="Q16" i="1674"/>
  <c r="P16" i="1674"/>
  <c r="AC16" i="1674" s="1"/>
  <c r="O16" i="1674"/>
  <c r="M16" i="1674"/>
  <c r="K16" i="1674"/>
  <c r="AF15" i="1674"/>
  <c r="AB15" i="1674"/>
  <c r="Q15" i="1674"/>
  <c r="P15" i="1674" s="1"/>
  <c r="AC15" i="1674" s="1"/>
  <c r="O15" i="1674"/>
  <c r="M15" i="1674"/>
  <c r="AF14" i="1674"/>
  <c r="AB14" i="1674"/>
  <c r="Q14" i="1674"/>
  <c r="P14" i="1674" s="1"/>
  <c r="AC14" i="1674" s="1"/>
  <c r="AD14" i="1674" s="1"/>
  <c r="O14" i="1674"/>
  <c r="M14" i="1674"/>
  <c r="AF13" i="1674"/>
  <c r="Q13" i="1674"/>
  <c r="AB13" i="1674"/>
  <c r="AF12" i="1674"/>
  <c r="Q12" i="1674"/>
  <c r="P12" i="1674" s="1"/>
  <c r="AC12" i="1674" s="1"/>
  <c r="O12" i="1674"/>
  <c r="AB12" i="1674"/>
  <c r="AF11" i="1674"/>
  <c r="AB11" i="1674"/>
  <c r="Q11" i="1674"/>
  <c r="P11" i="1674" s="1"/>
  <c r="AC11" i="1674" s="1"/>
  <c r="O11" i="1674"/>
  <c r="M11" i="1674"/>
  <c r="AF10" i="1674"/>
  <c r="AB10" i="1674"/>
  <c r="Q10" i="1674"/>
  <c r="M10" i="1674"/>
  <c r="O10" i="1674"/>
  <c r="AF9" i="1674"/>
  <c r="Q9" i="1674"/>
  <c r="AB9" i="1674"/>
  <c r="AF8" i="1674"/>
  <c r="Q8" i="1674"/>
  <c r="P8" i="1674" s="1"/>
  <c r="AC8" i="1674" s="1"/>
  <c r="O8" i="1674"/>
  <c r="AB8" i="1674"/>
  <c r="AF7" i="1674"/>
  <c r="AB7" i="1674"/>
  <c r="Q7" i="1674"/>
  <c r="P7" i="1674"/>
  <c r="AC7" i="1674" s="1"/>
  <c r="O7" i="1674"/>
  <c r="M7" i="1674"/>
  <c r="K7" i="1674"/>
  <c r="AF6" i="1674"/>
  <c r="Q6" i="1674"/>
  <c r="L24" i="1674"/>
  <c r="O24" i="1674" s="1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0" i="1673"/>
  <c r="K20" i="1673" s="1"/>
  <c r="L18" i="1673"/>
  <c r="K18" i="1673" s="1"/>
  <c r="L17" i="1673"/>
  <c r="M17" i="1673" s="1"/>
  <c r="L13" i="1673"/>
  <c r="K13" i="1673" s="1"/>
  <c r="L12" i="1673"/>
  <c r="M12" i="1673" s="1"/>
  <c r="L11" i="1673"/>
  <c r="K11" i="1673" s="1"/>
  <c r="L10" i="1673"/>
  <c r="L9" i="1673"/>
  <c r="K9" i="1673" s="1"/>
  <c r="L8" i="1673"/>
  <c r="AB8" i="1673" s="1"/>
  <c r="L6" i="1673"/>
  <c r="K6" i="1673" s="1"/>
  <c r="K19" i="1673"/>
  <c r="K16" i="1673"/>
  <c r="K8" i="1673"/>
  <c r="K7" i="1673"/>
  <c r="A76" i="1673"/>
  <c r="A77" i="1673" s="1"/>
  <c r="A78" i="1673" s="1"/>
  <c r="A79" i="1673" s="1"/>
  <c r="A80" i="1673" s="1"/>
  <c r="A81" i="1673" s="1"/>
  <c r="A82" i="1673" s="1"/>
  <c r="A75" i="1673"/>
  <c r="AF61" i="1673"/>
  <c r="AF60" i="1673"/>
  <c r="AA22" i="1673"/>
  <c r="Z22" i="1673"/>
  <c r="Y22" i="1673"/>
  <c r="X22" i="1673"/>
  <c r="W22" i="1673"/>
  <c r="V22" i="1673"/>
  <c r="U22" i="1673"/>
  <c r="T22" i="1673"/>
  <c r="S22" i="1673"/>
  <c r="R22" i="1673"/>
  <c r="N22" i="1673"/>
  <c r="J22" i="1673"/>
  <c r="I22" i="1673"/>
  <c r="AF21" i="1673"/>
  <c r="AB21" i="1673"/>
  <c r="Q21" i="1673"/>
  <c r="P21" i="1673"/>
  <c r="AC21" i="1673" s="1"/>
  <c r="O21" i="1673"/>
  <c r="M21" i="1673"/>
  <c r="K21" i="1673"/>
  <c r="AF20" i="1673"/>
  <c r="Q20" i="1673"/>
  <c r="M20" i="1673"/>
  <c r="AF19" i="1673"/>
  <c r="Q19" i="1673"/>
  <c r="P19" i="1673"/>
  <c r="AC19" i="1673" s="1"/>
  <c r="AF18" i="1673"/>
  <c r="AB18" i="1673"/>
  <c r="Q18" i="1673"/>
  <c r="P18" i="1673" s="1"/>
  <c r="AC18" i="1673" s="1"/>
  <c r="O18" i="1673"/>
  <c r="M18" i="1673"/>
  <c r="AF17" i="1673"/>
  <c r="AB17" i="1673"/>
  <c r="Q17" i="1673"/>
  <c r="P17" i="1673"/>
  <c r="AC17" i="1673" s="1"/>
  <c r="AF16" i="1673"/>
  <c r="Q16" i="1673"/>
  <c r="P16" i="1673"/>
  <c r="AC16" i="1673" s="1"/>
  <c r="AF15" i="1673"/>
  <c r="AB15" i="1673"/>
  <c r="Q15" i="1673"/>
  <c r="P15" i="1673"/>
  <c r="AC15" i="1673" s="1"/>
  <c r="O15" i="1673"/>
  <c r="M15" i="1673"/>
  <c r="K15" i="1673"/>
  <c r="AF14" i="1673"/>
  <c r="AB14" i="1673"/>
  <c r="Q14" i="1673"/>
  <c r="P14" i="1673"/>
  <c r="AC14" i="1673" s="1"/>
  <c r="O14" i="1673"/>
  <c r="M14" i="1673"/>
  <c r="K14" i="1673"/>
  <c r="AF13" i="1673"/>
  <c r="AB13" i="1673"/>
  <c r="Q13" i="1673"/>
  <c r="P13" i="1673"/>
  <c r="AC13" i="1673" s="1"/>
  <c r="O13" i="1673"/>
  <c r="M13" i="1673"/>
  <c r="AF12" i="1673"/>
  <c r="AB12" i="1673"/>
  <c r="Q12" i="1673"/>
  <c r="P12" i="1673" s="1"/>
  <c r="AC12" i="1673" s="1"/>
  <c r="AF11" i="1673"/>
  <c r="AB11" i="1673"/>
  <c r="Q11" i="1673"/>
  <c r="P11" i="1673" s="1"/>
  <c r="AC11" i="1673" s="1"/>
  <c r="O11" i="1673"/>
  <c r="M11" i="1673"/>
  <c r="AF10" i="1673"/>
  <c r="Q10" i="1673"/>
  <c r="K10" i="1673"/>
  <c r="AF9" i="1673"/>
  <c r="Q9" i="1673"/>
  <c r="O9" i="1673"/>
  <c r="AF8" i="1673"/>
  <c r="Q8" i="1673"/>
  <c r="P8" i="1673"/>
  <c r="AC8" i="1673" s="1"/>
  <c r="AF7" i="1673"/>
  <c r="AB7" i="1673"/>
  <c r="Q7" i="1673"/>
  <c r="P7" i="1673" s="1"/>
  <c r="AC7" i="1673" s="1"/>
  <c r="O7" i="1673"/>
  <c r="M7" i="1673"/>
  <c r="AF6" i="1673"/>
  <c r="AB6" i="1673"/>
  <c r="Q6" i="1673"/>
  <c r="O6" i="1673"/>
  <c r="M6" i="1673"/>
  <c r="AE20" i="1676" l="1"/>
  <c r="AE17" i="1676"/>
  <c r="AE12" i="1676"/>
  <c r="AE8" i="1676"/>
  <c r="AE18" i="1676"/>
  <c r="AE15" i="1676"/>
  <c r="AE13" i="1676"/>
  <c r="AE9" i="1676"/>
  <c r="AE6" i="1676"/>
  <c r="AE7" i="1676"/>
  <c r="AE21" i="1676"/>
  <c r="AE19" i="1676"/>
  <c r="AE10" i="1676"/>
  <c r="AE16" i="1676"/>
  <c r="AE14" i="1676"/>
  <c r="AE11" i="1676"/>
  <c r="AD6" i="1675"/>
  <c r="AD16" i="1674"/>
  <c r="AD23" i="1674"/>
  <c r="AD20" i="1674"/>
  <c r="AD12" i="1674"/>
  <c r="Q24" i="1674"/>
  <c r="AD7" i="1674"/>
  <c r="AD11" i="1674"/>
  <c r="AD15" i="1674"/>
  <c r="AD17" i="1674"/>
  <c r="AD8" i="1674"/>
  <c r="AD22" i="1674"/>
  <c r="M6" i="1674"/>
  <c r="AB6" i="1674"/>
  <c r="M9" i="1674"/>
  <c r="O6" i="1674"/>
  <c r="M8" i="1674"/>
  <c r="O9" i="1674"/>
  <c r="P10" i="1674"/>
  <c r="AC10" i="1674" s="1"/>
  <c r="AD10" i="1674" s="1"/>
  <c r="M12" i="1674"/>
  <c r="O13" i="1674"/>
  <c r="M17" i="1674"/>
  <c r="O19" i="1674"/>
  <c r="M22" i="1674"/>
  <c r="P6" i="1674"/>
  <c r="K9" i="1674"/>
  <c r="P9" i="1674"/>
  <c r="AC9" i="1674" s="1"/>
  <c r="P13" i="1674"/>
  <c r="AC13" i="1674" s="1"/>
  <c r="P19" i="1674"/>
  <c r="AC19" i="1674" s="1"/>
  <c r="AD19" i="1674" s="1"/>
  <c r="M13" i="1674"/>
  <c r="M19" i="1674"/>
  <c r="P20" i="1673"/>
  <c r="AC20" i="1673" s="1"/>
  <c r="K17" i="1673"/>
  <c r="K22" i="1673" s="1"/>
  <c r="K12" i="1673"/>
  <c r="M8" i="1673"/>
  <c r="M22" i="1673" s="1"/>
  <c r="AD21" i="1673"/>
  <c r="AF63" i="1673"/>
  <c r="AD11" i="1673"/>
  <c r="P10" i="1673"/>
  <c r="AC10" i="1673" s="1"/>
  <c r="AB10" i="1673"/>
  <c r="M10" i="1673"/>
  <c r="O10" i="1673"/>
  <c r="P9" i="1673"/>
  <c r="AC9" i="1673" s="1"/>
  <c r="AD9" i="1673" s="1"/>
  <c r="M9" i="1673"/>
  <c r="AB9" i="1673"/>
  <c r="Q22" i="1673"/>
  <c r="P6" i="1673"/>
  <c r="AC6" i="1673" s="1"/>
  <c r="L22" i="1673"/>
  <c r="O22" i="1673" s="1"/>
  <c r="AD15" i="1673"/>
  <c r="AD7" i="1673"/>
  <c r="AD14" i="1673"/>
  <c r="AD13" i="1673"/>
  <c r="AD18" i="1673"/>
  <c r="AB20" i="1673"/>
  <c r="AD6" i="1673"/>
  <c r="O12" i="1673"/>
  <c r="AD12" i="1673" s="1"/>
  <c r="M16" i="1673"/>
  <c r="AB16" i="1673"/>
  <c r="O17" i="1673"/>
  <c r="AD17" i="1673" s="1"/>
  <c r="M19" i="1673"/>
  <c r="AB19" i="1673"/>
  <c r="O20" i="1673"/>
  <c r="O8" i="1673"/>
  <c r="AD8" i="1673" s="1"/>
  <c r="O16" i="1673"/>
  <c r="O19" i="1673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1" i="1672"/>
  <c r="K21" i="1672"/>
  <c r="L20" i="1672"/>
  <c r="K20" i="1672"/>
  <c r="K19" i="1672"/>
  <c r="L18" i="1672"/>
  <c r="P18" i="1672" s="1"/>
  <c r="AC18" i="1672" s="1"/>
  <c r="L17" i="1672"/>
  <c r="L13" i="1672"/>
  <c r="K13" i="1672" s="1"/>
  <c r="L12" i="1672"/>
  <c r="M12" i="1672" s="1"/>
  <c r="L8" i="1672"/>
  <c r="K8" i="1672" s="1"/>
  <c r="L6" i="1672"/>
  <c r="K17" i="1672"/>
  <c r="K16" i="1672"/>
  <c r="K14" i="1672"/>
  <c r="K11" i="1672"/>
  <c r="K10" i="1672"/>
  <c r="K7" i="1672"/>
  <c r="K6" i="1672"/>
  <c r="A77" i="1672"/>
  <c r="A78" i="1672" s="1"/>
  <c r="A79" i="1672" s="1"/>
  <c r="A80" i="1672" s="1"/>
  <c r="A81" i="1672" s="1"/>
  <c r="A82" i="1672" s="1"/>
  <c r="A83" i="1672" s="1"/>
  <c r="A76" i="1672"/>
  <c r="AF62" i="1672"/>
  <c r="AF61" i="1672"/>
  <c r="AF64" i="1672" s="1"/>
  <c r="AA23" i="1672"/>
  <c r="Z23" i="1672"/>
  <c r="Y23" i="1672"/>
  <c r="X23" i="1672"/>
  <c r="W23" i="1672"/>
  <c r="V23" i="1672"/>
  <c r="U23" i="1672"/>
  <c r="T23" i="1672"/>
  <c r="S23" i="1672"/>
  <c r="R23" i="1672"/>
  <c r="N23" i="1672"/>
  <c r="J23" i="1672"/>
  <c r="I23" i="1672"/>
  <c r="AF22" i="1672"/>
  <c r="AB22" i="1672"/>
  <c r="Q22" i="1672"/>
  <c r="P22" i="1672"/>
  <c r="AC22" i="1672" s="1"/>
  <c r="AD22" i="1672" s="1"/>
  <c r="O22" i="1672"/>
  <c r="M22" i="1672"/>
  <c r="K22" i="1672"/>
  <c r="AF21" i="1672"/>
  <c r="Q21" i="1672"/>
  <c r="P21" i="1672" s="1"/>
  <c r="AC21" i="1672" s="1"/>
  <c r="O21" i="1672"/>
  <c r="AF20" i="1672"/>
  <c r="AB20" i="1672"/>
  <c r="Q20" i="1672"/>
  <c r="P20" i="1672" s="1"/>
  <c r="AC20" i="1672" s="1"/>
  <c r="O20" i="1672"/>
  <c r="M20" i="1672"/>
  <c r="AF19" i="1672"/>
  <c r="AB19" i="1672"/>
  <c r="Q19" i="1672"/>
  <c r="P19" i="1672"/>
  <c r="AC19" i="1672" s="1"/>
  <c r="O19" i="1672"/>
  <c r="M19" i="1672"/>
  <c r="AF18" i="1672"/>
  <c r="Q18" i="1672"/>
  <c r="AF17" i="1672"/>
  <c r="AB17" i="1672"/>
  <c r="Q17" i="1672"/>
  <c r="P17" i="1672"/>
  <c r="AC17" i="1672" s="1"/>
  <c r="M17" i="1672"/>
  <c r="O17" i="1672"/>
  <c r="AF16" i="1672"/>
  <c r="Q16" i="1672"/>
  <c r="AB16" i="1672"/>
  <c r="AF15" i="1672"/>
  <c r="AB15" i="1672"/>
  <c r="Q15" i="1672"/>
  <c r="P15" i="1672"/>
  <c r="AC15" i="1672" s="1"/>
  <c r="O15" i="1672"/>
  <c r="M15" i="1672"/>
  <c r="K15" i="1672"/>
  <c r="AF14" i="1672"/>
  <c r="AB14" i="1672"/>
  <c r="Q14" i="1672"/>
  <c r="P14" i="1672"/>
  <c r="AC14" i="1672" s="1"/>
  <c r="AD14" i="1672" s="1"/>
  <c r="M14" i="1672"/>
  <c r="O14" i="1672"/>
  <c r="AF13" i="1672"/>
  <c r="Q13" i="1672"/>
  <c r="AB13" i="1672"/>
  <c r="AF12" i="1672"/>
  <c r="Q12" i="1672"/>
  <c r="P12" i="1672" s="1"/>
  <c r="AC12" i="1672" s="1"/>
  <c r="AF11" i="1672"/>
  <c r="Q11" i="1672"/>
  <c r="O11" i="1672"/>
  <c r="P11" i="1672"/>
  <c r="AC11" i="1672" s="1"/>
  <c r="AF10" i="1672"/>
  <c r="AB10" i="1672"/>
  <c r="Q10" i="1672"/>
  <c r="P10" i="1672"/>
  <c r="AC10" i="1672" s="1"/>
  <c r="O10" i="1672"/>
  <c r="M10" i="1672"/>
  <c r="AF9" i="1672"/>
  <c r="AB9" i="1672"/>
  <c r="Q9" i="1672"/>
  <c r="P9" i="1672"/>
  <c r="AC9" i="1672" s="1"/>
  <c r="O9" i="1672"/>
  <c r="M9" i="1672"/>
  <c r="K9" i="1672"/>
  <c r="AF8" i="1672"/>
  <c r="AB8" i="1672"/>
  <c r="Q8" i="1672"/>
  <c r="P8" i="1672"/>
  <c r="AC8" i="1672" s="1"/>
  <c r="M8" i="1672"/>
  <c r="O8" i="1672"/>
  <c r="AF7" i="1672"/>
  <c r="AB7" i="1672"/>
  <c r="Q7" i="1672"/>
  <c r="P7" i="1672" s="1"/>
  <c r="AC7" i="1672" s="1"/>
  <c r="O7" i="1672"/>
  <c r="M7" i="1672"/>
  <c r="AF6" i="1672"/>
  <c r="AB6" i="1672"/>
  <c r="Q6" i="1672"/>
  <c r="M6" i="1672"/>
  <c r="AE20" i="1675" l="1"/>
  <c r="AE18" i="1675"/>
  <c r="AE13" i="1675"/>
  <c r="AE9" i="1675"/>
  <c r="AE16" i="1675"/>
  <c r="AE10" i="1675"/>
  <c r="AE6" i="1675"/>
  <c r="AE21" i="1675"/>
  <c r="AE14" i="1675"/>
  <c r="AE11" i="1675"/>
  <c r="AE7" i="1675"/>
  <c r="AE15" i="1675"/>
  <c r="AE19" i="1675"/>
  <c r="AE17" i="1675"/>
  <c r="AE12" i="1675"/>
  <c r="AE8" i="1675"/>
  <c r="K24" i="1674"/>
  <c r="AD9" i="1674"/>
  <c r="M24" i="1674"/>
  <c r="AD13" i="1674"/>
  <c r="P24" i="1674"/>
  <c r="AC6" i="1674"/>
  <c r="AD10" i="1673"/>
  <c r="P22" i="1673"/>
  <c r="AD16" i="1673"/>
  <c r="AD19" i="1673"/>
  <c r="AD20" i="1673"/>
  <c r="AD20" i="1672"/>
  <c r="K18" i="1672"/>
  <c r="K23" i="1672" s="1"/>
  <c r="O18" i="1672"/>
  <c r="L23" i="1672"/>
  <c r="O23" i="1672" s="1"/>
  <c r="K12" i="1672"/>
  <c r="O12" i="1672"/>
  <c r="AB12" i="1672"/>
  <c r="AD12" i="1672" s="1"/>
  <c r="Q23" i="1672"/>
  <c r="AD9" i="1672"/>
  <c r="P6" i="1672"/>
  <c r="AC6" i="1672" s="1"/>
  <c r="AD10" i="1672"/>
  <c r="AD19" i="1672"/>
  <c r="AD7" i="1672"/>
  <c r="AD15" i="1672"/>
  <c r="AD8" i="1672"/>
  <c r="AD17" i="1672"/>
  <c r="O13" i="1672"/>
  <c r="O16" i="1672"/>
  <c r="M11" i="1672"/>
  <c r="AB11" i="1672"/>
  <c r="AD11" i="1672" s="1"/>
  <c r="P13" i="1672"/>
  <c r="AC13" i="1672" s="1"/>
  <c r="P16" i="1672"/>
  <c r="AC16" i="1672" s="1"/>
  <c r="M18" i="1672"/>
  <c r="AB18" i="1672"/>
  <c r="AD18" i="1672" s="1"/>
  <c r="M21" i="1672"/>
  <c r="AB21" i="1672"/>
  <c r="AD21" i="1672" s="1"/>
  <c r="O6" i="1672"/>
  <c r="M13" i="1672"/>
  <c r="M16" i="1672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2" i="1671"/>
  <c r="K21" i="1671"/>
  <c r="L20" i="1671"/>
  <c r="K20" i="1671"/>
  <c r="L19" i="1671"/>
  <c r="L18" i="1671"/>
  <c r="L17" i="1671"/>
  <c r="L15" i="1671"/>
  <c r="L14" i="1671"/>
  <c r="L13" i="1671"/>
  <c r="O13" i="1671" s="1"/>
  <c r="AF13" i="1671"/>
  <c r="Q13" i="1671"/>
  <c r="P13" i="1671" s="1"/>
  <c r="AC13" i="1671" s="1"/>
  <c r="L12" i="1671"/>
  <c r="AD6" i="1674" l="1"/>
  <c r="AE20" i="1673"/>
  <c r="M23" i="1672"/>
  <c r="AD16" i="1672"/>
  <c r="AD6" i="1672"/>
  <c r="AD13" i="1672"/>
  <c r="P23" i="1672"/>
  <c r="AD13" i="1671"/>
  <c r="K13" i="1671"/>
  <c r="M13" i="1671"/>
  <c r="AB13" i="1671"/>
  <c r="L9" i="1671"/>
  <c r="K9" i="1671" s="1"/>
  <c r="K8" i="1671"/>
  <c r="L6" i="1671"/>
  <c r="L7" i="1671"/>
  <c r="K7" i="1671"/>
  <c r="AF7" i="1671"/>
  <c r="AB7" i="1671"/>
  <c r="Q7" i="1671"/>
  <c r="M7" i="1671"/>
  <c r="K22" i="1671"/>
  <c r="K19" i="1671"/>
  <c r="K18" i="1671"/>
  <c r="K17" i="1671"/>
  <c r="K15" i="1671"/>
  <c r="K14" i="1671"/>
  <c r="K12" i="1671"/>
  <c r="K11" i="1671"/>
  <c r="K10" i="1671"/>
  <c r="A77" i="1671"/>
  <c r="A78" i="1671" s="1"/>
  <c r="A79" i="1671" s="1"/>
  <c r="A80" i="1671" s="1"/>
  <c r="A81" i="1671" s="1"/>
  <c r="A82" i="1671" s="1"/>
  <c r="A83" i="1671" s="1"/>
  <c r="A84" i="1671" s="1"/>
  <c r="AF63" i="1671"/>
  <c r="AF65" i="1671" s="1"/>
  <c r="AF62" i="1671"/>
  <c r="AA24" i="1671"/>
  <c r="Z24" i="1671"/>
  <c r="Y24" i="1671"/>
  <c r="X24" i="1671"/>
  <c r="W24" i="1671"/>
  <c r="V24" i="1671"/>
  <c r="U24" i="1671"/>
  <c r="T24" i="1671"/>
  <c r="S24" i="1671"/>
  <c r="R24" i="1671"/>
  <c r="N24" i="1671"/>
  <c r="J24" i="1671"/>
  <c r="I24" i="1671"/>
  <c r="AF23" i="1671"/>
  <c r="AB23" i="1671"/>
  <c r="Q23" i="1671"/>
  <c r="P23" i="1671"/>
  <c r="AC23" i="1671" s="1"/>
  <c r="O23" i="1671"/>
  <c r="M23" i="1671"/>
  <c r="K23" i="1671"/>
  <c r="AF22" i="1671"/>
  <c r="Q22" i="1671"/>
  <c r="P22" i="1671"/>
  <c r="AC22" i="1671" s="1"/>
  <c r="O22" i="1671"/>
  <c r="AF21" i="1671"/>
  <c r="Q21" i="1671"/>
  <c r="P21" i="1671" s="1"/>
  <c r="AC21" i="1671" s="1"/>
  <c r="O21" i="1671"/>
  <c r="AF20" i="1671"/>
  <c r="AB20" i="1671"/>
  <c r="Q20" i="1671"/>
  <c r="P20" i="1671"/>
  <c r="AC20" i="1671" s="1"/>
  <c r="O20" i="1671"/>
  <c r="M20" i="1671"/>
  <c r="AF19" i="1671"/>
  <c r="Q19" i="1671"/>
  <c r="AB19" i="1671"/>
  <c r="AF18" i="1671"/>
  <c r="Q18" i="1671"/>
  <c r="P18" i="1671" s="1"/>
  <c r="AC18" i="1671" s="1"/>
  <c r="O18" i="1671"/>
  <c r="AF17" i="1671"/>
  <c r="Q17" i="1671"/>
  <c r="P17" i="1671" s="1"/>
  <c r="AC17" i="1671" s="1"/>
  <c r="O17" i="1671"/>
  <c r="AB17" i="1671"/>
  <c r="AF16" i="1671"/>
  <c r="AC16" i="1671"/>
  <c r="AB16" i="1671"/>
  <c r="Q16" i="1671"/>
  <c r="P16" i="1671"/>
  <c r="O16" i="1671"/>
  <c r="M16" i="1671"/>
  <c r="K16" i="1671"/>
  <c r="AF15" i="1671"/>
  <c r="Q15" i="1671"/>
  <c r="P15" i="1671"/>
  <c r="AC15" i="1671" s="1"/>
  <c r="O15" i="1671"/>
  <c r="AF14" i="1671"/>
  <c r="Q14" i="1671"/>
  <c r="P14" i="1671"/>
  <c r="AC14" i="1671" s="1"/>
  <c r="O14" i="1671"/>
  <c r="AB14" i="1671"/>
  <c r="AF12" i="1671"/>
  <c r="AB12" i="1671"/>
  <c r="Q12" i="1671"/>
  <c r="P12" i="1671" s="1"/>
  <c r="AC12" i="1671" s="1"/>
  <c r="O12" i="1671"/>
  <c r="M12" i="1671"/>
  <c r="AF11" i="1671"/>
  <c r="Q11" i="1671"/>
  <c r="AB11" i="1671"/>
  <c r="AF10" i="1671"/>
  <c r="Q10" i="1671"/>
  <c r="P10" i="1671"/>
  <c r="AC10" i="1671" s="1"/>
  <c r="O10" i="1671"/>
  <c r="AF9" i="1671"/>
  <c r="Q9" i="1671"/>
  <c r="AF8" i="1671"/>
  <c r="AB8" i="1671"/>
  <c r="Q8" i="1671"/>
  <c r="P8" i="1671" s="1"/>
  <c r="AC8" i="1671" s="1"/>
  <c r="O8" i="1671"/>
  <c r="M8" i="1671"/>
  <c r="AF6" i="1671"/>
  <c r="AB6" i="1671"/>
  <c r="Q6" i="1671"/>
  <c r="AE18" i="1674" l="1"/>
  <c r="AE21" i="1674"/>
  <c r="AE22" i="1674"/>
  <c r="AE17" i="1674"/>
  <c r="AE12" i="1674"/>
  <c r="AE15" i="1674"/>
  <c r="AE6" i="1674"/>
  <c r="AE19" i="1674"/>
  <c r="AE13" i="1674"/>
  <c r="AE23" i="1674"/>
  <c r="AE10" i="1674"/>
  <c r="AE20" i="1674"/>
  <c r="AE16" i="1674"/>
  <c r="AE14" i="1674"/>
  <c r="AE11" i="1674"/>
  <c r="AE7" i="1674"/>
  <c r="AE8" i="1674"/>
  <c r="AE9" i="1674"/>
  <c r="AE16" i="1673"/>
  <c r="AE15" i="1673"/>
  <c r="AE9" i="1673"/>
  <c r="AE12" i="1673"/>
  <c r="AE18" i="1673"/>
  <c r="AE14" i="1673"/>
  <c r="AE11" i="1673"/>
  <c r="AE21" i="1673"/>
  <c r="AE8" i="1673"/>
  <c r="AE17" i="1673"/>
  <c r="AE19" i="1673"/>
  <c r="AE6" i="1673"/>
  <c r="AE13" i="1673"/>
  <c r="AE7" i="1673"/>
  <c r="AE10" i="1673"/>
  <c r="O9" i="1671"/>
  <c r="P9" i="1671"/>
  <c r="AC9" i="1671" s="1"/>
  <c r="P6" i="1671"/>
  <c r="AC6" i="1671" s="1"/>
  <c r="M6" i="1671"/>
  <c r="K6" i="1671"/>
  <c r="K24" i="1671" s="1"/>
  <c r="P7" i="1671"/>
  <c r="AC7" i="1671" s="1"/>
  <c r="O7" i="1671"/>
  <c r="L24" i="1671"/>
  <c r="O24" i="1671" s="1"/>
  <c r="AD8" i="1671"/>
  <c r="AD23" i="1671"/>
  <c r="AD16" i="1671"/>
  <c r="Q24" i="1671"/>
  <c r="O6" i="1671"/>
  <c r="AD20" i="1671"/>
  <c r="AD12" i="1671"/>
  <c r="AD14" i="1671"/>
  <c r="AD17" i="1671"/>
  <c r="M11" i="1671"/>
  <c r="M10" i="1671"/>
  <c r="AB10" i="1671"/>
  <c r="AD10" i="1671" s="1"/>
  <c r="O11" i="1671"/>
  <c r="M15" i="1671"/>
  <c r="AB15" i="1671"/>
  <c r="AD15" i="1671" s="1"/>
  <c r="M18" i="1671"/>
  <c r="AB18" i="1671"/>
  <c r="AD18" i="1671" s="1"/>
  <c r="O19" i="1671"/>
  <c r="M22" i="1671"/>
  <c r="AB22" i="1671"/>
  <c r="AD22" i="1671" s="1"/>
  <c r="M9" i="1671"/>
  <c r="AB9" i="1671"/>
  <c r="P11" i="1671"/>
  <c r="AC11" i="1671" s="1"/>
  <c r="AD11" i="1671" s="1"/>
  <c r="M14" i="1671"/>
  <c r="M17" i="1671"/>
  <c r="P19" i="1671"/>
  <c r="AC19" i="1671" s="1"/>
  <c r="AD19" i="1671" s="1"/>
  <c r="M21" i="1671"/>
  <c r="AB21" i="1671"/>
  <c r="AD21" i="1671" s="1"/>
  <c r="M19" i="1671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1670"/>
  <c r="L19" i="1670"/>
  <c r="L18" i="1670"/>
  <c r="K18" i="1670"/>
  <c r="L17" i="1670"/>
  <c r="L16" i="1670"/>
  <c r="L15" i="1670"/>
  <c r="K15" i="1670"/>
  <c r="L13" i="1670"/>
  <c r="L12" i="1670"/>
  <c r="L11" i="1670"/>
  <c r="L10" i="1670"/>
  <c r="L9" i="1670"/>
  <c r="K9" i="1670"/>
  <c r="L8" i="1670"/>
  <c r="AE19" i="1672" l="1"/>
  <c r="AE15" i="1672"/>
  <c r="AE12" i="1672"/>
  <c r="AE9" i="1672"/>
  <c r="AE22" i="1672"/>
  <c r="AE16" i="1672"/>
  <c r="AE13" i="1672"/>
  <c r="AE7" i="1672"/>
  <c r="AE20" i="1672"/>
  <c r="AE17" i="1672"/>
  <c r="AE14" i="1672"/>
  <c r="AE10" i="1672"/>
  <c r="AE8" i="1672"/>
  <c r="AE6" i="1672"/>
  <c r="AE21" i="1672"/>
  <c r="AE18" i="1672"/>
  <c r="AE11" i="1672"/>
  <c r="AD9" i="1671"/>
  <c r="AD7" i="1671"/>
  <c r="M24" i="1671"/>
  <c r="AD6" i="1671"/>
  <c r="P24" i="1671"/>
  <c r="AG19" i="16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K20" i="1670"/>
  <c r="K16" i="1670"/>
  <c r="K14" i="1670"/>
  <c r="K13" i="1670"/>
  <c r="K12" i="1670"/>
  <c r="K11" i="1670"/>
  <c r="K10" i="1670"/>
  <c r="K8" i="1670"/>
  <c r="K6" i="1670"/>
  <c r="K19" i="1670" l="1"/>
  <c r="P13" i="1670"/>
  <c r="AC13" i="1670" s="1"/>
  <c r="AB12" i="1670"/>
  <c r="O11" i="1670"/>
  <c r="AB9" i="1670"/>
  <c r="O8" i="1670"/>
  <c r="K21" i="1670"/>
  <c r="A75" i="1670"/>
  <c r="A76" i="1670" s="1"/>
  <c r="A77" i="1670" s="1"/>
  <c r="A78" i="1670" s="1"/>
  <c r="A79" i="1670" s="1"/>
  <c r="A80" i="1670" s="1"/>
  <c r="A81" i="1670" s="1"/>
  <c r="A82" i="1670" s="1"/>
  <c r="AF61" i="1670"/>
  <c r="AF63" i="1670" s="1"/>
  <c r="AF60" i="1670"/>
  <c r="AA22" i="1670"/>
  <c r="Z22" i="1670"/>
  <c r="Y22" i="1670"/>
  <c r="X22" i="1670"/>
  <c r="W22" i="1670"/>
  <c r="V22" i="1670"/>
  <c r="U22" i="1670"/>
  <c r="T22" i="1670"/>
  <c r="S22" i="1670"/>
  <c r="R22" i="1670"/>
  <c r="N22" i="1670"/>
  <c r="J22" i="1670"/>
  <c r="I22" i="1670"/>
  <c r="AF21" i="1670"/>
  <c r="AB21" i="1670"/>
  <c r="Q21" i="1670"/>
  <c r="P21" i="1670"/>
  <c r="AC21" i="1670" s="1"/>
  <c r="O21" i="1670"/>
  <c r="M21" i="1670"/>
  <c r="AF20" i="1670"/>
  <c r="Q20" i="1670"/>
  <c r="O20" i="1670"/>
  <c r="AB20" i="1670"/>
  <c r="AF19" i="1670"/>
  <c r="AB19" i="1670"/>
  <c r="Q19" i="1670"/>
  <c r="P19" i="1670" s="1"/>
  <c r="AC19" i="1670" s="1"/>
  <c r="O19" i="1670"/>
  <c r="M19" i="1670"/>
  <c r="AF18" i="1670"/>
  <c r="AB18" i="1670"/>
  <c r="Q18" i="1670"/>
  <c r="P18" i="1670"/>
  <c r="AC18" i="1670" s="1"/>
  <c r="O18" i="1670"/>
  <c r="M18" i="1670"/>
  <c r="AF17" i="1670"/>
  <c r="AB17" i="1670"/>
  <c r="Q17" i="1670"/>
  <c r="P17" i="1670" s="1"/>
  <c r="AC17" i="1670" s="1"/>
  <c r="O17" i="1670"/>
  <c r="M17" i="1670"/>
  <c r="K17" i="1670"/>
  <c r="AF16" i="1670"/>
  <c r="AB16" i="1670"/>
  <c r="Q16" i="1670"/>
  <c r="M16" i="1670"/>
  <c r="O16" i="1670"/>
  <c r="AF15" i="1670"/>
  <c r="Q15" i="1670"/>
  <c r="O15" i="1670"/>
  <c r="AB15" i="1670"/>
  <c r="AF14" i="1670"/>
  <c r="AB14" i="1670"/>
  <c r="Q14" i="1670"/>
  <c r="P14" i="1670" s="1"/>
  <c r="AC14" i="1670" s="1"/>
  <c r="O14" i="1670"/>
  <c r="M14" i="1670"/>
  <c r="AF13" i="1670"/>
  <c r="AB13" i="1670"/>
  <c r="Q13" i="1670"/>
  <c r="O13" i="1670"/>
  <c r="AF12" i="1670"/>
  <c r="Q12" i="1670"/>
  <c r="O12" i="1670"/>
  <c r="AF11" i="1670"/>
  <c r="AB11" i="1670"/>
  <c r="Q11" i="1670"/>
  <c r="P11" i="1670" s="1"/>
  <c r="AC11" i="1670" s="1"/>
  <c r="M11" i="1670"/>
  <c r="AF10" i="1670"/>
  <c r="Q10" i="1670"/>
  <c r="P10" i="1670" s="1"/>
  <c r="AC10" i="1670" s="1"/>
  <c r="AF9" i="1670"/>
  <c r="Q9" i="1670"/>
  <c r="P9" i="1670" s="1"/>
  <c r="AC9" i="1670" s="1"/>
  <c r="M9" i="1670"/>
  <c r="AF8" i="1670"/>
  <c r="Q8" i="1670"/>
  <c r="AB8" i="1670"/>
  <c r="AF7" i="1670"/>
  <c r="AB7" i="1670"/>
  <c r="Q7" i="1670"/>
  <c r="P7" i="1670"/>
  <c r="AC7" i="1670" s="1"/>
  <c r="O7" i="1670"/>
  <c r="M7" i="1670"/>
  <c r="K7" i="1670"/>
  <c r="AF6" i="1670"/>
  <c r="Q6" i="1670"/>
  <c r="AE7" i="1671" l="1"/>
  <c r="AE13" i="1671"/>
  <c r="AE10" i="1671"/>
  <c r="AE12" i="1671"/>
  <c r="AE14" i="1671"/>
  <c r="AE23" i="1671"/>
  <c r="AE17" i="1671"/>
  <c r="AE19" i="1671"/>
  <c r="AE8" i="1671"/>
  <c r="AE22" i="1671"/>
  <c r="AE15" i="1671"/>
  <c r="AE21" i="1671"/>
  <c r="AE16" i="1671"/>
  <c r="AE6" i="1671"/>
  <c r="AE9" i="1671"/>
  <c r="AE11" i="1671"/>
  <c r="AE20" i="1671"/>
  <c r="AE18" i="1671"/>
  <c r="P16" i="1670"/>
  <c r="AC16" i="1670" s="1"/>
  <c r="AD16" i="1670" s="1"/>
  <c r="AD13" i="1670"/>
  <c r="M13" i="1670"/>
  <c r="AB6" i="1670"/>
  <c r="AD19" i="1670"/>
  <c r="K22" i="1670"/>
  <c r="M6" i="1670"/>
  <c r="O6" i="1670"/>
  <c r="AD11" i="1670"/>
  <c r="O9" i="1670"/>
  <c r="AD9" i="1670" s="1"/>
  <c r="Q22" i="1670"/>
  <c r="P6" i="1670"/>
  <c r="AC6" i="1670" s="1"/>
  <c r="AD6" i="1670" s="1"/>
  <c r="AD18" i="1670"/>
  <c r="AD14" i="1670"/>
  <c r="AD21" i="1670"/>
  <c r="AD7" i="1670"/>
  <c r="AD17" i="1670"/>
  <c r="P8" i="1670"/>
  <c r="AC8" i="1670" s="1"/>
  <c r="AD8" i="1670" s="1"/>
  <c r="M10" i="1670"/>
  <c r="AB10" i="1670"/>
  <c r="P12" i="1670"/>
  <c r="AC12" i="1670" s="1"/>
  <c r="AD12" i="1670" s="1"/>
  <c r="P15" i="1670"/>
  <c r="AC15" i="1670" s="1"/>
  <c r="AD15" i="1670" s="1"/>
  <c r="P20" i="1670"/>
  <c r="AC20" i="1670" s="1"/>
  <c r="AD20" i="1670" s="1"/>
  <c r="L22" i="1670"/>
  <c r="O22" i="1670" s="1"/>
  <c r="O10" i="1670"/>
  <c r="M8" i="1670"/>
  <c r="M12" i="1670"/>
  <c r="M15" i="1670"/>
  <c r="M20" i="1670"/>
  <c r="P22" i="1670" l="1"/>
  <c r="M22" i="1670"/>
  <c r="AD10" i="1670"/>
  <c r="AE14" i="1670" l="1"/>
  <c r="AE21" i="1670" l="1"/>
  <c r="AE9" i="1670"/>
  <c r="AE10" i="1670"/>
  <c r="AE18" i="1670"/>
  <c r="AE6" i="1670"/>
  <c r="AE20" i="1670"/>
  <c r="AE7" i="1670"/>
  <c r="AE13" i="1670"/>
  <c r="AE11" i="1670"/>
  <c r="AE8" i="1670"/>
  <c r="AE17" i="1670"/>
  <c r="AE16" i="1670"/>
  <c r="AE15" i="1670"/>
  <c r="AE12" i="1670"/>
  <c r="AE19" i="1670"/>
</calcChain>
</file>

<file path=xl/sharedStrings.xml><?xml version="1.0" encoding="utf-8"?>
<sst xmlns="http://schemas.openxmlformats.org/spreadsheetml/2006/main" count="6776" uniqueCount="625">
  <si>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</si>
  <si>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</si>
  <si>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</si>
  <si>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</si>
  <si>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</si>
  <si>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</si>
  <si>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</si>
  <si>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</si>
  <si>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</si>
  <si>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</si>
  <si>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</si>
  <si>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</si>
  <si>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</si>
  <si>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</si>
  <si>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</si>
  <si>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</si>
  <si>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</si>
  <si>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</si>
  <si>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</si>
  <si>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</si>
  <si>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</si>
  <si>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</si>
  <si>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</si>
  <si>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</si>
  <si>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</si>
  <si>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</si>
  <si>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</si>
  <si>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</si>
  <si>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</si>
  <si>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</si>
  <si>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</si>
  <si>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</si>
  <si>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</si>
  <si>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</si>
  <si>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</si>
  <si>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</si>
  <si>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</si>
  <si>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</si>
  <si>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</si>
  <si>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</si>
  <si>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</si>
  <si>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</si>
  <si>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</si>
  <si>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</si>
  <si>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</si>
  <si>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</si>
  <si>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</si>
  <si>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</si>
  <si>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</si>
  <si>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</si>
  <si>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</si>
  <si>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</si>
  <si>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</si>
  <si>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</si>
  <si>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</si>
  <si>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</si>
  <si>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</si>
  <si>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</si>
  <si>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</si>
  <si>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</si>
  <si>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</si>
  <si>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</si>
  <si>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</si>
  <si>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</si>
  <si>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</si>
  <si>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</si>
  <si>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</si>
  <si>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</si>
  <si>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</si>
  <si>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</si>
  <si>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</si>
  <si>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</si>
  <si>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</si>
  <si>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</si>
  <si>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</si>
  <si>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</si>
  <si>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</si>
  <si>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</si>
  <si>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</si>
  <si>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</si>
  <si>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</si>
  <si>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</si>
  <si>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</si>
  <si>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</si>
  <si>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</si>
  <si>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</si>
  <si>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</si>
  <si>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</si>
  <si>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</si>
  <si>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</si>
  <si>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</si>
  <si>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</si>
  <si>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</si>
  <si>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</si>
  <si>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</si>
  <si>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</si>
  <si>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</si>
  <si>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</si>
  <si>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</si>
  <si>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</si>
  <si>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</si>
  <si>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</si>
  <si>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</si>
  <si>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</si>
  <si>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</si>
  <si>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</si>
  <si>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</si>
  <si>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</si>
  <si>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</si>
  <si>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</si>
  <si>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</si>
  <si>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</si>
  <si>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</si>
  <si>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</si>
  <si>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</si>
  <si>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</si>
  <si>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</si>
  <si>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</si>
  <si>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</si>
  <si>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</si>
  <si>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</si>
  <si>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</si>
  <si>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</si>
  <si>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</si>
  <si>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SGF2030</t>
    <phoneticPr fontId="2" type="noConversion"/>
  </si>
  <si>
    <t>SGF2041</t>
    <phoneticPr fontId="2" type="noConversion"/>
  </si>
  <si>
    <t>HDB08-M01A1(4C)</t>
    <phoneticPr fontId="2" type="noConversion"/>
  </si>
  <si>
    <t>LATCH</t>
    <phoneticPr fontId="2" type="noConversion"/>
  </si>
  <si>
    <t>STOPPER</t>
    <phoneticPr fontId="2" type="noConversion"/>
  </si>
  <si>
    <t>HDB08-M01A4(4C)</t>
    <phoneticPr fontId="2" type="noConversion"/>
  </si>
  <si>
    <t>3</t>
    <phoneticPr fontId="2" type="noConversion"/>
  </si>
  <si>
    <t>COVER</t>
    <phoneticPr fontId="2" type="noConversion"/>
  </si>
  <si>
    <t>SGF2030 N/P</t>
    <phoneticPr fontId="2" type="noConversion"/>
  </si>
  <si>
    <t>AMB0178A-KAA-R3</t>
    <phoneticPr fontId="2" type="noConversion"/>
  </si>
  <si>
    <t>SHAFT</t>
    <phoneticPr fontId="2" type="noConversion"/>
  </si>
  <si>
    <t>JCL3030</t>
    <phoneticPr fontId="2" type="noConversion"/>
  </si>
  <si>
    <t>HR03A-05A1</t>
    <phoneticPr fontId="2" type="noConversion"/>
  </si>
  <si>
    <t>2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</si>
  <si>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</si>
  <si>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</si>
  <si>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</si>
  <si>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12</t>
    <phoneticPr fontId="2" type="noConversion"/>
  </si>
  <si>
    <t>4</t>
    <phoneticPr fontId="2" type="noConversion"/>
  </si>
  <si>
    <t>SF2255 I/V</t>
    <phoneticPr fontId="2" type="noConversion"/>
  </si>
  <si>
    <t>신작</t>
    <phoneticPr fontId="2" type="noConversion"/>
  </si>
  <si>
    <t>GN2330</t>
    <phoneticPr fontId="2" type="noConversion"/>
  </si>
  <si>
    <t>SF2255</t>
    <phoneticPr fontId="2" type="noConversion"/>
  </si>
  <si>
    <t>13</t>
    <phoneticPr fontId="2" type="noConversion"/>
  </si>
  <si>
    <t>SW-003353</t>
    <phoneticPr fontId="2" type="noConversion"/>
  </si>
  <si>
    <t>ODT</t>
    <phoneticPr fontId="2" type="noConversion"/>
  </si>
  <si>
    <t>INNER</t>
    <phoneticPr fontId="2" type="noConversion"/>
  </si>
  <si>
    <t>수리후양산</t>
    <phoneticPr fontId="2" type="noConversion"/>
  </si>
  <si>
    <t>72P</t>
    <phoneticPr fontId="2" type="noConversion"/>
  </si>
  <si>
    <t>AMM0822A-KAB-R1</t>
    <phoneticPr fontId="2" type="noConversion"/>
  </si>
  <si>
    <t>AMB20D7A-KAA-R2</t>
    <phoneticPr fontId="2" type="noConversion"/>
  </si>
  <si>
    <t>F/ADAPTER</t>
    <phoneticPr fontId="2" type="noConversion"/>
  </si>
  <si>
    <t>KR6197-D475PA</t>
    <phoneticPr fontId="2" type="noConversion"/>
  </si>
  <si>
    <t>PC투명</t>
    <phoneticPr fontId="2" type="noConversion"/>
  </si>
  <si>
    <t>AMB0355A-KAA-R1</t>
    <phoneticPr fontId="2" type="noConversion"/>
  </si>
  <si>
    <t>AAM0818D-KAB-R3</t>
    <phoneticPr fontId="2" type="noConversion"/>
  </si>
  <si>
    <t>KR6197-06KA</t>
    <phoneticPr fontId="2" type="noConversion"/>
  </si>
  <si>
    <t>NP628-1056-001#IN-A</t>
    <phoneticPr fontId="2" type="noConversion"/>
  </si>
  <si>
    <t>NP628-1056-001#IN-B</t>
    <phoneticPr fontId="2" type="noConversion"/>
  </si>
  <si>
    <r>
      <t>2020년 03월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</si>
  <si>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03월 호기별 가동현황</t>
    <phoneticPr fontId="2" type="noConversion"/>
  </si>
  <si>
    <t>ADAPTER</t>
    <phoneticPr fontId="2" type="noConversion"/>
  </si>
  <si>
    <t>K-JR01908-G02ABA</t>
    <phoneticPr fontId="2" type="noConversion"/>
  </si>
  <si>
    <t>LG35</t>
    <phoneticPr fontId="2" type="noConversion"/>
  </si>
  <si>
    <t>전일 ISSUE 사항(02일)</t>
    <phoneticPr fontId="2" type="noConversion"/>
  </si>
  <si>
    <t>코아파손2회수리</t>
    <phoneticPr fontId="2" type="noConversion"/>
  </si>
  <si>
    <t>NP628-1056-001#IN-A</t>
    <phoneticPr fontId="2" type="noConversion"/>
  </si>
  <si>
    <t>NP628-1056-001#IN-B</t>
    <phoneticPr fontId="2" type="noConversion"/>
  </si>
  <si>
    <t>SW-003353</t>
    <phoneticPr fontId="2" type="noConversion"/>
  </si>
  <si>
    <t>AMB0178A-KAA-R3</t>
    <phoneticPr fontId="2" type="noConversion"/>
  </si>
  <si>
    <t>11</t>
    <phoneticPr fontId="2" type="noConversion"/>
  </si>
  <si>
    <t>HDB08-M01A1(4C)</t>
    <phoneticPr fontId="2" type="noConversion"/>
  </si>
  <si>
    <t>K-JR01908-G02ABA</t>
    <phoneticPr fontId="2" type="noConversion"/>
  </si>
  <si>
    <t>세척후양산</t>
    <phoneticPr fontId="2" type="noConversion"/>
  </si>
  <si>
    <t>HICON</t>
    <phoneticPr fontId="2" type="noConversion"/>
  </si>
  <si>
    <t>8</t>
    <phoneticPr fontId="2" type="noConversion"/>
  </si>
  <si>
    <t>10</t>
    <phoneticPr fontId="2" type="noConversion"/>
  </si>
  <si>
    <t>당일 진행 사항(03일)</t>
    <phoneticPr fontId="2" type="noConversion"/>
  </si>
  <si>
    <t>KR6197-GP297QA</t>
    <phoneticPr fontId="2" type="noConversion"/>
  </si>
  <si>
    <t>발주분양산</t>
    <phoneticPr fontId="2" type="noConversion"/>
  </si>
  <si>
    <t>SST</t>
    <phoneticPr fontId="2" type="noConversion"/>
  </si>
  <si>
    <t>1</t>
    <phoneticPr fontId="2" type="noConversion"/>
  </si>
  <si>
    <t>HDB75-M01A3</t>
    <phoneticPr fontId="2" type="noConversion"/>
  </si>
  <si>
    <t>COVER</t>
    <phoneticPr fontId="2" type="noConversion"/>
  </si>
  <si>
    <t>AM0148A-K-R2</t>
    <phoneticPr fontId="2" type="noConversion"/>
  </si>
  <si>
    <t>MCS</t>
    <phoneticPr fontId="2" type="noConversion"/>
  </si>
  <si>
    <t>13</t>
    <phoneticPr fontId="2" type="noConversion"/>
  </si>
  <si>
    <t>BASE</t>
    <phoneticPr fontId="2" type="noConversion"/>
  </si>
  <si>
    <t>288F84M-B122A</t>
    <phoneticPr fontId="2" type="noConversion"/>
  </si>
  <si>
    <t>OKINS</t>
    <phoneticPr fontId="2" type="noConversion"/>
  </si>
  <si>
    <t>14</t>
    <phoneticPr fontId="2" type="noConversion"/>
  </si>
  <si>
    <t>SAMPLE 진행 사항(02일)</t>
    <phoneticPr fontId="2" type="noConversion"/>
  </si>
  <si>
    <t>SLIDER</t>
    <phoneticPr fontId="2" type="noConversion"/>
  </si>
  <si>
    <t>HSB05-M002B1-15BI</t>
    <phoneticPr fontId="2" type="noConversion"/>
  </si>
  <si>
    <t>SGF2041 N/P</t>
    <phoneticPr fontId="2" type="noConversion"/>
  </si>
  <si>
    <t>AMM0890A-KAD-R1</t>
    <phoneticPr fontId="2" type="noConversion"/>
  </si>
  <si>
    <t>수정</t>
    <phoneticPr fontId="2" type="noConversion"/>
  </si>
  <si>
    <t>9</t>
    <phoneticPr fontId="2" type="noConversion"/>
  </si>
  <si>
    <t>치수NG</t>
    <phoneticPr fontId="2" type="noConversion"/>
  </si>
  <si>
    <t>금형 수리 내역(02일)</t>
    <phoneticPr fontId="2" type="noConversion"/>
  </si>
  <si>
    <r>
      <t>2020년 03월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</si>
  <si>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RTP</t>
    <phoneticPr fontId="2" type="noConversion"/>
  </si>
  <si>
    <t>KR6197-G9297QA</t>
    <phoneticPr fontId="2" type="noConversion"/>
  </si>
  <si>
    <t>AMB20E4A-KAA-R3</t>
    <phoneticPr fontId="2" type="noConversion"/>
  </si>
  <si>
    <t>LATCH PLATE</t>
    <phoneticPr fontId="2" type="noConversion"/>
  </si>
  <si>
    <t>AMB09F5A-KAA-R2</t>
    <phoneticPr fontId="2" type="noConversion"/>
  </si>
  <si>
    <t>JD4901</t>
    <phoneticPr fontId="2" type="noConversion"/>
  </si>
  <si>
    <t>7301</t>
    <phoneticPr fontId="2" type="noConversion"/>
  </si>
  <si>
    <t>G1300H</t>
    <phoneticPr fontId="2" type="noConversion"/>
  </si>
  <si>
    <t>전일 ISSUE 사항(03일)</t>
    <phoneticPr fontId="2" type="noConversion"/>
  </si>
  <si>
    <t>5</t>
    <phoneticPr fontId="2" type="noConversion"/>
  </si>
  <si>
    <t>코아파손2회정지</t>
    <phoneticPr fontId="2" type="noConversion"/>
  </si>
  <si>
    <t>상측뜯김2회정지</t>
    <phoneticPr fontId="2" type="noConversion"/>
  </si>
  <si>
    <t>F/A</t>
    <phoneticPr fontId="2" type="noConversion"/>
  </si>
  <si>
    <t>런너박힘2회정지</t>
    <phoneticPr fontId="2" type="noConversion"/>
  </si>
  <si>
    <t>당일 진행 사항(04일)</t>
    <phoneticPr fontId="2" type="noConversion"/>
  </si>
  <si>
    <t>AMB0148A-KAA-R3</t>
    <phoneticPr fontId="2" type="noConversion"/>
  </si>
  <si>
    <t>AM0340A-K</t>
    <phoneticPr fontId="2" type="noConversion"/>
  </si>
  <si>
    <t>AM0115B-K</t>
    <phoneticPr fontId="2" type="noConversion"/>
  </si>
  <si>
    <t>15</t>
    <phoneticPr fontId="2" type="noConversion"/>
  </si>
  <si>
    <t>AMB0172A-KAA-R1</t>
    <phoneticPr fontId="2" type="noConversion"/>
  </si>
  <si>
    <t>SAMPLE 진행 사항(03일)</t>
    <phoneticPr fontId="2" type="noConversion"/>
  </si>
  <si>
    <t>HDB75-M01A4</t>
    <phoneticPr fontId="2" type="noConversion"/>
  </si>
  <si>
    <t>TOP/BOTTOM 12*6</t>
    <phoneticPr fontId="2" type="noConversion"/>
  </si>
  <si>
    <t>코아파손</t>
    <phoneticPr fontId="2" type="noConversion"/>
  </si>
  <si>
    <t>HSB05-M004B1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</si>
  <si>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</si>
  <si>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</si>
  <si>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t>설비 점검 내역(02일)</t>
    <phoneticPr fontId="2" type="noConversion"/>
  </si>
  <si>
    <r>
      <t>2020년 03월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</si>
  <si>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전일 ISSUE 사항(04)</t>
    <phoneticPr fontId="2" type="noConversion"/>
  </si>
  <si>
    <t>코아파손정지</t>
    <phoneticPr fontId="2" type="noConversion"/>
  </si>
  <si>
    <t>발주분양산-&gt;런너수리후양산</t>
    <phoneticPr fontId="2" type="noConversion"/>
  </si>
  <si>
    <t>당일 진행 사항(05일)</t>
    <phoneticPr fontId="2" type="noConversion"/>
  </si>
  <si>
    <t>AMB07U1A-KAA-R1</t>
    <phoneticPr fontId="2" type="noConversion"/>
  </si>
  <si>
    <t>7</t>
    <phoneticPr fontId="2" type="noConversion"/>
  </si>
  <si>
    <t>SAMPLE 진행 사항(04일)</t>
    <phoneticPr fontId="2" type="noConversion"/>
  </si>
  <si>
    <t>HDB75-M01A1</t>
    <phoneticPr fontId="2" type="noConversion"/>
  </si>
  <si>
    <t>KR6422EB804CA</t>
    <phoneticPr fontId="2" type="noConversion"/>
  </si>
  <si>
    <t>NP595-877-014#LB</t>
    <phoneticPr fontId="2" type="noConversion"/>
  </si>
  <si>
    <t>NP634-194-001#SP-A/B</t>
    <phoneticPr fontId="2" type="noConversion"/>
  </si>
  <si>
    <t>NP413-77507#IN-B</t>
    <phoneticPr fontId="2" type="noConversion"/>
  </si>
  <si>
    <t>NP413-77549#IN-B</t>
    <phoneticPr fontId="2" type="noConversion"/>
  </si>
  <si>
    <t>SGP2030R N/P</t>
    <phoneticPr fontId="2" type="noConversion"/>
  </si>
  <si>
    <t>이관</t>
    <phoneticPr fontId="2" type="noConversion"/>
  </si>
  <si>
    <t>SGP2030R</t>
    <phoneticPr fontId="2" type="noConversion"/>
  </si>
  <si>
    <t>상측박힘</t>
    <phoneticPr fontId="2" type="noConversion"/>
  </si>
  <si>
    <t>하측박힘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</si>
  <si>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</si>
  <si>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</si>
  <si>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2020년 03월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</si>
  <si>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KR6404DA436YA</t>
    <phoneticPr fontId="2" type="noConversion"/>
  </si>
  <si>
    <t>SGF2050</t>
    <phoneticPr fontId="2" type="noConversion"/>
  </si>
  <si>
    <t>ACTUATOR</t>
    <phoneticPr fontId="2" type="noConversion"/>
  </si>
  <si>
    <t>AMB1930A-KAA-R2</t>
    <phoneticPr fontId="2" type="noConversion"/>
  </si>
  <si>
    <t>56T1-05-T2-BA-2</t>
    <phoneticPr fontId="2" type="noConversion"/>
  </si>
  <si>
    <t>AMB07U1A-KAA-R2</t>
    <phoneticPr fontId="2" type="noConversion"/>
  </si>
  <si>
    <t>6</t>
    <phoneticPr fontId="2" type="noConversion"/>
  </si>
  <si>
    <t>AMB1930A-KAA-R1</t>
    <phoneticPr fontId="2" type="noConversion"/>
  </si>
  <si>
    <t>HDB08-M01A1</t>
    <phoneticPr fontId="2" type="noConversion"/>
  </si>
  <si>
    <t>수리후양산-&gt;1C형상이상막음</t>
    <phoneticPr fontId="2" type="noConversion"/>
  </si>
  <si>
    <t>당일 진행 사항(06일)</t>
    <phoneticPr fontId="2" type="noConversion"/>
  </si>
  <si>
    <t>전일 ISSUE 사항(05일)</t>
    <phoneticPr fontId="2" type="noConversion"/>
  </si>
  <si>
    <t>288C84A-B122D</t>
    <phoneticPr fontId="2" type="noConversion"/>
  </si>
  <si>
    <t>AMB0201C-JAA-R3</t>
    <phoneticPr fontId="2" type="noConversion"/>
  </si>
  <si>
    <t>수정후양산</t>
    <phoneticPr fontId="2" type="noConversion"/>
  </si>
  <si>
    <t>SAMPLE 진행 사항(05일)</t>
    <phoneticPr fontId="2" type="noConversion"/>
  </si>
  <si>
    <t>KR6170-GM436QA</t>
    <phoneticPr fontId="2" type="noConversion"/>
  </si>
  <si>
    <t>NP413-254-056#IN-A</t>
    <phoneticPr fontId="2" type="noConversion"/>
  </si>
  <si>
    <t>NP636-2406-001#LB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</si>
  <si>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</si>
  <si>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</si>
  <si>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2020년 03월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</si>
  <si>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BLUE</t>
    <phoneticPr fontId="2" type="noConversion"/>
  </si>
  <si>
    <t>92-178V-AD949F</t>
    <phoneticPr fontId="2" type="noConversion"/>
  </si>
  <si>
    <t>HDB75-M01A2</t>
    <phoneticPr fontId="2" type="noConversion"/>
  </si>
  <si>
    <t>전일 ISSUE 사항(06일)</t>
    <phoneticPr fontId="2" type="noConversion"/>
  </si>
  <si>
    <t>BURR수리후양산</t>
    <phoneticPr fontId="2" type="noConversion"/>
  </si>
  <si>
    <t>코아파손수리</t>
    <phoneticPr fontId="2" type="noConversion"/>
  </si>
  <si>
    <t>OKINS</t>
    <phoneticPr fontId="2" type="noConversion"/>
  </si>
  <si>
    <t>9</t>
    <phoneticPr fontId="2" type="noConversion"/>
  </si>
  <si>
    <t>288C84A-B122D</t>
    <phoneticPr fontId="2" type="noConversion"/>
  </si>
  <si>
    <t>HDB75-M01A2</t>
    <phoneticPr fontId="2" type="noConversion"/>
  </si>
  <si>
    <t>13</t>
    <phoneticPr fontId="2" type="noConversion"/>
  </si>
  <si>
    <t>STOPPER</t>
    <phoneticPr fontId="2" type="noConversion"/>
  </si>
  <si>
    <t>AMB0201C-JAA-R3</t>
    <phoneticPr fontId="2" type="noConversion"/>
  </si>
  <si>
    <t>14</t>
    <phoneticPr fontId="2" type="noConversion"/>
  </si>
  <si>
    <t>AMM0822A-KAB-R1</t>
    <phoneticPr fontId="2" type="noConversion"/>
  </si>
  <si>
    <t>HDB75-M01A4</t>
    <phoneticPr fontId="2" type="noConversion"/>
  </si>
  <si>
    <t>당일 진행 사항(07일)</t>
    <phoneticPr fontId="2" type="noConversion"/>
  </si>
  <si>
    <t>승인후양산</t>
    <phoneticPr fontId="2" type="noConversion"/>
  </si>
  <si>
    <t>AMB0178A-KAA-R3</t>
    <phoneticPr fontId="2" type="noConversion"/>
  </si>
  <si>
    <t>수리후양산</t>
    <phoneticPr fontId="2" type="noConversion"/>
  </si>
  <si>
    <t>MCS</t>
    <phoneticPr fontId="2" type="noConversion"/>
  </si>
  <si>
    <t>11</t>
    <phoneticPr fontId="2" type="noConversion"/>
  </si>
  <si>
    <t>BASE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</si>
  <si>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</si>
  <si>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</si>
  <si>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</si>
  <si>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03월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</si>
  <si>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전일 ISSUE 사항(07일)</t>
    <phoneticPr fontId="2" type="noConversion"/>
  </si>
  <si>
    <t>이물제거후양산</t>
    <phoneticPr fontId="2" type="noConversion"/>
  </si>
  <si>
    <t>게이트청소후양산</t>
    <phoneticPr fontId="2" type="noConversion"/>
  </si>
  <si>
    <t>이물제거후양산-&gt;BURR정지</t>
    <phoneticPr fontId="2" type="noConversion"/>
  </si>
  <si>
    <t>수리후양산-&gt;뜯김정지</t>
    <phoneticPr fontId="2" type="noConversion"/>
  </si>
  <si>
    <t>당일 진행 사항(08일)</t>
    <phoneticPr fontId="2" type="noConversion"/>
  </si>
  <si>
    <t>런너박힘수리후양산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</si>
  <si>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</si>
  <si>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</si>
  <si>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</si>
  <si>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03월 08일(주간)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</si>
  <si>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전일 ISSUE 사항(08일)</t>
    <phoneticPr fontId="2" type="noConversion"/>
  </si>
  <si>
    <t>수리후양산-&gt;뜯김정지-&gt;15호기 이동</t>
    <phoneticPr fontId="2" type="noConversion"/>
  </si>
  <si>
    <t>당일 진행 사항(09일)</t>
    <phoneticPr fontId="2" type="noConversion"/>
  </si>
  <si>
    <t>AMB0236A-KAA-R3</t>
    <phoneticPr fontId="2" type="noConversion"/>
  </si>
  <si>
    <t>FRONT/REAR</t>
    <phoneticPr fontId="2" type="noConversion"/>
  </si>
  <si>
    <t>SAMPLE 진행 사항(08일)</t>
    <phoneticPr fontId="2" type="noConversion"/>
  </si>
  <si>
    <t>AMB1932A-KAA-R1</t>
    <phoneticPr fontId="2" type="noConversion"/>
  </si>
  <si>
    <t>AMB0182A-KAA-R1</t>
    <phoneticPr fontId="2" type="noConversion"/>
  </si>
  <si>
    <t>AMB0242A-KAA-R1</t>
    <phoneticPr fontId="2" type="noConversion"/>
  </si>
  <si>
    <t>AMM0822B-KAB-R1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</si>
  <si>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</si>
  <si>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</si>
  <si>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03월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</si>
  <si>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2*2</t>
    <phoneticPr fontId="2" type="noConversion"/>
  </si>
  <si>
    <t>HSB08-M01A3</t>
    <phoneticPr fontId="2" type="noConversion"/>
  </si>
  <si>
    <t>전일 ISSUE 사항(09일)</t>
    <phoneticPr fontId="2" type="noConversion"/>
  </si>
  <si>
    <t>슬라이드파손정지</t>
    <phoneticPr fontId="2" type="noConversion"/>
  </si>
  <si>
    <t>당일 진행 사항(10일)</t>
    <phoneticPr fontId="2" type="noConversion"/>
  </si>
  <si>
    <t>SAMPLE 진행 사항(09일)</t>
    <phoneticPr fontId="2" type="noConversion"/>
  </si>
  <si>
    <t>KR6206-GA023AA</t>
    <phoneticPr fontId="2" type="noConversion"/>
  </si>
  <si>
    <t>치수</t>
    <phoneticPr fontId="2" type="noConversion"/>
  </si>
  <si>
    <t>런너이상수리</t>
    <phoneticPr fontId="2" type="noConversion"/>
  </si>
  <si>
    <t>KR6166-D299UA</t>
    <phoneticPr fontId="2" type="noConversion"/>
  </si>
  <si>
    <t>KR6166CB299YA</t>
    <phoneticPr fontId="2" type="noConversion"/>
  </si>
  <si>
    <t>KR6166-A252TA</t>
    <phoneticPr fontId="2" type="noConversion"/>
  </si>
  <si>
    <t>뜯김</t>
    <phoneticPr fontId="2" type="noConversion"/>
  </si>
  <si>
    <t>원재료NG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</si>
  <si>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</si>
  <si>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</si>
  <si>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03월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</si>
  <si>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AMB0349A-KAA-R4</t>
    <phoneticPr fontId="2" type="noConversion"/>
  </si>
  <si>
    <t>전일 ISSUE 사항(10일)</t>
    <phoneticPr fontId="2" type="noConversion"/>
  </si>
  <si>
    <t>이관금형4종 양산</t>
    <phoneticPr fontId="2" type="noConversion"/>
  </si>
  <si>
    <t>당일 진행 사항(11일)</t>
    <phoneticPr fontId="2" type="noConversion"/>
  </si>
  <si>
    <t>HSA08-M02A1(4C)</t>
    <phoneticPr fontId="2" type="noConversion"/>
  </si>
  <si>
    <t>AMB0167A-KAA-R3</t>
    <phoneticPr fontId="2" type="noConversion"/>
  </si>
  <si>
    <t>HSA08-M01A1</t>
    <phoneticPr fontId="2" type="noConversion"/>
  </si>
  <si>
    <t>SAMPLE 진행 사항(10일)</t>
    <phoneticPr fontId="2" type="noConversion"/>
  </si>
  <si>
    <t>KR6166-GAB178QA</t>
    <phoneticPr fontId="2" type="noConversion"/>
  </si>
  <si>
    <t>KR6166-GD200QB</t>
    <phoneticPr fontId="2" type="noConversion"/>
  </si>
  <si>
    <t>KR6166-E01TB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</si>
  <si>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</si>
  <si>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</si>
  <si>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03월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</si>
  <si>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HSA08-M02A1</t>
    <phoneticPr fontId="2" type="noConversion"/>
  </si>
  <si>
    <t>전일 ISSUE 사항(11일)</t>
    <phoneticPr fontId="2" type="noConversion"/>
  </si>
  <si>
    <t>발주분양산-&gt;오조립-&gt;치수NG2회-&gt;코아파손정지</t>
    <phoneticPr fontId="2" type="noConversion"/>
  </si>
  <si>
    <t>발주분양산-&gt;BURR수리</t>
    <phoneticPr fontId="2" type="noConversion"/>
  </si>
  <si>
    <t>상측뜯김2회</t>
    <phoneticPr fontId="2" type="noConversion"/>
  </si>
  <si>
    <t>수리후양산-&gt;BURR2회</t>
    <phoneticPr fontId="2" type="noConversion"/>
  </si>
  <si>
    <t>당일 진행 사항(12일)</t>
    <phoneticPr fontId="2" type="noConversion"/>
  </si>
  <si>
    <t>3159001</t>
    <phoneticPr fontId="2" type="noConversion"/>
  </si>
  <si>
    <t>발주분양산-&gt;코아파손정지</t>
    <phoneticPr fontId="2" type="noConversion"/>
  </si>
  <si>
    <t>HSA08-M03A1</t>
    <phoneticPr fontId="2" type="noConversion"/>
  </si>
  <si>
    <t>SAMPLE 진행 사항(11일)</t>
    <phoneticPr fontId="2" type="noConversion"/>
  </si>
  <si>
    <t>LEAD GUIDE</t>
    <phoneticPr fontId="2" type="noConversion"/>
  </si>
  <si>
    <t>K-JR01883-F01AWA</t>
    <phoneticPr fontId="2" type="noConversion"/>
  </si>
  <si>
    <t>KR6166-F299UA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</si>
  <si>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</si>
  <si>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</si>
  <si>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2020년 03월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</si>
  <si>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KR6182-B624CB</t>
    <phoneticPr fontId="2" type="noConversion"/>
  </si>
  <si>
    <t>전일 ISSUE 사항(12일)</t>
    <phoneticPr fontId="2" type="noConversion"/>
  </si>
  <si>
    <t>코아파손2회</t>
    <phoneticPr fontId="2" type="noConversion"/>
  </si>
  <si>
    <t>1C상측박힘-&gt;막음</t>
    <phoneticPr fontId="2" type="noConversion"/>
  </si>
  <si>
    <t>당일 진행 사항(13일)</t>
    <phoneticPr fontId="2" type="noConversion"/>
  </si>
  <si>
    <t>수리후양산-&gt;코아파손정지</t>
    <phoneticPr fontId="2" type="noConversion"/>
  </si>
  <si>
    <t>SAMPLE 진행 사항(12일)</t>
    <phoneticPr fontId="2" type="noConversion"/>
  </si>
  <si>
    <t>AMM0890A-KAC-R1</t>
    <phoneticPr fontId="2" type="noConversion"/>
  </si>
  <si>
    <t>옵션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</si>
  <si>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</si>
  <si>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</si>
  <si>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2020년 03월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</si>
  <si>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NP599-290-002#LB</t>
    <phoneticPr fontId="2" type="noConversion"/>
  </si>
  <si>
    <t>KR6125-C048TB</t>
    <phoneticPr fontId="2" type="noConversion"/>
  </si>
  <si>
    <t>전일 ISSUE 사항(13일)</t>
    <phoneticPr fontId="2" type="noConversion"/>
  </si>
  <si>
    <t>수리후양산-&gt;BURR정지</t>
    <phoneticPr fontId="2" type="noConversion"/>
  </si>
  <si>
    <t>당일 진행 사항(14일)</t>
    <phoneticPr fontId="2" type="noConversion"/>
  </si>
  <si>
    <t>SAMPLE 진행 사항(13일)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</si>
  <si>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</si>
  <si>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</si>
  <si>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2020년 03월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</si>
  <si>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전일 ISSUE 사항(14일)</t>
    <phoneticPr fontId="2" type="noConversion"/>
  </si>
  <si>
    <t>금형긁힘수리</t>
    <phoneticPr fontId="2" type="noConversion"/>
  </si>
  <si>
    <t>수리후양산-&gt;코아파손2회정지</t>
    <phoneticPr fontId="2" type="noConversion"/>
  </si>
  <si>
    <t>BURR정지</t>
    <phoneticPr fontId="2" type="noConversion"/>
  </si>
  <si>
    <t>당일 진행 사항(15일)</t>
    <phoneticPr fontId="2" type="noConversion"/>
  </si>
  <si>
    <t>HSA08-M04A1</t>
    <phoneticPr fontId="2" type="noConversion"/>
  </si>
  <si>
    <t>SAMPLE 진행 사항(14일)</t>
    <phoneticPr fontId="2" type="noConversion"/>
  </si>
  <si>
    <t>NP504-272-014#SP-1</t>
    <phoneticPr fontId="2" type="noConversion"/>
  </si>
  <si>
    <t>NP636-2406-001#SP</t>
    <phoneticPr fontId="2" type="noConversion"/>
  </si>
  <si>
    <t>NP413-196-054#GP</t>
    <phoneticPr fontId="2" type="noConversion"/>
  </si>
  <si>
    <t>상측박힘작업안됨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</si>
  <si>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</si>
  <si>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</si>
  <si>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03월 15일(주간)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</si>
  <si>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전일 ISSUE 사항(15일)</t>
    <phoneticPr fontId="2" type="noConversion"/>
  </si>
  <si>
    <t>각인이상정지</t>
    <phoneticPr fontId="2" type="noConversion"/>
  </si>
  <si>
    <t>당일 진행 사항(16일)</t>
    <phoneticPr fontId="2" type="noConversion"/>
  </si>
  <si>
    <t>AMB1901D-JAA-R2</t>
    <phoneticPr fontId="2" type="noConversion"/>
  </si>
  <si>
    <t>AMB0414A-KAA-R3</t>
    <phoneticPr fontId="2" type="noConversion"/>
  </si>
  <si>
    <t>SAMPLE 진행 사항(15일)</t>
    <phoneticPr fontId="2" type="noConversion"/>
  </si>
  <si>
    <t>KR6181-C221TA</t>
    <phoneticPr fontId="2" type="noConversion"/>
  </si>
  <si>
    <t>KR6197FA345YA</t>
    <phoneticPr fontId="2" type="noConversion"/>
  </si>
  <si>
    <t>SFG2050</t>
    <phoneticPr fontId="2" type="noConversion"/>
  </si>
  <si>
    <t>요청</t>
    <phoneticPr fontId="2" type="noConversion"/>
  </si>
  <si>
    <t>NP413-078-043#GP-3</t>
    <phoneticPr fontId="2" type="noConversion"/>
  </si>
  <si>
    <t>KR6197-GN345QA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</si>
  <si>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</si>
  <si>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</si>
  <si>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03월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</si>
  <si>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전일 ISSUE 사항(16일)</t>
    <phoneticPr fontId="2" type="noConversion"/>
  </si>
  <si>
    <t>코아파손3회정지</t>
    <phoneticPr fontId="2" type="noConversion"/>
  </si>
  <si>
    <t>당일 진행 사항(17일)</t>
    <phoneticPr fontId="2" type="noConversion"/>
  </si>
  <si>
    <t>KR6197-GG153PNB</t>
    <phoneticPr fontId="2" type="noConversion"/>
  </si>
  <si>
    <t>KR6180-E02TB</t>
    <phoneticPr fontId="2" type="noConversion"/>
  </si>
  <si>
    <t>16</t>
    <phoneticPr fontId="2" type="noConversion"/>
  </si>
  <si>
    <t>22P</t>
    <phoneticPr fontId="2" type="noConversion"/>
  </si>
  <si>
    <t>KR6166-GM100AA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</si>
  <si>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</si>
  <si>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</si>
  <si>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t>SAMPLE 진행 사항(16일)</t>
    <phoneticPr fontId="2" type="noConversion"/>
  </si>
  <si>
    <r>
      <t>2020년 03월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</si>
  <si>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SF2250EPR N/P</t>
    <phoneticPr fontId="2" type="noConversion"/>
  </si>
  <si>
    <t>전일 ISSUE 사항(17일)</t>
    <phoneticPr fontId="2" type="noConversion"/>
  </si>
  <si>
    <t>당일 진행 사항(18일)</t>
    <phoneticPr fontId="2" type="noConversion"/>
  </si>
  <si>
    <t>발주분양산-&gt;미성형정지</t>
    <phoneticPr fontId="2" type="noConversion"/>
  </si>
  <si>
    <t>SAMPLE 진행 사항(17일)</t>
    <phoneticPr fontId="2" type="noConversion"/>
  </si>
  <si>
    <t>NP636-2406-001#IN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</si>
  <si>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</si>
  <si>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</si>
  <si>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2020년 03월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</si>
  <si>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전일 ISSUE 사항(18일)</t>
    <phoneticPr fontId="2" type="noConversion"/>
  </si>
  <si>
    <t>AMB0114H-JRR-R1</t>
    <phoneticPr fontId="2" type="noConversion"/>
  </si>
  <si>
    <t>미성형정지</t>
    <phoneticPr fontId="2" type="noConversion"/>
  </si>
  <si>
    <t>HOOK수리</t>
    <phoneticPr fontId="2" type="noConversion"/>
  </si>
  <si>
    <t>당일 진행 사항(19일)</t>
    <phoneticPr fontId="2" type="noConversion"/>
  </si>
  <si>
    <t>SAMPLE 진행 사항(18일)</t>
    <phoneticPr fontId="2" type="noConversion"/>
  </si>
  <si>
    <t>NP413-77507#IN-A</t>
    <phoneticPr fontId="2" type="noConversion"/>
  </si>
  <si>
    <t>KR6450-C436TA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</si>
  <si>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</si>
  <si>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</si>
  <si>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2020년 03월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</si>
  <si>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KR6190-E02TB</t>
    <phoneticPr fontId="2" type="noConversion"/>
  </si>
  <si>
    <t>전일 ISSUE 사항(19일)</t>
    <phoneticPr fontId="2" type="noConversion"/>
  </si>
  <si>
    <t>당일 진행 사항(20일)</t>
    <phoneticPr fontId="2" type="noConversion"/>
  </si>
  <si>
    <t>HSB05-M003B1</t>
    <phoneticPr fontId="2" type="noConversion"/>
  </si>
  <si>
    <t>SAMPLE 진행 사항(19일)</t>
    <phoneticPr fontId="2" type="noConversion"/>
  </si>
  <si>
    <t>KR6450-GA436QA</t>
    <phoneticPr fontId="2" type="noConversion"/>
  </si>
  <si>
    <t>AM1903F-J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</si>
  <si>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</si>
  <si>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</si>
  <si>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2020년 03월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</si>
  <si>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HSB05-M003B1(2C)</t>
    <phoneticPr fontId="2" type="noConversion"/>
  </si>
  <si>
    <t>AMB0172A-KAA-R2</t>
    <phoneticPr fontId="2" type="noConversion"/>
  </si>
  <si>
    <t>전일 ISSUE 사항(20일)</t>
    <phoneticPr fontId="2" type="noConversion"/>
  </si>
  <si>
    <t>수리후양산-&gt;가스수리</t>
    <phoneticPr fontId="2" type="noConversion"/>
  </si>
  <si>
    <t>세척후양산-&gt;미성형정지</t>
    <phoneticPr fontId="2" type="noConversion"/>
  </si>
  <si>
    <t>발주분양산-&gt;오조립정지</t>
    <phoneticPr fontId="2" type="noConversion"/>
  </si>
  <si>
    <t>당일 진행 사항(21일)</t>
    <phoneticPr fontId="2" type="noConversion"/>
  </si>
  <si>
    <t>AMC0821A-KAA-R1</t>
    <phoneticPr fontId="2" type="noConversion"/>
  </si>
  <si>
    <t>KR6182-C624TB</t>
    <phoneticPr fontId="2" type="noConversion"/>
  </si>
  <si>
    <t>KR6182-A221WA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</si>
  <si>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</si>
  <si>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</si>
  <si>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</si>
  <si>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03월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</si>
  <si>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코아시스</t>
    <phoneticPr fontId="2" type="noConversion"/>
  </si>
  <si>
    <t>BOTTOM LATCH</t>
    <phoneticPr fontId="2" type="noConversion"/>
  </si>
  <si>
    <t>G3-M-04A</t>
    <phoneticPr fontId="2" type="noConversion"/>
  </si>
  <si>
    <t>전일 ISSUE 사항(21일)</t>
    <phoneticPr fontId="2" type="noConversion"/>
  </si>
  <si>
    <t>가스수리</t>
    <phoneticPr fontId="2" type="noConversion"/>
  </si>
  <si>
    <t>가스1C막음</t>
    <phoneticPr fontId="2" type="noConversion"/>
  </si>
  <si>
    <t>당일 진행 사항(22일)</t>
    <phoneticPr fontId="2" type="noConversion"/>
  </si>
  <si>
    <t>발주분양산-&gt;런너막힘정지</t>
    <phoneticPr fontId="2" type="noConversion"/>
  </si>
  <si>
    <t>K-JR01905-C01ATA</t>
    <phoneticPr fontId="2" type="noConversion"/>
  </si>
  <si>
    <t>SAMPLE 진행 사항(21일)</t>
    <phoneticPr fontId="2" type="noConversion"/>
  </si>
  <si>
    <t>K-JR01887-B221AUA</t>
    <phoneticPr fontId="2" type="noConversion"/>
  </si>
  <si>
    <t>K-JR01887-C01ATA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</si>
  <si>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</si>
  <si>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</si>
  <si>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2020년 03월 22일(주간)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</si>
  <si>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</si>
  <si>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K-JR01905-C010ATA</t>
    <phoneticPr fontId="2" type="noConversion"/>
  </si>
  <si>
    <t>당일 진행 사항(23일)</t>
    <phoneticPr fontId="2" type="noConversion"/>
  </si>
  <si>
    <t>CASE</t>
    <phoneticPr fontId="2" type="noConversion"/>
  </si>
  <si>
    <t>INPHI</t>
    <phoneticPr fontId="2" type="noConversion"/>
  </si>
  <si>
    <t>LID-0084(n)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</si>
  <si>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</si>
  <si>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</si>
  <si>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</si>
  <si>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03월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</si>
  <si>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PBT</t>
    <phoneticPr fontId="2" type="noConversion"/>
  </si>
  <si>
    <t>LID-0084(N)</t>
    <phoneticPr fontId="2" type="noConversion"/>
  </si>
  <si>
    <t>S475 N/P</t>
    <phoneticPr fontId="2" type="noConversion"/>
  </si>
  <si>
    <t>전일 ISSUE 사항(23일)</t>
    <phoneticPr fontId="2" type="noConversion"/>
  </si>
  <si>
    <t>당일 진행 사항(24일)</t>
    <phoneticPr fontId="2" type="noConversion"/>
  </si>
  <si>
    <t>KR6182-D624PA</t>
    <phoneticPr fontId="2" type="noConversion"/>
  </si>
  <si>
    <t>KR6202-06KA</t>
    <phoneticPr fontId="2" type="noConversion"/>
  </si>
  <si>
    <t>KR6182-A426WA</t>
    <phoneticPr fontId="2" type="noConversion"/>
  </si>
  <si>
    <t>SAMPLE 진행 사항(23일)</t>
    <phoneticPr fontId="2" type="noConversion"/>
  </si>
  <si>
    <t>KR6450-F1152PMA</t>
    <phoneticPr fontId="2" type="noConversion"/>
  </si>
  <si>
    <t>KR6450-A436YA</t>
    <phoneticPr fontId="2" type="noConversion"/>
  </si>
  <si>
    <t>KR6450-D804PMA</t>
    <phoneticPr fontId="2" type="noConversion"/>
  </si>
  <si>
    <t>KR6450-06KA</t>
    <phoneticPr fontId="2" type="noConversion"/>
  </si>
  <si>
    <t>KR6450-B804PMA</t>
    <phoneticPr fontId="2" type="noConversion"/>
  </si>
  <si>
    <t>SF2250EPR</t>
    <phoneticPr fontId="2" type="noConversion"/>
  </si>
  <si>
    <t>작업안됨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</si>
  <si>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</si>
  <si>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</si>
  <si>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03월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</si>
  <si>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JCL</t>
    <phoneticPr fontId="2" type="noConversion"/>
  </si>
  <si>
    <t>HSB05-M01A3</t>
    <phoneticPr fontId="2" type="noConversion"/>
  </si>
  <si>
    <t>4LEAD</t>
    <phoneticPr fontId="2" type="noConversion"/>
  </si>
  <si>
    <t>009-019-004</t>
    <phoneticPr fontId="2" type="noConversion"/>
  </si>
  <si>
    <t>전일 ISSUE 사항(24일)</t>
    <phoneticPr fontId="2" type="noConversion"/>
  </si>
  <si>
    <t>KR6206-06KA</t>
    <phoneticPr fontId="2" type="noConversion"/>
  </si>
  <si>
    <t>발주분양산-&gt;코아파손수리</t>
    <phoneticPr fontId="2" type="noConversion"/>
  </si>
  <si>
    <t>당일 진행 사항(25일)</t>
    <phoneticPr fontId="2" type="noConversion"/>
  </si>
  <si>
    <t>AMB0150A-KAA-R1</t>
    <phoneticPr fontId="2" type="noConversion"/>
  </si>
  <si>
    <t>SAMPLE 진행 사항(24일)</t>
    <phoneticPr fontId="2" type="noConversion"/>
  </si>
  <si>
    <t>K-JR01887-A221ATA</t>
    <phoneticPr fontId="2" type="noConversion"/>
  </si>
  <si>
    <t>KR6181-D221UA</t>
    <phoneticPr fontId="2" type="noConversion"/>
  </si>
  <si>
    <t>KR6185-GM048QA</t>
    <phoneticPr fontId="2" type="noConversion"/>
  </si>
  <si>
    <t>KR6166BB299YA</t>
    <phoneticPr fontId="2" type="noConversion"/>
  </si>
  <si>
    <t>K-JR01887-G03ABA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</si>
  <si>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</si>
  <si>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</si>
  <si>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2020년 03월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</si>
  <si>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AMB07T4B-KAA-R1</t>
    <phoneticPr fontId="2" type="noConversion"/>
  </si>
  <si>
    <t>HOLDER</t>
    <phoneticPr fontId="2" type="noConversion"/>
  </si>
  <si>
    <t>2*1</t>
    <phoneticPr fontId="2" type="noConversion"/>
  </si>
  <si>
    <t>전일 ISSUE 사항(25일)</t>
    <phoneticPr fontId="2" type="noConversion"/>
  </si>
  <si>
    <t>수리후양산-&gt;상측박힘수리</t>
    <phoneticPr fontId="2" type="noConversion"/>
  </si>
  <si>
    <t>설비이상정지</t>
    <phoneticPr fontId="2" type="noConversion"/>
  </si>
  <si>
    <t>발주분양산-&gt;오조립</t>
    <phoneticPr fontId="2" type="noConversion"/>
  </si>
  <si>
    <t>당일 진행 사항(26일)</t>
    <phoneticPr fontId="2" type="noConversion"/>
  </si>
  <si>
    <t>솔리드메카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</si>
  <si>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</si>
  <si>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</si>
  <si>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</si>
  <si>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t>오조립2회진행</t>
    <phoneticPr fontId="2" type="noConversion"/>
  </si>
  <si>
    <t>NEXT</t>
    <phoneticPr fontId="2" type="noConversion"/>
  </si>
  <si>
    <t>F TOP/BOTTOM</t>
    <phoneticPr fontId="2" type="noConversion"/>
  </si>
  <si>
    <t>H TOP/BOTTOM</t>
    <phoneticPr fontId="2" type="noConversion"/>
  </si>
  <si>
    <r>
      <t>2020년 03월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</si>
  <si>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SMT</t>
    <phoneticPr fontId="2" type="noConversion"/>
  </si>
  <si>
    <t>AMB0230A-KAA-R1</t>
    <phoneticPr fontId="2" type="noConversion"/>
  </si>
  <si>
    <t>전일 ISSUE 사항(26일)</t>
    <phoneticPr fontId="2" type="noConversion"/>
  </si>
  <si>
    <t>발주분양산-&gt;오조립2회수리</t>
    <phoneticPr fontId="2" type="noConversion"/>
  </si>
  <si>
    <t>수리후양산-&gt;긁힘수리-&gt;런너박힘정지</t>
    <phoneticPr fontId="2" type="noConversion"/>
  </si>
  <si>
    <t>당일 진행 사항(27일)</t>
    <phoneticPr fontId="2" type="noConversion"/>
  </si>
  <si>
    <t>BC05-29H1</t>
    <phoneticPr fontId="2" type="noConversion"/>
  </si>
  <si>
    <t>HOUSING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</si>
  <si>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</si>
  <si>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</si>
  <si>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</si>
  <si>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2020년 03월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</si>
  <si>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전일 ISSUE 사항(27일)</t>
    <phoneticPr fontId="2" type="noConversion"/>
  </si>
  <si>
    <t>당일 진행 사항(28일)</t>
    <phoneticPr fontId="2" type="noConversion"/>
  </si>
  <si>
    <t>SAMPLE 진행 사항(27일)</t>
    <phoneticPr fontId="2" type="noConversion"/>
  </si>
  <si>
    <t>288C84A-U141X</t>
    <phoneticPr fontId="2" type="noConversion"/>
  </si>
  <si>
    <t>288C84A-B141X</t>
    <phoneticPr fontId="2" type="noConversion"/>
  </si>
  <si>
    <t>UNDER BASE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</si>
  <si>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</si>
  <si>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</si>
  <si>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03월 28일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</si>
  <si>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HR1089-1.0M1</t>
    <phoneticPr fontId="2" type="noConversion"/>
  </si>
  <si>
    <t>전일 ISSUE 사항(28일)</t>
    <phoneticPr fontId="2" type="noConversion"/>
  </si>
  <si>
    <t>세척후양산-&gt;1C막음</t>
    <phoneticPr fontId="2" type="noConversion"/>
  </si>
  <si>
    <t>당일 진행 사항(30일)</t>
    <phoneticPr fontId="2" type="noConversion"/>
  </si>
  <si>
    <t>K-JR01920-C01AWA</t>
    <phoneticPr fontId="2" type="noConversion"/>
  </si>
  <si>
    <t>F/R</t>
    <phoneticPr fontId="2" type="noConversion"/>
  </si>
  <si>
    <t>SAMPLE 진행 사항(28일)</t>
    <phoneticPr fontId="2" type="noConversion"/>
  </si>
  <si>
    <t>NP612-110-007#IN-B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</si>
  <si>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</si>
  <si>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</si>
  <si>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03월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</si>
  <si>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KR6450-GA436PNA</t>
    <phoneticPr fontId="2" type="noConversion"/>
  </si>
  <si>
    <t>전일 ISSUE 사항(30일)</t>
    <phoneticPr fontId="2" type="noConversion"/>
  </si>
  <si>
    <t>당일 진행 사항(31일)</t>
    <phoneticPr fontId="2" type="noConversion"/>
  </si>
  <si>
    <t>NP634-194-001#SP-B</t>
    <phoneticPr fontId="2" type="noConversion"/>
  </si>
  <si>
    <t>AMB0102B-JAA-R2</t>
    <phoneticPr fontId="2" type="noConversion"/>
  </si>
  <si>
    <t>LID-0084(구형)</t>
    <phoneticPr fontId="2" type="noConversion"/>
  </si>
  <si>
    <t>스테츠</t>
    <phoneticPr fontId="2" type="noConversion"/>
  </si>
  <si>
    <t>SAMPLE 진행 사항(30일)</t>
    <phoneticPr fontId="2" type="noConversion"/>
  </si>
  <si>
    <t>KR6181-GA221XX</t>
    <phoneticPr fontId="2" type="noConversion"/>
  </si>
  <si>
    <t>KR6181-GB187XX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</si>
  <si>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</si>
  <si>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</si>
  <si>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2020년 03월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</si>
  <si>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KR6105-GP063AC</t>
    <phoneticPr fontId="2" type="noConversion"/>
  </si>
  <si>
    <t>8301</t>
    <phoneticPr fontId="2" type="noConversion"/>
  </si>
  <si>
    <t>F-FLOATING/BOTTOM</t>
    <phoneticPr fontId="2" type="noConversion"/>
  </si>
  <si>
    <t>H-FLOATING/BOTTOM</t>
    <phoneticPr fontId="2" type="noConversion"/>
  </si>
  <si>
    <t>SP-B</t>
    <phoneticPr fontId="2" type="noConversion"/>
  </si>
  <si>
    <t>RJR</t>
    <phoneticPr fontId="2" type="noConversion"/>
  </si>
  <si>
    <t>LID-0084</t>
    <phoneticPr fontId="2" type="noConversion"/>
  </si>
  <si>
    <t>전일 ISSUE 사항(31일)</t>
    <phoneticPr fontId="2" type="noConversion"/>
  </si>
  <si>
    <t>2벌/F-H</t>
    <phoneticPr fontId="2" type="noConversion"/>
  </si>
  <si>
    <t>치수확인후양산</t>
    <phoneticPr fontId="2" type="noConversion"/>
  </si>
  <si>
    <t>발주분양산-&gt;게이트수리-&gt;치수이상정지</t>
    <phoneticPr fontId="2" type="noConversion"/>
  </si>
  <si>
    <t>발주분양산-&gt;BURR정지</t>
    <phoneticPr fontId="2" type="noConversion"/>
  </si>
  <si>
    <t>당일 진행 사항(01일)</t>
    <phoneticPr fontId="2" type="noConversion"/>
  </si>
  <si>
    <t>NP634-194-001#SP-A</t>
    <phoneticPr fontId="2" type="noConversion"/>
  </si>
  <si>
    <t>SAMPLE 진행 사항(31일)</t>
    <phoneticPr fontId="2" type="noConversion"/>
  </si>
  <si>
    <t>KR6181-B221XX</t>
    <phoneticPr fontId="2" type="noConversion"/>
  </si>
  <si>
    <t>KR6181-A152XX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</si>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</sst>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4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12" xfId="2" applyNumberFormat="1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center" vertical="center"/>
    </xf>
    <xf numFmtId="41" fontId="13" fillId="0" borderId="12" xfId="4" applyFont="1" applyBorder="1" applyAlignment="1">
      <alignment horizontal="center" vertical="center"/>
    </xf>
    <xf numFmtId="41" fontId="13" fillId="0" borderId="11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1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1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4.xml"/></Relationships>
</file>

<file path=xl/charts/_rels/chart1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6.xml"/></Relationships>
</file>

<file path=xl/charts/_rels/chart1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2">
                  <c:v>3826</c:v>
                </c:pt>
                <c:pt idx="3">
                  <c:v>3705</c:v>
                </c:pt>
                <c:pt idx="4">
                  <c:v>4988</c:v>
                </c:pt>
                <c:pt idx="5">
                  <c:v>55050</c:v>
                </c:pt>
                <c:pt idx="6">
                  <c:v>4163</c:v>
                </c:pt>
                <c:pt idx="7">
                  <c:v>13828</c:v>
                </c:pt>
                <c:pt idx="9">
                  <c:v>3021</c:v>
                </c:pt>
                <c:pt idx="10">
                  <c:v>3034</c:v>
                </c:pt>
                <c:pt idx="11">
                  <c:v>9663</c:v>
                </c:pt>
                <c:pt idx="12">
                  <c:v>2303</c:v>
                </c:pt>
                <c:pt idx="13">
                  <c:v>362</c:v>
                </c:pt>
                <c:pt idx="14">
                  <c:v>20684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F-48DA-A7A2-9E47FFD0258C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3890</c:v>
                </c:pt>
                <c:pt idx="1">
                  <c:v>4846</c:v>
                </c:pt>
                <c:pt idx="2">
                  <c:v>3826</c:v>
                </c:pt>
                <c:pt idx="3">
                  <c:v>3705</c:v>
                </c:pt>
                <c:pt idx="4">
                  <c:v>4988</c:v>
                </c:pt>
                <c:pt idx="5">
                  <c:v>55050</c:v>
                </c:pt>
                <c:pt idx="6">
                  <c:v>4163</c:v>
                </c:pt>
                <c:pt idx="7">
                  <c:v>13828</c:v>
                </c:pt>
                <c:pt idx="8">
                  <c:v>562</c:v>
                </c:pt>
                <c:pt idx="9">
                  <c:v>3021</c:v>
                </c:pt>
                <c:pt idx="10">
                  <c:v>3034</c:v>
                </c:pt>
                <c:pt idx="11">
                  <c:v>9663</c:v>
                </c:pt>
                <c:pt idx="12">
                  <c:v>2303</c:v>
                </c:pt>
                <c:pt idx="13">
                  <c:v>362</c:v>
                </c:pt>
                <c:pt idx="14">
                  <c:v>20684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F-48DA-A7A2-9E47FFD02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83%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67%</c:v>
                </c:pt>
                <c:pt idx="10">
                  <c:v>67%</c:v>
                </c:pt>
                <c:pt idx="11">
                  <c:v>63%</c:v>
                </c:pt>
                <c:pt idx="12">
                  <c:v>54%</c:v>
                </c:pt>
                <c:pt idx="13">
                  <c:v>17%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0.83333333333333337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0.66666666666666663</c:v>
                </c:pt>
                <c:pt idx="10">
                  <c:v>0.66666666666666663</c:v>
                </c:pt>
                <c:pt idx="11">
                  <c:v>0.625</c:v>
                </c:pt>
                <c:pt idx="12">
                  <c:v>0.54166666666666663</c:v>
                </c:pt>
                <c:pt idx="13">
                  <c:v>0.16666666666666666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B-4EA7-92D5-CA53161975A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5B-4EA7-92D5-CA53161975A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0.55729166666666674</c:v>
                </c:pt>
                <c:pt idx="1">
                  <c:v>0.55729166666666674</c:v>
                </c:pt>
                <c:pt idx="2">
                  <c:v>0.55729166666666674</c:v>
                </c:pt>
                <c:pt idx="3">
                  <c:v>0.55729166666666674</c:v>
                </c:pt>
                <c:pt idx="4">
                  <c:v>0.55729166666666674</c:v>
                </c:pt>
                <c:pt idx="5">
                  <c:v>0.55729166666666674</c:v>
                </c:pt>
                <c:pt idx="6">
                  <c:v>0.55729166666666674</c:v>
                </c:pt>
                <c:pt idx="7">
                  <c:v>0.55729166666666674</c:v>
                </c:pt>
                <c:pt idx="8">
                  <c:v>0.55729166666666674</c:v>
                </c:pt>
                <c:pt idx="9">
                  <c:v>0.55729166666666674</c:v>
                </c:pt>
                <c:pt idx="10">
                  <c:v>0.55729166666666674</c:v>
                </c:pt>
                <c:pt idx="11">
                  <c:v>0.55729166666666674</c:v>
                </c:pt>
                <c:pt idx="12">
                  <c:v>0.55729166666666674</c:v>
                </c:pt>
                <c:pt idx="13">
                  <c:v>0.55729166666666674</c:v>
                </c:pt>
                <c:pt idx="14">
                  <c:v>0.55729166666666674</c:v>
                </c:pt>
                <c:pt idx="15">
                  <c:v>0.55729166666666674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5B-4EA7-92D5-CA5316197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2">
                  <c:v>3826</c:v>
                </c:pt>
                <c:pt idx="3">
                  <c:v>3705</c:v>
                </c:pt>
                <c:pt idx="4">
                  <c:v>4988</c:v>
                </c:pt>
                <c:pt idx="5">
                  <c:v>55050</c:v>
                </c:pt>
                <c:pt idx="6">
                  <c:v>4163</c:v>
                </c:pt>
                <c:pt idx="7">
                  <c:v>13828</c:v>
                </c:pt>
                <c:pt idx="9">
                  <c:v>3021</c:v>
                </c:pt>
                <c:pt idx="10">
                  <c:v>3034</c:v>
                </c:pt>
                <c:pt idx="11">
                  <c:v>9663</c:v>
                </c:pt>
                <c:pt idx="12">
                  <c:v>2303</c:v>
                </c:pt>
                <c:pt idx="13">
                  <c:v>362</c:v>
                </c:pt>
                <c:pt idx="14">
                  <c:v>20684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3-4783-A0E0-3F8719642F06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3890</c:v>
                </c:pt>
                <c:pt idx="1">
                  <c:v>4846</c:v>
                </c:pt>
                <c:pt idx="2">
                  <c:v>3826</c:v>
                </c:pt>
                <c:pt idx="3">
                  <c:v>3705</c:v>
                </c:pt>
                <c:pt idx="4">
                  <c:v>4988</c:v>
                </c:pt>
                <c:pt idx="5">
                  <c:v>55050</c:v>
                </c:pt>
                <c:pt idx="6">
                  <c:v>4163</c:v>
                </c:pt>
                <c:pt idx="7">
                  <c:v>13828</c:v>
                </c:pt>
                <c:pt idx="8">
                  <c:v>562</c:v>
                </c:pt>
                <c:pt idx="9">
                  <c:v>3021</c:v>
                </c:pt>
                <c:pt idx="10">
                  <c:v>3034</c:v>
                </c:pt>
                <c:pt idx="11">
                  <c:v>9663</c:v>
                </c:pt>
                <c:pt idx="12">
                  <c:v>2303</c:v>
                </c:pt>
                <c:pt idx="13">
                  <c:v>362</c:v>
                </c:pt>
                <c:pt idx="14">
                  <c:v>20684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3-4783-A0E0-3F8719642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83%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67%</c:v>
                </c:pt>
                <c:pt idx="10">
                  <c:v>67%</c:v>
                </c:pt>
                <c:pt idx="11">
                  <c:v>63%</c:v>
                </c:pt>
                <c:pt idx="12">
                  <c:v>54%</c:v>
                </c:pt>
                <c:pt idx="13">
                  <c:v>17%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0.83333333333333337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0.66666666666666663</c:v>
                </c:pt>
                <c:pt idx="10">
                  <c:v>0.66666666666666663</c:v>
                </c:pt>
                <c:pt idx="11">
                  <c:v>0.625</c:v>
                </c:pt>
                <c:pt idx="12">
                  <c:v>0.54166666666666663</c:v>
                </c:pt>
                <c:pt idx="13">
                  <c:v>0.16666666666666666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F-49F2-B728-739A12BCD7B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7F-49F2-B728-739A12BCD7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F/ADAPTER</c:v>
                </c:pt>
                <c:pt idx="1">
                  <c:v>LATCH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0.55729166666666674</c:v>
                </c:pt>
                <c:pt idx="1">
                  <c:v>0.55729166666666674</c:v>
                </c:pt>
                <c:pt idx="2">
                  <c:v>0.55729166666666674</c:v>
                </c:pt>
                <c:pt idx="3">
                  <c:v>0.55729166666666674</c:v>
                </c:pt>
                <c:pt idx="4">
                  <c:v>0.55729166666666674</c:v>
                </c:pt>
                <c:pt idx="5">
                  <c:v>0.55729166666666674</c:v>
                </c:pt>
                <c:pt idx="6">
                  <c:v>0.55729166666666674</c:v>
                </c:pt>
                <c:pt idx="7">
                  <c:v>0.55729166666666674</c:v>
                </c:pt>
                <c:pt idx="8">
                  <c:v>0.55729166666666674</c:v>
                </c:pt>
                <c:pt idx="9">
                  <c:v>0.55729166666666674</c:v>
                </c:pt>
                <c:pt idx="10">
                  <c:v>0.55729166666666674</c:v>
                </c:pt>
                <c:pt idx="11">
                  <c:v>0.55729166666666674</c:v>
                </c:pt>
                <c:pt idx="12">
                  <c:v>0.55729166666666674</c:v>
                </c:pt>
                <c:pt idx="13">
                  <c:v>0.55729166666666674</c:v>
                </c:pt>
                <c:pt idx="14">
                  <c:v>0.55729166666666674</c:v>
                </c:pt>
                <c:pt idx="15">
                  <c:v>0.55729166666666674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7F-49F2-B728-739A12BCD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224-4B10-8FEC-F362C13C03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4-4B10-8FEC-F362C13C0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24-4B10-8FEC-F362C13C03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24-4B10-8FEC-F362C13C0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0">
                  <c:v>9048</c:v>
                </c:pt>
                <c:pt idx="1">
                  <c:v>2305</c:v>
                </c:pt>
                <c:pt idx="2">
                  <c:v>3089</c:v>
                </c:pt>
                <c:pt idx="3">
                  <c:v>5621</c:v>
                </c:pt>
                <c:pt idx="5">
                  <c:v>687</c:v>
                </c:pt>
                <c:pt idx="6">
                  <c:v>22800</c:v>
                </c:pt>
                <c:pt idx="7">
                  <c:v>2944</c:v>
                </c:pt>
                <c:pt idx="8">
                  <c:v>3861</c:v>
                </c:pt>
                <c:pt idx="9">
                  <c:v>2508</c:v>
                </c:pt>
                <c:pt idx="11">
                  <c:v>3660</c:v>
                </c:pt>
                <c:pt idx="12">
                  <c:v>3628</c:v>
                </c:pt>
                <c:pt idx="13">
                  <c:v>16134</c:v>
                </c:pt>
                <c:pt idx="14">
                  <c:v>2654</c:v>
                </c:pt>
                <c:pt idx="15">
                  <c:v>55</c:v>
                </c:pt>
                <c:pt idx="16">
                  <c:v>20336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3-49DF-8653-22CD6DB90079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9048</c:v>
                </c:pt>
                <c:pt idx="1">
                  <c:v>2305</c:v>
                </c:pt>
                <c:pt idx="2">
                  <c:v>3089</c:v>
                </c:pt>
                <c:pt idx="3">
                  <c:v>5621</c:v>
                </c:pt>
                <c:pt idx="4">
                  <c:v>3705</c:v>
                </c:pt>
                <c:pt idx="5">
                  <c:v>687</c:v>
                </c:pt>
                <c:pt idx="6">
                  <c:v>22800</c:v>
                </c:pt>
                <c:pt idx="7">
                  <c:v>2944</c:v>
                </c:pt>
                <c:pt idx="8">
                  <c:v>3861</c:v>
                </c:pt>
                <c:pt idx="9">
                  <c:v>2508</c:v>
                </c:pt>
                <c:pt idx="10">
                  <c:v>562</c:v>
                </c:pt>
                <c:pt idx="11">
                  <c:v>3660</c:v>
                </c:pt>
                <c:pt idx="12">
                  <c:v>3628</c:v>
                </c:pt>
                <c:pt idx="13">
                  <c:v>16134</c:v>
                </c:pt>
                <c:pt idx="14">
                  <c:v>2654</c:v>
                </c:pt>
                <c:pt idx="15">
                  <c:v>55</c:v>
                </c:pt>
                <c:pt idx="16">
                  <c:v>20336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3-49DF-8653-22CD6DB90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50%</c:v>
                </c:pt>
                <c:pt idx="1">
                  <c:v>46%</c:v>
                </c:pt>
                <c:pt idx="2">
                  <c:v>63%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25%</c:v>
                </c:pt>
                <c:pt idx="7">
                  <c:v>58%</c:v>
                </c:pt>
                <c:pt idx="8">
                  <c:v>88%</c:v>
                </c:pt>
                <c:pt idx="9">
                  <c:v>17%</c:v>
                </c:pt>
                <c:pt idx="10">
                  <c:v>0%</c:v>
                </c:pt>
                <c:pt idx="11">
                  <c:v>63%</c:v>
                </c:pt>
                <c:pt idx="12">
                  <c:v>75%</c:v>
                </c:pt>
                <c:pt idx="13">
                  <c:v>100%</c:v>
                </c:pt>
                <c:pt idx="14">
                  <c:v>67%</c:v>
                </c:pt>
                <c:pt idx="15">
                  <c:v>13%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0.5</c:v>
                </c:pt>
                <c:pt idx="1">
                  <c:v>0.45833333333333331</c:v>
                </c:pt>
                <c:pt idx="2">
                  <c:v>0.625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0.25</c:v>
                </c:pt>
                <c:pt idx="7">
                  <c:v>0.58333333333333337</c:v>
                </c:pt>
                <c:pt idx="8">
                  <c:v>0.875</c:v>
                </c:pt>
                <c:pt idx="9">
                  <c:v>0.16666666666666666</c:v>
                </c:pt>
                <c:pt idx="10">
                  <c:v>0</c:v>
                </c:pt>
                <c:pt idx="11">
                  <c:v>0.625</c:v>
                </c:pt>
                <c:pt idx="12">
                  <c:v>0.75</c:v>
                </c:pt>
                <c:pt idx="13">
                  <c:v>1</c:v>
                </c:pt>
                <c:pt idx="14">
                  <c:v>0.66666666666666663</c:v>
                </c:pt>
                <c:pt idx="15">
                  <c:v>0.125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0A-482B-B105-5A96CF49666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0A-482B-B105-5A96CF4966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0.48842592592592599</c:v>
                </c:pt>
                <c:pt idx="1">
                  <c:v>0.48842592592592599</c:v>
                </c:pt>
                <c:pt idx="2">
                  <c:v>0.48842592592592599</c:v>
                </c:pt>
                <c:pt idx="3">
                  <c:v>0.48842592592592599</c:v>
                </c:pt>
                <c:pt idx="4">
                  <c:v>0.48842592592592599</c:v>
                </c:pt>
                <c:pt idx="5">
                  <c:v>0.48842592592592599</c:v>
                </c:pt>
                <c:pt idx="6">
                  <c:v>0.48842592592592599</c:v>
                </c:pt>
                <c:pt idx="7">
                  <c:v>0.48842592592592599</c:v>
                </c:pt>
                <c:pt idx="8">
                  <c:v>0.48842592592592599</c:v>
                </c:pt>
                <c:pt idx="9">
                  <c:v>0.48842592592592599</c:v>
                </c:pt>
                <c:pt idx="10">
                  <c:v>0.48842592592592599</c:v>
                </c:pt>
                <c:pt idx="11">
                  <c:v>0.48842592592592599</c:v>
                </c:pt>
                <c:pt idx="12">
                  <c:v>0.48842592592592599</c:v>
                </c:pt>
                <c:pt idx="13">
                  <c:v>0.48842592592592599</c:v>
                </c:pt>
                <c:pt idx="14">
                  <c:v>0.48842592592592599</c:v>
                </c:pt>
                <c:pt idx="15">
                  <c:v>0.48842592592592599</c:v>
                </c:pt>
                <c:pt idx="16">
                  <c:v>0.48842592592592599</c:v>
                </c:pt>
                <c:pt idx="17">
                  <c:v>0.48842592592592599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0A-482B-B105-5A96CF49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0">
                  <c:v>9048</c:v>
                </c:pt>
                <c:pt idx="1">
                  <c:v>2305</c:v>
                </c:pt>
                <c:pt idx="2">
                  <c:v>3089</c:v>
                </c:pt>
                <c:pt idx="3">
                  <c:v>5621</c:v>
                </c:pt>
                <c:pt idx="5">
                  <c:v>687</c:v>
                </c:pt>
                <c:pt idx="6">
                  <c:v>22800</c:v>
                </c:pt>
                <c:pt idx="7">
                  <c:v>2944</c:v>
                </c:pt>
                <c:pt idx="8">
                  <c:v>3861</c:v>
                </c:pt>
                <c:pt idx="9">
                  <c:v>2508</c:v>
                </c:pt>
                <c:pt idx="11">
                  <c:v>3660</c:v>
                </c:pt>
                <c:pt idx="12">
                  <c:v>3628</c:v>
                </c:pt>
                <c:pt idx="13">
                  <c:v>16134</c:v>
                </c:pt>
                <c:pt idx="14">
                  <c:v>2654</c:v>
                </c:pt>
                <c:pt idx="15">
                  <c:v>55</c:v>
                </c:pt>
                <c:pt idx="16">
                  <c:v>20336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E-409C-B635-6A7E1A2F6293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9048</c:v>
                </c:pt>
                <c:pt idx="1">
                  <c:v>2305</c:v>
                </c:pt>
                <c:pt idx="2">
                  <c:v>3089</c:v>
                </c:pt>
                <c:pt idx="3">
                  <c:v>5621</c:v>
                </c:pt>
                <c:pt idx="4">
                  <c:v>3705</c:v>
                </c:pt>
                <c:pt idx="5">
                  <c:v>687</c:v>
                </c:pt>
                <c:pt idx="6">
                  <c:v>22800</c:v>
                </c:pt>
                <c:pt idx="7">
                  <c:v>2944</c:v>
                </c:pt>
                <c:pt idx="8">
                  <c:v>3861</c:v>
                </c:pt>
                <c:pt idx="9">
                  <c:v>2508</c:v>
                </c:pt>
                <c:pt idx="10">
                  <c:v>562</c:v>
                </c:pt>
                <c:pt idx="11">
                  <c:v>3660</c:v>
                </c:pt>
                <c:pt idx="12">
                  <c:v>3628</c:v>
                </c:pt>
                <c:pt idx="13">
                  <c:v>16134</c:v>
                </c:pt>
                <c:pt idx="14">
                  <c:v>2654</c:v>
                </c:pt>
                <c:pt idx="15">
                  <c:v>55</c:v>
                </c:pt>
                <c:pt idx="16">
                  <c:v>20336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7E-409C-B635-6A7E1A2F6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50%</c:v>
                </c:pt>
                <c:pt idx="1">
                  <c:v>46%</c:v>
                </c:pt>
                <c:pt idx="2">
                  <c:v>63%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25%</c:v>
                </c:pt>
                <c:pt idx="7">
                  <c:v>58%</c:v>
                </c:pt>
                <c:pt idx="8">
                  <c:v>88%</c:v>
                </c:pt>
                <c:pt idx="9">
                  <c:v>17%</c:v>
                </c:pt>
                <c:pt idx="10">
                  <c:v>0%</c:v>
                </c:pt>
                <c:pt idx="11">
                  <c:v>63%</c:v>
                </c:pt>
                <c:pt idx="12">
                  <c:v>75%</c:v>
                </c:pt>
                <c:pt idx="13">
                  <c:v>100%</c:v>
                </c:pt>
                <c:pt idx="14">
                  <c:v>67%</c:v>
                </c:pt>
                <c:pt idx="15">
                  <c:v>13%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0.5</c:v>
                </c:pt>
                <c:pt idx="1">
                  <c:v>0.45833333333333331</c:v>
                </c:pt>
                <c:pt idx="2">
                  <c:v>0.625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0.25</c:v>
                </c:pt>
                <c:pt idx="7">
                  <c:v>0.58333333333333337</c:v>
                </c:pt>
                <c:pt idx="8">
                  <c:v>0.875</c:v>
                </c:pt>
                <c:pt idx="9">
                  <c:v>0.16666666666666666</c:v>
                </c:pt>
                <c:pt idx="10">
                  <c:v>0</c:v>
                </c:pt>
                <c:pt idx="11">
                  <c:v>0.625</c:v>
                </c:pt>
                <c:pt idx="12">
                  <c:v>0.75</c:v>
                </c:pt>
                <c:pt idx="13">
                  <c:v>1</c:v>
                </c:pt>
                <c:pt idx="14">
                  <c:v>0.66666666666666663</c:v>
                </c:pt>
                <c:pt idx="15">
                  <c:v>0.125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F-4B5B-B677-5792FF48319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6F-4B5B-B677-5792FF4831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COVER</c:v>
                </c:pt>
                <c:pt idx="1">
                  <c:v>ADAPTER</c:v>
                </c:pt>
                <c:pt idx="2">
                  <c:v>F/ADAPTER</c:v>
                </c:pt>
                <c:pt idx="3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LATCH 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INNER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0.48842592592592599</c:v>
                </c:pt>
                <c:pt idx="1">
                  <c:v>0.48842592592592599</c:v>
                </c:pt>
                <c:pt idx="2">
                  <c:v>0.48842592592592599</c:v>
                </c:pt>
                <c:pt idx="3">
                  <c:v>0.48842592592592599</c:v>
                </c:pt>
                <c:pt idx="4">
                  <c:v>0.48842592592592599</c:v>
                </c:pt>
                <c:pt idx="5">
                  <c:v>0.48842592592592599</c:v>
                </c:pt>
                <c:pt idx="6">
                  <c:v>0.48842592592592599</c:v>
                </c:pt>
                <c:pt idx="7">
                  <c:v>0.48842592592592599</c:v>
                </c:pt>
                <c:pt idx="8">
                  <c:v>0.48842592592592599</c:v>
                </c:pt>
                <c:pt idx="9">
                  <c:v>0.48842592592592599</c:v>
                </c:pt>
                <c:pt idx="10">
                  <c:v>0.48842592592592599</c:v>
                </c:pt>
                <c:pt idx="11">
                  <c:v>0.48842592592592599</c:v>
                </c:pt>
                <c:pt idx="12">
                  <c:v>0.48842592592592599</c:v>
                </c:pt>
                <c:pt idx="13">
                  <c:v>0.48842592592592599</c:v>
                </c:pt>
                <c:pt idx="14">
                  <c:v>0.48842592592592599</c:v>
                </c:pt>
                <c:pt idx="15">
                  <c:v>0.48842592592592599</c:v>
                </c:pt>
                <c:pt idx="16">
                  <c:v>0.48842592592592599</c:v>
                </c:pt>
                <c:pt idx="17">
                  <c:v>0.48842592592592599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6F-4B5B-B677-5792FF483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E28-49BD-88BB-E350348C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8-49BD-88BB-E350348C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28-49BD-88BB-E350348CD1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28-49BD-88BB-E350348C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0">
                  <c:v>12484</c:v>
                </c:pt>
                <c:pt idx="1">
                  <c:v>1621</c:v>
                </c:pt>
                <c:pt idx="2">
                  <c:v>5758</c:v>
                </c:pt>
                <c:pt idx="6">
                  <c:v>3599</c:v>
                </c:pt>
                <c:pt idx="7">
                  <c:v>4361</c:v>
                </c:pt>
                <c:pt idx="11">
                  <c:v>4720</c:v>
                </c:pt>
                <c:pt idx="12">
                  <c:v>16491</c:v>
                </c:pt>
                <c:pt idx="13">
                  <c:v>1068</c:v>
                </c:pt>
                <c:pt idx="14">
                  <c:v>1258</c:v>
                </c:pt>
                <c:pt idx="15">
                  <c:v>4204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4-4E84-A88A-EE6CE0F2D79E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12484</c:v>
                </c:pt>
                <c:pt idx="1">
                  <c:v>1621</c:v>
                </c:pt>
                <c:pt idx="2">
                  <c:v>5758</c:v>
                </c:pt>
                <c:pt idx="3">
                  <c:v>3705</c:v>
                </c:pt>
                <c:pt idx="4">
                  <c:v>687</c:v>
                </c:pt>
                <c:pt idx="5">
                  <c:v>22800</c:v>
                </c:pt>
                <c:pt idx="6">
                  <c:v>3599</c:v>
                </c:pt>
                <c:pt idx="7">
                  <c:v>4361</c:v>
                </c:pt>
                <c:pt idx="8">
                  <c:v>2508</c:v>
                </c:pt>
                <c:pt idx="9">
                  <c:v>562</c:v>
                </c:pt>
                <c:pt idx="10">
                  <c:v>3660</c:v>
                </c:pt>
                <c:pt idx="11">
                  <c:v>4720</c:v>
                </c:pt>
                <c:pt idx="12">
                  <c:v>16491</c:v>
                </c:pt>
                <c:pt idx="13">
                  <c:v>1068</c:v>
                </c:pt>
                <c:pt idx="14">
                  <c:v>1258</c:v>
                </c:pt>
                <c:pt idx="15">
                  <c:v>4204</c:v>
                </c:pt>
                <c:pt idx="16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B4-4E84-A88A-EE6CE0F2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63%</c:v>
                </c:pt>
                <c:pt idx="1">
                  <c:v>33%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92%</c:v>
                </c:pt>
                <c:pt idx="12">
                  <c:v>100%</c:v>
                </c:pt>
                <c:pt idx="13">
                  <c:v>21%</c:v>
                </c:pt>
                <c:pt idx="14">
                  <c:v>21%</c:v>
                </c:pt>
                <c:pt idx="15">
                  <c:v>88%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0.625</c:v>
                </c:pt>
                <c:pt idx="1">
                  <c:v>0.33333333333333331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0.875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4-4FC6-8B48-D90F4BF9001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14-4FC6-8B48-D90F4BF900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0.3995098039215686</c:v>
                </c:pt>
                <c:pt idx="1">
                  <c:v>0.3995098039215686</c:v>
                </c:pt>
                <c:pt idx="2">
                  <c:v>0.3995098039215686</c:v>
                </c:pt>
                <c:pt idx="3">
                  <c:v>0.3995098039215686</c:v>
                </c:pt>
                <c:pt idx="4">
                  <c:v>0.3995098039215686</c:v>
                </c:pt>
                <c:pt idx="5">
                  <c:v>0.3995098039215686</c:v>
                </c:pt>
                <c:pt idx="6">
                  <c:v>0.3995098039215686</c:v>
                </c:pt>
                <c:pt idx="7">
                  <c:v>0.3995098039215686</c:v>
                </c:pt>
                <c:pt idx="8">
                  <c:v>0.3995098039215686</c:v>
                </c:pt>
                <c:pt idx="9">
                  <c:v>0.3995098039215686</c:v>
                </c:pt>
                <c:pt idx="10">
                  <c:v>0.3995098039215686</c:v>
                </c:pt>
                <c:pt idx="11">
                  <c:v>0.3995098039215686</c:v>
                </c:pt>
                <c:pt idx="12">
                  <c:v>0.3995098039215686</c:v>
                </c:pt>
                <c:pt idx="13">
                  <c:v>0.3995098039215686</c:v>
                </c:pt>
                <c:pt idx="14">
                  <c:v>0.3995098039215686</c:v>
                </c:pt>
                <c:pt idx="15">
                  <c:v>0.3995098039215686</c:v>
                </c:pt>
                <c:pt idx="16">
                  <c:v>0.3995098039215686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4-4FC6-8B48-D90F4BF9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0">
                  <c:v>12484</c:v>
                </c:pt>
                <c:pt idx="1">
                  <c:v>1621</c:v>
                </c:pt>
                <c:pt idx="2">
                  <c:v>5758</c:v>
                </c:pt>
                <c:pt idx="6">
                  <c:v>3599</c:v>
                </c:pt>
                <c:pt idx="7">
                  <c:v>4361</c:v>
                </c:pt>
                <c:pt idx="11">
                  <c:v>4720</c:v>
                </c:pt>
                <c:pt idx="12">
                  <c:v>16491</c:v>
                </c:pt>
                <c:pt idx="13">
                  <c:v>1068</c:v>
                </c:pt>
                <c:pt idx="14">
                  <c:v>1258</c:v>
                </c:pt>
                <c:pt idx="15">
                  <c:v>4204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6-4C9B-9800-25E24E6D5E7A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12484</c:v>
                </c:pt>
                <c:pt idx="1">
                  <c:v>1621</c:v>
                </c:pt>
                <c:pt idx="2">
                  <c:v>5758</c:v>
                </c:pt>
                <c:pt idx="3">
                  <c:v>3705</c:v>
                </c:pt>
                <c:pt idx="4">
                  <c:v>687</c:v>
                </c:pt>
                <c:pt idx="5">
                  <c:v>22800</c:v>
                </c:pt>
                <c:pt idx="6">
                  <c:v>3599</c:v>
                </c:pt>
                <c:pt idx="7">
                  <c:v>4361</c:v>
                </c:pt>
                <c:pt idx="8">
                  <c:v>2508</c:v>
                </c:pt>
                <c:pt idx="9">
                  <c:v>562</c:v>
                </c:pt>
                <c:pt idx="10">
                  <c:v>3660</c:v>
                </c:pt>
                <c:pt idx="11">
                  <c:v>4720</c:v>
                </c:pt>
                <c:pt idx="12">
                  <c:v>16491</c:v>
                </c:pt>
                <c:pt idx="13">
                  <c:v>1068</c:v>
                </c:pt>
                <c:pt idx="14">
                  <c:v>1258</c:v>
                </c:pt>
                <c:pt idx="15">
                  <c:v>4204</c:v>
                </c:pt>
                <c:pt idx="16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6-4C9B-9800-25E24E6D5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63%</c:v>
                </c:pt>
                <c:pt idx="1">
                  <c:v>33%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92%</c:v>
                </c:pt>
                <c:pt idx="12">
                  <c:v>100%</c:v>
                </c:pt>
                <c:pt idx="13">
                  <c:v>21%</c:v>
                </c:pt>
                <c:pt idx="14">
                  <c:v>21%</c:v>
                </c:pt>
                <c:pt idx="15">
                  <c:v>88%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0.625</c:v>
                </c:pt>
                <c:pt idx="1">
                  <c:v>0.33333333333333331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0.875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4-45FB-BC17-F38D787CA8A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94-45FB-BC17-F38D787CA8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COVER</c:v>
                </c:pt>
                <c:pt idx="1">
                  <c:v>F/ADAPTER</c:v>
                </c:pt>
                <c:pt idx="2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LATCH PLATE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BODY</c:v>
                </c:pt>
                <c:pt idx="12">
                  <c:v>INNER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0.3995098039215686</c:v>
                </c:pt>
                <c:pt idx="1">
                  <c:v>0.3995098039215686</c:v>
                </c:pt>
                <c:pt idx="2">
                  <c:v>0.3995098039215686</c:v>
                </c:pt>
                <c:pt idx="3">
                  <c:v>0.3995098039215686</c:v>
                </c:pt>
                <c:pt idx="4">
                  <c:v>0.3995098039215686</c:v>
                </c:pt>
                <c:pt idx="5">
                  <c:v>0.3995098039215686</c:v>
                </c:pt>
                <c:pt idx="6">
                  <c:v>0.3995098039215686</c:v>
                </c:pt>
                <c:pt idx="7">
                  <c:v>0.3995098039215686</c:v>
                </c:pt>
                <c:pt idx="8">
                  <c:v>0.3995098039215686</c:v>
                </c:pt>
                <c:pt idx="9">
                  <c:v>0.3995098039215686</c:v>
                </c:pt>
                <c:pt idx="10">
                  <c:v>0.3995098039215686</c:v>
                </c:pt>
                <c:pt idx="11">
                  <c:v>0.3995098039215686</c:v>
                </c:pt>
                <c:pt idx="12">
                  <c:v>0.3995098039215686</c:v>
                </c:pt>
                <c:pt idx="13">
                  <c:v>0.3995098039215686</c:v>
                </c:pt>
                <c:pt idx="14">
                  <c:v>0.3995098039215686</c:v>
                </c:pt>
                <c:pt idx="15">
                  <c:v>0.3995098039215686</c:v>
                </c:pt>
                <c:pt idx="16">
                  <c:v>0.3995098039215686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4-45FB-BC17-F38D787C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1C7-40E3-97EA-F5D7556C6A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7-40E3-97EA-F5D7556C6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C7-40E3-97EA-F5D7556C6A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C7-40E3-97EA-F5D7556C6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5567</c:v>
                </c:pt>
                <c:pt idx="2">
                  <c:v>5746</c:v>
                </c:pt>
                <c:pt idx="3">
                  <c:v>0</c:v>
                </c:pt>
                <c:pt idx="4">
                  <c:v>4584</c:v>
                </c:pt>
                <c:pt idx="5">
                  <c:v>4668</c:v>
                </c:pt>
                <c:pt idx="6">
                  <c:v>2294</c:v>
                </c:pt>
                <c:pt idx="7">
                  <c:v>7941</c:v>
                </c:pt>
                <c:pt idx="11">
                  <c:v>16374</c:v>
                </c:pt>
                <c:pt idx="12">
                  <c:v>1609</c:v>
                </c:pt>
                <c:pt idx="14">
                  <c:v>5394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C-4E61-BD07-2FC211B8B54B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5567</c:v>
                </c:pt>
                <c:pt idx="1">
                  <c:v>1621</c:v>
                </c:pt>
                <c:pt idx="2">
                  <c:v>5746</c:v>
                </c:pt>
                <c:pt idx="3">
                  <c:v>3705</c:v>
                </c:pt>
                <c:pt idx="4">
                  <c:v>4584</c:v>
                </c:pt>
                <c:pt idx="5">
                  <c:v>4668</c:v>
                </c:pt>
                <c:pt idx="6">
                  <c:v>2294</c:v>
                </c:pt>
                <c:pt idx="7">
                  <c:v>7941</c:v>
                </c:pt>
                <c:pt idx="8">
                  <c:v>562</c:v>
                </c:pt>
                <c:pt idx="9">
                  <c:v>3660</c:v>
                </c:pt>
                <c:pt idx="10">
                  <c:v>4720</c:v>
                </c:pt>
                <c:pt idx="11">
                  <c:v>16374</c:v>
                </c:pt>
                <c:pt idx="12">
                  <c:v>1609</c:v>
                </c:pt>
                <c:pt idx="13">
                  <c:v>1258</c:v>
                </c:pt>
                <c:pt idx="14">
                  <c:v>5394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C-4E61-BD07-2FC211B8B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92%</c:v>
                </c:pt>
                <c:pt idx="5">
                  <c:v>92%</c:v>
                </c:pt>
                <c:pt idx="6">
                  <c:v>54%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C-439A-B0BD-8ECA0006F44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EC-439A-B0BD-8ECA0006F44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0.45833333333333337</c:v>
                </c:pt>
                <c:pt idx="1">
                  <c:v>0.45833333333333337</c:v>
                </c:pt>
                <c:pt idx="2">
                  <c:v>0.45833333333333337</c:v>
                </c:pt>
                <c:pt idx="3">
                  <c:v>0.45833333333333337</c:v>
                </c:pt>
                <c:pt idx="4">
                  <c:v>0.45833333333333337</c:v>
                </c:pt>
                <c:pt idx="5">
                  <c:v>0.45833333333333337</c:v>
                </c:pt>
                <c:pt idx="6">
                  <c:v>0.45833333333333337</c:v>
                </c:pt>
                <c:pt idx="7">
                  <c:v>0.45833333333333337</c:v>
                </c:pt>
                <c:pt idx="8">
                  <c:v>0.45833333333333337</c:v>
                </c:pt>
                <c:pt idx="9">
                  <c:v>0.45833333333333337</c:v>
                </c:pt>
                <c:pt idx="10">
                  <c:v>0.45833333333333337</c:v>
                </c:pt>
                <c:pt idx="11">
                  <c:v>0.45833333333333337</c:v>
                </c:pt>
                <c:pt idx="12">
                  <c:v>0.45833333333333337</c:v>
                </c:pt>
                <c:pt idx="13">
                  <c:v>0.45833333333333337</c:v>
                </c:pt>
                <c:pt idx="14">
                  <c:v>0.45833333333333337</c:v>
                </c:pt>
                <c:pt idx="15">
                  <c:v>0.45833333333333337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EC-439A-B0BD-8ECA0006F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5567</c:v>
                </c:pt>
                <c:pt idx="2">
                  <c:v>5746</c:v>
                </c:pt>
                <c:pt idx="3">
                  <c:v>0</c:v>
                </c:pt>
                <c:pt idx="4">
                  <c:v>4584</c:v>
                </c:pt>
                <c:pt idx="5">
                  <c:v>4668</c:v>
                </c:pt>
                <c:pt idx="6">
                  <c:v>2294</c:v>
                </c:pt>
                <c:pt idx="7">
                  <c:v>7941</c:v>
                </c:pt>
                <c:pt idx="11">
                  <c:v>16374</c:v>
                </c:pt>
                <c:pt idx="12">
                  <c:v>1609</c:v>
                </c:pt>
                <c:pt idx="14">
                  <c:v>5394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E-4553-8712-E2F9E89AAE11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5567</c:v>
                </c:pt>
                <c:pt idx="1">
                  <c:v>1621</c:v>
                </c:pt>
                <c:pt idx="2">
                  <c:v>5746</c:v>
                </c:pt>
                <c:pt idx="3">
                  <c:v>3705</c:v>
                </c:pt>
                <c:pt idx="4">
                  <c:v>4584</c:v>
                </c:pt>
                <c:pt idx="5">
                  <c:v>4668</c:v>
                </c:pt>
                <c:pt idx="6">
                  <c:v>2294</c:v>
                </c:pt>
                <c:pt idx="7">
                  <c:v>7941</c:v>
                </c:pt>
                <c:pt idx="8">
                  <c:v>562</c:v>
                </c:pt>
                <c:pt idx="9">
                  <c:v>3660</c:v>
                </c:pt>
                <c:pt idx="10">
                  <c:v>4720</c:v>
                </c:pt>
                <c:pt idx="11">
                  <c:v>16374</c:v>
                </c:pt>
                <c:pt idx="12">
                  <c:v>1609</c:v>
                </c:pt>
                <c:pt idx="13">
                  <c:v>1258</c:v>
                </c:pt>
                <c:pt idx="14">
                  <c:v>5394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E-4553-8712-E2F9E89AA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92%</c:v>
                </c:pt>
                <c:pt idx="5">
                  <c:v>92%</c:v>
                </c:pt>
                <c:pt idx="6">
                  <c:v>54%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9-4A27-BC94-28B860FADE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89-4A27-BC94-28B860FADE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0.45833333333333337</c:v>
                </c:pt>
                <c:pt idx="1">
                  <c:v>0.45833333333333337</c:v>
                </c:pt>
                <c:pt idx="2">
                  <c:v>0.45833333333333337</c:v>
                </c:pt>
                <c:pt idx="3">
                  <c:v>0.45833333333333337</c:v>
                </c:pt>
                <c:pt idx="4">
                  <c:v>0.45833333333333337</c:v>
                </c:pt>
                <c:pt idx="5">
                  <c:v>0.45833333333333337</c:v>
                </c:pt>
                <c:pt idx="6">
                  <c:v>0.45833333333333337</c:v>
                </c:pt>
                <c:pt idx="7">
                  <c:v>0.45833333333333337</c:v>
                </c:pt>
                <c:pt idx="8">
                  <c:v>0.45833333333333337</c:v>
                </c:pt>
                <c:pt idx="9">
                  <c:v>0.45833333333333337</c:v>
                </c:pt>
                <c:pt idx="10">
                  <c:v>0.45833333333333337</c:v>
                </c:pt>
                <c:pt idx="11">
                  <c:v>0.45833333333333337</c:v>
                </c:pt>
                <c:pt idx="12">
                  <c:v>0.45833333333333337</c:v>
                </c:pt>
                <c:pt idx="13">
                  <c:v>0.45833333333333337</c:v>
                </c:pt>
                <c:pt idx="14">
                  <c:v>0.45833333333333337</c:v>
                </c:pt>
                <c:pt idx="15">
                  <c:v>0.45833333333333337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89-4A27-BC94-28B860FAD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453-43EB-AE4A-81B169451D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53-43EB-AE4A-81B169451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53-43EB-AE4A-81B169451D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53-43EB-AE4A-81B169451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'06'!$L$6:$L$23</c:f>
              <c:numCache>
                <c:formatCode>_(* #,##0_);_(* \(#,##0\);_(* "-"_);_(@_)</c:formatCode>
                <c:ptCount val="18"/>
                <c:pt idx="0">
                  <c:v>6177</c:v>
                </c:pt>
                <c:pt idx="2">
                  <c:v>5871</c:v>
                </c:pt>
                <c:pt idx="3">
                  <c:v>5167</c:v>
                </c:pt>
                <c:pt idx="4">
                  <c:v>5534</c:v>
                </c:pt>
                <c:pt idx="5">
                  <c:v>4429</c:v>
                </c:pt>
                <c:pt idx="6">
                  <c:v>4491</c:v>
                </c:pt>
                <c:pt idx="7">
                  <c:v>15726</c:v>
                </c:pt>
                <c:pt idx="8">
                  <c:v>112</c:v>
                </c:pt>
                <c:pt idx="9">
                  <c:v>755</c:v>
                </c:pt>
                <c:pt idx="11">
                  <c:v>5730</c:v>
                </c:pt>
                <c:pt idx="12">
                  <c:v>7038</c:v>
                </c:pt>
                <c:pt idx="13">
                  <c:v>3274</c:v>
                </c:pt>
                <c:pt idx="14">
                  <c:v>515</c:v>
                </c:pt>
                <c:pt idx="15">
                  <c:v>7102</c:v>
                </c:pt>
                <c:pt idx="16">
                  <c:v>5278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6-4145-947D-16E6207ECA2B}"/>
            </c:ext>
          </c:extLst>
        </c:ser>
        <c:ser>
          <c:idx val="1"/>
          <c:order val="1"/>
          <c:tx>
            <c:v>계획</c:v>
          </c:tx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'06'!$J$6:$J$23</c:f>
              <c:numCache>
                <c:formatCode>_(* #,##0_);_(* \(#,##0\);_(* "-"_);_(@_)</c:formatCode>
                <c:ptCount val="18"/>
                <c:pt idx="0">
                  <c:v>6177</c:v>
                </c:pt>
                <c:pt idx="1">
                  <c:v>1621</c:v>
                </c:pt>
                <c:pt idx="2">
                  <c:v>5871</c:v>
                </c:pt>
                <c:pt idx="3">
                  <c:v>5167</c:v>
                </c:pt>
                <c:pt idx="4">
                  <c:v>5534</c:v>
                </c:pt>
                <c:pt idx="5">
                  <c:v>4429</c:v>
                </c:pt>
                <c:pt idx="6">
                  <c:v>4491</c:v>
                </c:pt>
                <c:pt idx="7">
                  <c:v>15726</c:v>
                </c:pt>
                <c:pt idx="8">
                  <c:v>112</c:v>
                </c:pt>
                <c:pt idx="9">
                  <c:v>755</c:v>
                </c:pt>
                <c:pt idx="10">
                  <c:v>4720</c:v>
                </c:pt>
                <c:pt idx="11">
                  <c:v>5730</c:v>
                </c:pt>
                <c:pt idx="12">
                  <c:v>7038</c:v>
                </c:pt>
                <c:pt idx="13">
                  <c:v>3274</c:v>
                </c:pt>
                <c:pt idx="14">
                  <c:v>515</c:v>
                </c:pt>
                <c:pt idx="15">
                  <c:v>7102</c:v>
                </c:pt>
                <c:pt idx="16">
                  <c:v>5278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6-4145-947D-16E6207EC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96%</c:v>
                </c:pt>
                <c:pt idx="8">
                  <c:v>17%</c:v>
                </c:pt>
                <c:pt idx="9">
                  <c:v>17%</c:v>
                </c:pt>
                <c:pt idx="10">
                  <c:v>0%</c:v>
                </c:pt>
                <c:pt idx="11">
                  <c:v>25%</c:v>
                </c:pt>
                <c:pt idx="12">
                  <c:v>67%</c:v>
                </c:pt>
                <c:pt idx="13">
                  <c:v>58%</c:v>
                </c:pt>
                <c:pt idx="14">
                  <c:v>25%</c:v>
                </c:pt>
                <c:pt idx="15">
                  <c:v>67%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0.95833333333333337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</c:v>
                </c:pt>
                <c:pt idx="11">
                  <c:v>0.25</c:v>
                </c:pt>
                <c:pt idx="12">
                  <c:v>0.66666666666666663</c:v>
                </c:pt>
                <c:pt idx="13">
                  <c:v>0.58333333333333337</c:v>
                </c:pt>
                <c:pt idx="14">
                  <c:v>0.25</c:v>
                </c:pt>
                <c:pt idx="15">
                  <c:v>0.66666666666666663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3-4554-8132-CF70A0E4C5C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23-4554-8132-CF70A0E4C5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'06'!$AE$6:$AE$23</c:f>
              <c:numCache>
                <c:formatCode>0%</c:formatCode>
                <c:ptCount val="18"/>
                <c:pt idx="0">
                  <c:v>0.58796296296296302</c:v>
                </c:pt>
                <c:pt idx="1">
                  <c:v>0.58796296296296302</c:v>
                </c:pt>
                <c:pt idx="2">
                  <c:v>0.58796296296296302</c:v>
                </c:pt>
                <c:pt idx="3">
                  <c:v>0.58796296296296302</c:v>
                </c:pt>
                <c:pt idx="4">
                  <c:v>0.58796296296296302</c:v>
                </c:pt>
                <c:pt idx="5">
                  <c:v>0.58796296296296302</c:v>
                </c:pt>
                <c:pt idx="6">
                  <c:v>0.58796296296296302</c:v>
                </c:pt>
                <c:pt idx="7">
                  <c:v>0.58796296296296302</c:v>
                </c:pt>
                <c:pt idx="8">
                  <c:v>0.58796296296296302</c:v>
                </c:pt>
                <c:pt idx="9">
                  <c:v>0.58796296296296302</c:v>
                </c:pt>
                <c:pt idx="10">
                  <c:v>0.58796296296296302</c:v>
                </c:pt>
                <c:pt idx="11">
                  <c:v>0.58796296296296302</c:v>
                </c:pt>
                <c:pt idx="12">
                  <c:v>0.58796296296296302</c:v>
                </c:pt>
                <c:pt idx="13">
                  <c:v>0.58796296296296302</c:v>
                </c:pt>
                <c:pt idx="14">
                  <c:v>0.58796296296296302</c:v>
                </c:pt>
                <c:pt idx="15">
                  <c:v>0.58796296296296302</c:v>
                </c:pt>
                <c:pt idx="16">
                  <c:v>0.58796296296296302</c:v>
                </c:pt>
                <c:pt idx="17">
                  <c:v>0.58796296296296302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3-4554-8132-CF70A0E4C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'06'!$L$6:$L$23</c:f>
              <c:numCache>
                <c:formatCode>_(* #,##0_);_(* \(#,##0\);_(* "-"_);_(@_)</c:formatCode>
                <c:ptCount val="18"/>
                <c:pt idx="0">
                  <c:v>6177</c:v>
                </c:pt>
                <c:pt idx="2">
                  <c:v>5871</c:v>
                </c:pt>
                <c:pt idx="3">
                  <c:v>5167</c:v>
                </c:pt>
                <c:pt idx="4">
                  <c:v>5534</c:v>
                </c:pt>
                <c:pt idx="5">
                  <c:v>4429</c:v>
                </c:pt>
                <c:pt idx="6">
                  <c:v>4491</c:v>
                </c:pt>
                <c:pt idx="7">
                  <c:v>15726</c:v>
                </c:pt>
                <c:pt idx="8">
                  <c:v>112</c:v>
                </c:pt>
                <c:pt idx="9">
                  <c:v>755</c:v>
                </c:pt>
                <c:pt idx="11">
                  <c:v>5730</c:v>
                </c:pt>
                <c:pt idx="12">
                  <c:v>7038</c:v>
                </c:pt>
                <c:pt idx="13">
                  <c:v>3274</c:v>
                </c:pt>
                <c:pt idx="14">
                  <c:v>515</c:v>
                </c:pt>
                <c:pt idx="15">
                  <c:v>7102</c:v>
                </c:pt>
                <c:pt idx="16">
                  <c:v>5278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C-4EF3-B954-160D4EC3ED25}"/>
            </c:ext>
          </c:extLst>
        </c:ser>
        <c:ser>
          <c:idx val="1"/>
          <c:order val="1"/>
          <c:tx>
            <c:v>계획</c:v>
          </c:tx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'06'!$J$6:$J$23</c:f>
              <c:numCache>
                <c:formatCode>_(* #,##0_);_(* \(#,##0\);_(* "-"_);_(@_)</c:formatCode>
                <c:ptCount val="18"/>
                <c:pt idx="0">
                  <c:v>6177</c:v>
                </c:pt>
                <c:pt idx="1">
                  <c:v>1621</c:v>
                </c:pt>
                <c:pt idx="2">
                  <c:v>5871</c:v>
                </c:pt>
                <c:pt idx="3">
                  <c:v>5167</c:v>
                </c:pt>
                <c:pt idx="4">
                  <c:v>5534</c:v>
                </c:pt>
                <c:pt idx="5">
                  <c:v>4429</c:v>
                </c:pt>
                <c:pt idx="6">
                  <c:v>4491</c:v>
                </c:pt>
                <c:pt idx="7">
                  <c:v>15726</c:v>
                </c:pt>
                <c:pt idx="8">
                  <c:v>112</c:v>
                </c:pt>
                <c:pt idx="9">
                  <c:v>755</c:v>
                </c:pt>
                <c:pt idx="10">
                  <c:v>4720</c:v>
                </c:pt>
                <c:pt idx="11">
                  <c:v>5730</c:v>
                </c:pt>
                <c:pt idx="12">
                  <c:v>7038</c:v>
                </c:pt>
                <c:pt idx="13">
                  <c:v>3274</c:v>
                </c:pt>
                <c:pt idx="14">
                  <c:v>515</c:v>
                </c:pt>
                <c:pt idx="15">
                  <c:v>7102</c:v>
                </c:pt>
                <c:pt idx="16">
                  <c:v>5278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C-4EF3-B954-160D4EC3E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96%</c:v>
                </c:pt>
                <c:pt idx="8">
                  <c:v>17%</c:v>
                </c:pt>
                <c:pt idx="9">
                  <c:v>17%</c:v>
                </c:pt>
                <c:pt idx="10">
                  <c:v>0%</c:v>
                </c:pt>
                <c:pt idx="11">
                  <c:v>25%</c:v>
                </c:pt>
                <c:pt idx="12">
                  <c:v>67%</c:v>
                </c:pt>
                <c:pt idx="13">
                  <c:v>58%</c:v>
                </c:pt>
                <c:pt idx="14">
                  <c:v>25%</c:v>
                </c:pt>
                <c:pt idx="15">
                  <c:v>67%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0.95833333333333337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</c:v>
                </c:pt>
                <c:pt idx="11">
                  <c:v>0.25</c:v>
                </c:pt>
                <c:pt idx="12">
                  <c:v>0.66666666666666663</c:v>
                </c:pt>
                <c:pt idx="13">
                  <c:v>0.58333333333333337</c:v>
                </c:pt>
                <c:pt idx="14">
                  <c:v>0.25</c:v>
                </c:pt>
                <c:pt idx="15">
                  <c:v>0.66666666666666663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8-4DCE-B968-7B49979C32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88-4DCE-B968-7B49979C32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INNER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'06'!$AE$6:$AE$23</c:f>
              <c:numCache>
                <c:formatCode>0%</c:formatCode>
                <c:ptCount val="18"/>
                <c:pt idx="0">
                  <c:v>0.58796296296296302</c:v>
                </c:pt>
                <c:pt idx="1">
                  <c:v>0.58796296296296302</c:v>
                </c:pt>
                <c:pt idx="2">
                  <c:v>0.58796296296296302</c:v>
                </c:pt>
                <c:pt idx="3">
                  <c:v>0.58796296296296302</c:v>
                </c:pt>
                <c:pt idx="4">
                  <c:v>0.58796296296296302</c:v>
                </c:pt>
                <c:pt idx="5">
                  <c:v>0.58796296296296302</c:v>
                </c:pt>
                <c:pt idx="6">
                  <c:v>0.58796296296296302</c:v>
                </c:pt>
                <c:pt idx="7">
                  <c:v>0.58796296296296302</c:v>
                </c:pt>
                <c:pt idx="8">
                  <c:v>0.58796296296296302</c:v>
                </c:pt>
                <c:pt idx="9">
                  <c:v>0.58796296296296302</c:v>
                </c:pt>
                <c:pt idx="10">
                  <c:v>0.58796296296296302</c:v>
                </c:pt>
                <c:pt idx="11">
                  <c:v>0.58796296296296302</c:v>
                </c:pt>
                <c:pt idx="12">
                  <c:v>0.58796296296296302</c:v>
                </c:pt>
                <c:pt idx="13">
                  <c:v>0.58796296296296302</c:v>
                </c:pt>
                <c:pt idx="14">
                  <c:v>0.58796296296296302</c:v>
                </c:pt>
                <c:pt idx="15">
                  <c:v>0.58796296296296302</c:v>
                </c:pt>
                <c:pt idx="16">
                  <c:v>0.58796296296296302</c:v>
                </c:pt>
                <c:pt idx="17">
                  <c:v>0.58796296296296302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88-4DCE-B968-7B49979C3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1E7-48FE-9D26-A5856F22F0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7-48FE-9D26-A5856F22F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1E7-48FE-9D26-A5856F22F0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E7-48FE-9D26-A5856F22F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5956</c:v>
                </c:pt>
                <c:pt idx="2">
                  <c:v>5666</c:v>
                </c:pt>
                <c:pt idx="3">
                  <c:v>5301</c:v>
                </c:pt>
                <c:pt idx="4">
                  <c:v>5337</c:v>
                </c:pt>
                <c:pt idx="5">
                  <c:v>5671</c:v>
                </c:pt>
                <c:pt idx="6">
                  <c:v>3957</c:v>
                </c:pt>
                <c:pt idx="7">
                  <c:v>14871</c:v>
                </c:pt>
                <c:pt idx="11">
                  <c:v>11438</c:v>
                </c:pt>
                <c:pt idx="12">
                  <c:v>5285</c:v>
                </c:pt>
                <c:pt idx="13">
                  <c:v>11330</c:v>
                </c:pt>
                <c:pt idx="14">
                  <c:v>1522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9-4FA5-9175-23E3CAC6F3C3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5956</c:v>
                </c:pt>
                <c:pt idx="1">
                  <c:v>1621</c:v>
                </c:pt>
                <c:pt idx="2">
                  <c:v>5666</c:v>
                </c:pt>
                <c:pt idx="3">
                  <c:v>5301</c:v>
                </c:pt>
                <c:pt idx="4">
                  <c:v>5337</c:v>
                </c:pt>
                <c:pt idx="5">
                  <c:v>5671</c:v>
                </c:pt>
                <c:pt idx="6">
                  <c:v>3957</c:v>
                </c:pt>
                <c:pt idx="7">
                  <c:v>14871</c:v>
                </c:pt>
                <c:pt idx="8">
                  <c:v>112</c:v>
                </c:pt>
                <c:pt idx="9">
                  <c:v>755</c:v>
                </c:pt>
                <c:pt idx="10">
                  <c:v>4720</c:v>
                </c:pt>
                <c:pt idx="11">
                  <c:v>11438</c:v>
                </c:pt>
                <c:pt idx="12">
                  <c:v>5285</c:v>
                </c:pt>
                <c:pt idx="13">
                  <c:v>11330</c:v>
                </c:pt>
                <c:pt idx="14">
                  <c:v>1522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9-4FA5-9175-23E3CAC6F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96%</c:v>
                </c:pt>
                <c:pt idx="13">
                  <c:v>100%</c:v>
                </c:pt>
                <c:pt idx="14">
                  <c:v>33%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0.95833333333333337</c:v>
                </c:pt>
                <c:pt idx="13">
                  <c:v>1</c:v>
                </c:pt>
                <c:pt idx="14">
                  <c:v>0.33333333333333331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C-479F-B1FD-5B43E01C59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7C-479F-B1FD-5B43E01C59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0.63541666666666674</c:v>
                </c:pt>
                <c:pt idx="1">
                  <c:v>0.63541666666666674</c:v>
                </c:pt>
                <c:pt idx="2">
                  <c:v>0.63541666666666674</c:v>
                </c:pt>
                <c:pt idx="3">
                  <c:v>0.63541666666666674</c:v>
                </c:pt>
                <c:pt idx="4">
                  <c:v>0.63541666666666674</c:v>
                </c:pt>
                <c:pt idx="5">
                  <c:v>0.63541666666666674</c:v>
                </c:pt>
                <c:pt idx="6">
                  <c:v>0.63541666666666674</c:v>
                </c:pt>
                <c:pt idx="7">
                  <c:v>0.63541666666666674</c:v>
                </c:pt>
                <c:pt idx="8">
                  <c:v>0.63541666666666674</c:v>
                </c:pt>
                <c:pt idx="9">
                  <c:v>0.63541666666666674</c:v>
                </c:pt>
                <c:pt idx="10">
                  <c:v>0.63541666666666674</c:v>
                </c:pt>
                <c:pt idx="11">
                  <c:v>0.63541666666666674</c:v>
                </c:pt>
                <c:pt idx="12">
                  <c:v>0.63541666666666674</c:v>
                </c:pt>
                <c:pt idx="13">
                  <c:v>0.63541666666666674</c:v>
                </c:pt>
                <c:pt idx="14">
                  <c:v>0.63541666666666674</c:v>
                </c:pt>
                <c:pt idx="15">
                  <c:v>0.63541666666666674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C-479F-B1FD-5B43E01C5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5956</c:v>
                </c:pt>
                <c:pt idx="2">
                  <c:v>5666</c:v>
                </c:pt>
                <c:pt idx="3">
                  <c:v>5301</c:v>
                </c:pt>
                <c:pt idx="4">
                  <c:v>5337</c:v>
                </c:pt>
                <c:pt idx="5">
                  <c:v>5671</c:v>
                </c:pt>
                <c:pt idx="6">
                  <c:v>3957</c:v>
                </c:pt>
                <c:pt idx="7">
                  <c:v>14871</c:v>
                </c:pt>
                <c:pt idx="11">
                  <c:v>11438</c:v>
                </c:pt>
                <c:pt idx="12">
                  <c:v>5285</c:v>
                </c:pt>
                <c:pt idx="13">
                  <c:v>11330</c:v>
                </c:pt>
                <c:pt idx="14">
                  <c:v>1522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3-4322-A3E4-18376B531653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5956</c:v>
                </c:pt>
                <c:pt idx="1">
                  <c:v>1621</c:v>
                </c:pt>
                <c:pt idx="2">
                  <c:v>5666</c:v>
                </c:pt>
                <c:pt idx="3">
                  <c:v>5301</c:v>
                </c:pt>
                <c:pt idx="4">
                  <c:v>5337</c:v>
                </c:pt>
                <c:pt idx="5">
                  <c:v>5671</c:v>
                </c:pt>
                <c:pt idx="6">
                  <c:v>3957</c:v>
                </c:pt>
                <c:pt idx="7">
                  <c:v>14871</c:v>
                </c:pt>
                <c:pt idx="8">
                  <c:v>112</c:v>
                </c:pt>
                <c:pt idx="9">
                  <c:v>755</c:v>
                </c:pt>
                <c:pt idx="10">
                  <c:v>4720</c:v>
                </c:pt>
                <c:pt idx="11">
                  <c:v>11438</c:v>
                </c:pt>
                <c:pt idx="12">
                  <c:v>5285</c:v>
                </c:pt>
                <c:pt idx="13">
                  <c:v>11330</c:v>
                </c:pt>
                <c:pt idx="14">
                  <c:v>1522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3-4322-A3E4-18376B531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96%</c:v>
                </c:pt>
                <c:pt idx="13">
                  <c:v>100%</c:v>
                </c:pt>
                <c:pt idx="14">
                  <c:v>33%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0.95833333333333337</c:v>
                </c:pt>
                <c:pt idx="13">
                  <c:v>1</c:v>
                </c:pt>
                <c:pt idx="14">
                  <c:v>0.33333333333333331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3-4994-A6EE-C0BF7A7EDE6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B3-4994-A6EE-C0BF7A7EDE6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0.63541666666666674</c:v>
                </c:pt>
                <c:pt idx="1">
                  <c:v>0.63541666666666674</c:v>
                </c:pt>
                <c:pt idx="2">
                  <c:v>0.63541666666666674</c:v>
                </c:pt>
                <c:pt idx="3">
                  <c:v>0.63541666666666674</c:v>
                </c:pt>
                <c:pt idx="4">
                  <c:v>0.63541666666666674</c:v>
                </c:pt>
                <c:pt idx="5">
                  <c:v>0.63541666666666674</c:v>
                </c:pt>
                <c:pt idx="6">
                  <c:v>0.63541666666666674</c:v>
                </c:pt>
                <c:pt idx="7">
                  <c:v>0.63541666666666674</c:v>
                </c:pt>
                <c:pt idx="8">
                  <c:v>0.63541666666666674</c:v>
                </c:pt>
                <c:pt idx="9">
                  <c:v>0.63541666666666674</c:v>
                </c:pt>
                <c:pt idx="10">
                  <c:v>0.63541666666666674</c:v>
                </c:pt>
                <c:pt idx="11">
                  <c:v>0.63541666666666674</c:v>
                </c:pt>
                <c:pt idx="12">
                  <c:v>0.63541666666666674</c:v>
                </c:pt>
                <c:pt idx="13">
                  <c:v>0.63541666666666674</c:v>
                </c:pt>
                <c:pt idx="14">
                  <c:v>0.63541666666666674</c:v>
                </c:pt>
                <c:pt idx="15">
                  <c:v>0.63541666666666674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B3-4994-A6EE-C0BF7A7ED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1B7-47CA-A112-C7849B34A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B7-47CA-A112-C7849B34A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B7-47CA-A112-C7849B34A9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B7-47CA-A112-C7849B34A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2594</c:v>
                </c:pt>
                <c:pt idx="2">
                  <c:v>2439</c:v>
                </c:pt>
                <c:pt idx="3">
                  <c:v>2298</c:v>
                </c:pt>
                <c:pt idx="4">
                  <c:v>2364</c:v>
                </c:pt>
                <c:pt idx="5">
                  <c:v>2067</c:v>
                </c:pt>
                <c:pt idx="6">
                  <c:v>1094</c:v>
                </c:pt>
                <c:pt idx="7">
                  <c:v>2312</c:v>
                </c:pt>
                <c:pt idx="11">
                  <c:v>4664</c:v>
                </c:pt>
                <c:pt idx="12">
                  <c:v>2595</c:v>
                </c:pt>
                <c:pt idx="13">
                  <c:v>3558</c:v>
                </c:pt>
                <c:pt idx="14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1-4DD0-81C7-FEAD1E4B86D7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2594</c:v>
                </c:pt>
                <c:pt idx="1">
                  <c:v>1621</c:v>
                </c:pt>
                <c:pt idx="2">
                  <c:v>2439</c:v>
                </c:pt>
                <c:pt idx="3">
                  <c:v>2298</c:v>
                </c:pt>
                <c:pt idx="4">
                  <c:v>2364</c:v>
                </c:pt>
                <c:pt idx="5">
                  <c:v>2067</c:v>
                </c:pt>
                <c:pt idx="6">
                  <c:v>1094</c:v>
                </c:pt>
                <c:pt idx="7">
                  <c:v>2312</c:v>
                </c:pt>
                <c:pt idx="8">
                  <c:v>112</c:v>
                </c:pt>
                <c:pt idx="9">
                  <c:v>755</c:v>
                </c:pt>
                <c:pt idx="10">
                  <c:v>4720</c:v>
                </c:pt>
                <c:pt idx="11">
                  <c:v>4664</c:v>
                </c:pt>
                <c:pt idx="12">
                  <c:v>2595</c:v>
                </c:pt>
                <c:pt idx="13">
                  <c:v>3558</c:v>
                </c:pt>
                <c:pt idx="14">
                  <c:v>700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1-4DD0-81C7-FEAD1E4B8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42%</c:v>
                </c:pt>
                <c:pt idx="1">
                  <c:v>0%</c:v>
                </c:pt>
                <c:pt idx="2">
                  <c:v>42%</c:v>
                </c:pt>
                <c:pt idx="3">
                  <c:v>42%</c:v>
                </c:pt>
                <c:pt idx="4">
                  <c:v>42%</c:v>
                </c:pt>
                <c:pt idx="5">
                  <c:v>42%</c:v>
                </c:pt>
                <c:pt idx="6">
                  <c:v>38%</c:v>
                </c:pt>
                <c:pt idx="7">
                  <c:v>29%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42%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0.375</c:v>
                </c:pt>
                <c:pt idx="7">
                  <c:v>0.29166666666666669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F-4EE1-B733-8A8895A6C2B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AF-4EE1-B733-8A8895A6C2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0.26041666666666663</c:v>
                </c:pt>
                <c:pt idx="1">
                  <c:v>0.26041666666666663</c:v>
                </c:pt>
                <c:pt idx="2">
                  <c:v>0.26041666666666663</c:v>
                </c:pt>
                <c:pt idx="3">
                  <c:v>0.26041666666666663</c:v>
                </c:pt>
                <c:pt idx="4">
                  <c:v>0.26041666666666663</c:v>
                </c:pt>
                <c:pt idx="5">
                  <c:v>0.26041666666666663</c:v>
                </c:pt>
                <c:pt idx="6">
                  <c:v>0.26041666666666663</c:v>
                </c:pt>
                <c:pt idx="7">
                  <c:v>0.26041666666666663</c:v>
                </c:pt>
                <c:pt idx="8">
                  <c:v>0.26041666666666663</c:v>
                </c:pt>
                <c:pt idx="9">
                  <c:v>0.26041666666666663</c:v>
                </c:pt>
                <c:pt idx="10">
                  <c:v>0.26041666666666663</c:v>
                </c:pt>
                <c:pt idx="11">
                  <c:v>0.26041666666666663</c:v>
                </c:pt>
                <c:pt idx="12">
                  <c:v>0.26041666666666663</c:v>
                </c:pt>
                <c:pt idx="13">
                  <c:v>0.26041666666666663</c:v>
                </c:pt>
                <c:pt idx="14">
                  <c:v>0.26041666666666663</c:v>
                </c:pt>
                <c:pt idx="15">
                  <c:v>0.26041666666666663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AF-4EE1-B733-8A8895A6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2594</c:v>
                </c:pt>
                <c:pt idx="2">
                  <c:v>2439</c:v>
                </c:pt>
                <c:pt idx="3">
                  <c:v>2298</c:v>
                </c:pt>
                <c:pt idx="4">
                  <c:v>2364</c:v>
                </c:pt>
                <c:pt idx="5">
                  <c:v>2067</c:v>
                </c:pt>
                <c:pt idx="6">
                  <c:v>1094</c:v>
                </c:pt>
                <c:pt idx="7">
                  <c:v>2312</c:v>
                </c:pt>
                <c:pt idx="11">
                  <c:v>4664</c:v>
                </c:pt>
                <c:pt idx="12">
                  <c:v>2595</c:v>
                </c:pt>
                <c:pt idx="13">
                  <c:v>3558</c:v>
                </c:pt>
                <c:pt idx="14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A-4BE7-B2E5-90364E16A8E2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2594</c:v>
                </c:pt>
                <c:pt idx="1">
                  <c:v>1621</c:v>
                </c:pt>
                <c:pt idx="2">
                  <c:v>2439</c:v>
                </c:pt>
                <c:pt idx="3">
                  <c:v>2298</c:v>
                </c:pt>
                <c:pt idx="4">
                  <c:v>2364</c:v>
                </c:pt>
                <c:pt idx="5">
                  <c:v>2067</c:v>
                </c:pt>
                <c:pt idx="6">
                  <c:v>1094</c:v>
                </c:pt>
                <c:pt idx="7">
                  <c:v>2312</c:v>
                </c:pt>
                <c:pt idx="8">
                  <c:v>112</c:v>
                </c:pt>
                <c:pt idx="9">
                  <c:v>755</c:v>
                </c:pt>
                <c:pt idx="10">
                  <c:v>4720</c:v>
                </c:pt>
                <c:pt idx="11">
                  <c:v>4664</c:v>
                </c:pt>
                <c:pt idx="12">
                  <c:v>2595</c:v>
                </c:pt>
                <c:pt idx="13">
                  <c:v>3558</c:v>
                </c:pt>
                <c:pt idx="14">
                  <c:v>700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A-4BE7-B2E5-90364E16A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42%</c:v>
                </c:pt>
                <c:pt idx="1">
                  <c:v>0%</c:v>
                </c:pt>
                <c:pt idx="2">
                  <c:v>42%</c:v>
                </c:pt>
                <c:pt idx="3">
                  <c:v>42%</c:v>
                </c:pt>
                <c:pt idx="4">
                  <c:v>42%</c:v>
                </c:pt>
                <c:pt idx="5">
                  <c:v>42%</c:v>
                </c:pt>
                <c:pt idx="6">
                  <c:v>38%</c:v>
                </c:pt>
                <c:pt idx="7">
                  <c:v>29%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42%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0.375</c:v>
                </c:pt>
                <c:pt idx="7">
                  <c:v>0.29166666666666669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6-45F9-B125-47B82662BE1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D6-45F9-B125-47B82662BE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SLIDER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0.26041666666666663</c:v>
                </c:pt>
                <c:pt idx="1">
                  <c:v>0.26041666666666663</c:v>
                </c:pt>
                <c:pt idx="2">
                  <c:v>0.26041666666666663</c:v>
                </c:pt>
                <c:pt idx="3">
                  <c:v>0.26041666666666663</c:v>
                </c:pt>
                <c:pt idx="4">
                  <c:v>0.26041666666666663</c:v>
                </c:pt>
                <c:pt idx="5">
                  <c:v>0.26041666666666663</c:v>
                </c:pt>
                <c:pt idx="6">
                  <c:v>0.26041666666666663</c:v>
                </c:pt>
                <c:pt idx="7">
                  <c:v>0.26041666666666663</c:v>
                </c:pt>
                <c:pt idx="8">
                  <c:v>0.26041666666666663</c:v>
                </c:pt>
                <c:pt idx="9">
                  <c:v>0.26041666666666663</c:v>
                </c:pt>
                <c:pt idx="10">
                  <c:v>0.26041666666666663</c:v>
                </c:pt>
                <c:pt idx="11">
                  <c:v>0.26041666666666663</c:v>
                </c:pt>
                <c:pt idx="12">
                  <c:v>0.26041666666666663</c:v>
                </c:pt>
                <c:pt idx="13">
                  <c:v>0.26041666666666663</c:v>
                </c:pt>
                <c:pt idx="14">
                  <c:v>0.26041666666666663</c:v>
                </c:pt>
                <c:pt idx="15">
                  <c:v>0.26041666666666663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6-45F9-B125-47B82662B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1B9-42E7-B818-73A9528913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9-42E7-B818-73A952891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B9-42E7-B818-73A9528913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B9-42E7-B818-73A952891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5676</c:v>
                </c:pt>
                <c:pt idx="2">
                  <c:v>5254</c:v>
                </c:pt>
                <c:pt idx="3">
                  <c:v>4474</c:v>
                </c:pt>
                <c:pt idx="4">
                  <c:v>5092</c:v>
                </c:pt>
                <c:pt idx="5">
                  <c:v>5444</c:v>
                </c:pt>
                <c:pt idx="6">
                  <c:v>4596</c:v>
                </c:pt>
                <c:pt idx="7">
                  <c:v>11362</c:v>
                </c:pt>
                <c:pt idx="8">
                  <c:v>2866</c:v>
                </c:pt>
                <c:pt idx="10">
                  <c:v>3293</c:v>
                </c:pt>
                <c:pt idx="11">
                  <c:v>13840</c:v>
                </c:pt>
                <c:pt idx="12">
                  <c:v>5679</c:v>
                </c:pt>
                <c:pt idx="13">
                  <c:v>4433</c:v>
                </c:pt>
                <c:pt idx="1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C-4062-9D6F-A4727BF01CF8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5676</c:v>
                </c:pt>
                <c:pt idx="1">
                  <c:v>1621</c:v>
                </c:pt>
                <c:pt idx="2">
                  <c:v>5254</c:v>
                </c:pt>
                <c:pt idx="3">
                  <c:v>4474</c:v>
                </c:pt>
                <c:pt idx="4">
                  <c:v>5092</c:v>
                </c:pt>
                <c:pt idx="5">
                  <c:v>5444</c:v>
                </c:pt>
                <c:pt idx="6">
                  <c:v>4596</c:v>
                </c:pt>
                <c:pt idx="7">
                  <c:v>11362</c:v>
                </c:pt>
                <c:pt idx="8">
                  <c:v>2866</c:v>
                </c:pt>
                <c:pt idx="9">
                  <c:v>755</c:v>
                </c:pt>
                <c:pt idx="10">
                  <c:v>3293</c:v>
                </c:pt>
                <c:pt idx="11">
                  <c:v>13840</c:v>
                </c:pt>
                <c:pt idx="12">
                  <c:v>5697</c:v>
                </c:pt>
                <c:pt idx="13">
                  <c:v>4433</c:v>
                </c:pt>
                <c:pt idx="14">
                  <c:v>800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C-4062-9D6F-A4727BF0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38%</c:v>
                </c:pt>
                <c:pt idx="9">
                  <c:v>0%</c:v>
                </c:pt>
                <c:pt idx="10">
                  <c:v>58%</c:v>
                </c:pt>
                <c:pt idx="11">
                  <c:v>63%</c:v>
                </c:pt>
                <c:pt idx="12">
                  <c:v>100%</c:v>
                </c:pt>
                <c:pt idx="13">
                  <c:v>88%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0.375</c:v>
                </c:pt>
                <c:pt idx="9">
                  <c:v>0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0.99684044233807267</c:v>
                </c:pt>
                <c:pt idx="13">
                  <c:v>0.875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5-42BB-AC7D-D1CFA68EE32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75-42BB-AC7D-D1CFA68EE32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0.66126086097946291</c:v>
                </c:pt>
                <c:pt idx="1">
                  <c:v>0.66126086097946291</c:v>
                </c:pt>
                <c:pt idx="2">
                  <c:v>0.66126086097946291</c:v>
                </c:pt>
                <c:pt idx="3">
                  <c:v>0.66126086097946291</c:v>
                </c:pt>
                <c:pt idx="4">
                  <c:v>0.66126086097946291</c:v>
                </c:pt>
                <c:pt idx="5">
                  <c:v>0.66126086097946291</c:v>
                </c:pt>
                <c:pt idx="6">
                  <c:v>0.66126086097946291</c:v>
                </c:pt>
                <c:pt idx="7">
                  <c:v>0.66126086097946291</c:v>
                </c:pt>
                <c:pt idx="8">
                  <c:v>0.66126086097946291</c:v>
                </c:pt>
                <c:pt idx="9">
                  <c:v>0.66126086097946291</c:v>
                </c:pt>
                <c:pt idx="10">
                  <c:v>0.66126086097946291</c:v>
                </c:pt>
                <c:pt idx="11">
                  <c:v>0.66126086097946291</c:v>
                </c:pt>
                <c:pt idx="12">
                  <c:v>0.66126086097946291</c:v>
                </c:pt>
                <c:pt idx="13">
                  <c:v>0.66126086097946291</c:v>
                </c:pt>
                <c:pt idx="14">
                  <c:v>0.66126086097946291</c:v>
                </c:pt>
                <c:pt idx="15">
                  <c:v>0.66126086097946291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75-42BB-AC7D-D1CFA68EE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5676</c:v>
                </c:pt>
                <c:pt idx="2">
                  <c:v>5254</c:v>
                </c:pt>
                <c:pt idx="3">
                  <c:v>4474</c:v>
                </c:pt>
                <c:pt idx="4">
                  <c:v>5092</c:v>
                </c:pt>
                <c:pt idx="5">
                  <c:v>5444</c:v>
                </c:pt>
                <c:pt idx="6">
                  <c:v>4596</c:v>
                </c:pt>
                <c:pt idx="7">
                  <c:v>11362</c:v>
                </c:pt>
                <c:pt idx="8">
                  <c:v>2866</c:v>
                </c:pt>
                <c:pt idx="10">
                  <c:v>3293</c:v>
                </c:pt>
                <c:pt idx="11">
                  <c:v>13840</c:v>
                </c:pt>
                <c:pt idx="12">
                  <c:v>5679</c:v>
                </c:pt>
                <c:pt idx="13">
                  <c:v>4433</c:v>
                </c:pt>
                <c:pt idx="1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9-44BF-8F62-02B955991917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5676</c:v>
                </c:pt>
                <c:pt idx="1">
                  <c:v>1621</c:v>
                </c:pt>
                <c:pt idx="2">
                  <c:v>5254</c:v>
                </c:pt>
                <c:pt idx="3">
                  <c:v>4474</c:v>
                </c:pt>
                <c:pt idx="4">
                  <c:v>5092</c:v>
                </c:pt>
                <c:pt idx="5">
                  <c:v>5444</c:v>
                </c:pt>
                <c:pt idx="6">
                  <c:v>4596</c:v>
                </c:pt>
                <c:pt idx="7">
                  <c:v>11362</c:v>
                </c:pt>
                <c:pt idx="8">
                  <c:v>2866</c:v>
                </c:pt>
                <c:pt idx="9">
                  <c:v>755</c:v>
                </c:pt>
                <c:pt idx="10">
                  <c:v>3293</c:v>
                </c:pt>
                <c:pt idx="11">
                  <c:v>13840</c:v>
                </c:pt>
                <c:pt idx="12">
                  <c:v>5697</c:v>
                </c:pt>
                <c:pt idx="13">
                  <c:v>4433</c:v>
                </c:pt>
                <c:pt idx="14">
                  <c:v>800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9-44BF-8F62-02B955991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38%</c:v>
                </c:pt>
                <c:pt idx="9">
                  <c:v>0%</c:v>
                </c:pt>
                <c:pt idx="10">
                  <c:v>58%</c:v>
                </c:pt>
                <c:pt idx="11">
                  <c:v>63%</c:v>
                </c:pt>
                <c:pt idx="12">
                  <c:v>100%</c:v>
                </c:pt>
                <c:pt idx="13">
                  <c:v>88%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0.375</c:v>
                </c:pt>
                <c:pt idx="9">
                  <c:v>0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0.99684044233807267</c:v>
                </c:pt>
                <c:pt idx="13">
                  <c:v>0.875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E-44EE-B40B-D2B489285F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1E-44EE-B40B-D2B489285F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0.66126086097946291</c:v>
                </c:pt>
                <c:pt idx="1">
                  <c:v>0.66126086097946291</c:v>
                </c:pt>
                <c:pt idx="2">
                  <c:v>0.66126086097946291</c:v>
                </c:pt>
                <c:pt idx="3">
                  <c:v>0.66126086097946291</c:v>
                </c:pt>
                <c:pt idx="4">
                  <c:v>0.66126086097946291</c:v>
                </c:pt>
                <c:pt idx="5">
                  <c:v>0.66126086097946291</c:v>
                </c:pt>
                <c:pt idx="6">
                  <c:v>0.66126086097946291</c:v>
                </c:pt>
                <c:pt idx="7">
                  <c:v>0.66126086097946291</c:v>
                </c:pt>
                <c:pt idx="8">
                  <c:v>0.66126086097946291</c:v>
                </c:pt>
                <c:pt idx="9">
                  <c:v>0.66126086097946291</c:v>
                </c:pt>
                <c:pt idx="10">
                  <c:v>0.66126086097946291</c:v>
                </c:pt>
                <c:pt idx="11">
                  <c:v>0.66126086097946291</c:v>
                </c:pt>
                <c:pt idx="12">
                  <c:v>0.66126086097946291</c:v>
                </c:pt>
                <c:pt idx="13">
                  <c:v>0.66126086097946291</c:v>
                </c:pt>
                <c:pt idx="14">
                  <c:v>0.66126086097946291</c:v>
                </c:pt>
                <c:pt idx="15">
                  <c:v>0.66126086097946291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E-44EE-B40B-D2B489285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47B-49E5-A780-5B1DA6043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7B-49E5-A780-5B1DA6043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7B-49E5-A780-5B1DA60433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7B-49E5-A780-5B1DA6043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0">
                  <c:v>6103</c:v>
                </c:pt>
                <c:pt idx="2">
                  <c:v>5051</c:v>
                </c:pt>
                <c:pt idx="3">
                  <c:v>1430</c:v>
                </c:pt>
                <c:pt idx="4">
                  <c:v>2217</c:v>
                </c:pt>
                <c:pt idx="5">
                  <c:v>3967</c:v>
                </c:pt>
                <c:pt idx="6">
                  <c:v>4805</c:v>
                </c:pt>
                <c:pt idx="7">
                  <c:v>7908</c:v>
                </c:pt>
                <c:pt idx="8">
                  <c:v>2984</c:v>
                </c:pt>
                <c:pt idx="9">
                  <c:v>1679</c:v>
                </c:pt>
                <c:pt idx="10">
                  <c:v>5714</c:v>
                </c:pt>
                <c:pt idx="11">
                  <c:v>22204</c:v>
                </c:pt>
                <c:pt idx="12">
                  <c:v>4957</c:v>
                </c:pt>
                <c:pt idx="13">
                  <c:v>1715</c:v>
                </c:pt>
                <c:pt idx="14">
                  <c:v>3226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E-47E7-B3B9-73CB9F0B6C45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6103</c:v>
                </c:pt>
                <c:pt idx="1">
                  <c:v>1621</c:v>
                </c:pt>
                <c:pt idx="2">
                  <c:v>5051</c:v>
                </c:pt>
                <c:pt idx="3">
                  <c:v>1430</c:v>
                </c:pt>
                <c:pt idx="4">
                  <c:v>2217</c:v>
                </c:pt>
                <c:pt idx="5">
                  <c:v>3967</c:v>
                </c:pt>
                <c:pt idx="6">
                  <c:v>4805</c:v>
                </c:pt>
                <c:pt idx="7">
                  <c:v>7908</c:v>
                </c:pt>
                <c:pt idx="8">
                  <c:v>2984</c:v>
                </c:pt>
                <c:pt idx="9">
                  <c:v>1679</c:v>
                </c:pt>
                <c:pt idx="10">
                  <c:v>5714</c:v>
                </c:pt>
                <c:pt idx="11">
                  <c:v>22204</c:v>
                </c:pt>
                <c:pt idx="12">
                  <c:v>4957</c:v>
                </c:pt>
                <c:pt idx="13">
                  <c:v>1715</c:v>
                </c:pt>
                <c:pt idx="14">
                  <c:v>3226</c:v>
                </c:pt>
                <c:pt idx="15">
                  <c:v>800</c:v>
                </c:pt>
                <c:pt idx="16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E-47E7-B3B9-73CB9F0B6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92%</c:v>
                </c:pt>
                <c:pt idx="3">
                  <c:v>33%</c:v>
                </c:pt>
                <c:pt idx="4">
                  <c:v>50%</c:v>
                </c:pt>
                <c:pt idx="5">
                  <c:v>79%</c:v>
                </c:pt>
                <c:pt idx="6">
                  <c:v>100%</c:v>
                </c:pt>
                <c:pt idx="7">
                  <c:v>75%</c:v>
                </c:pt>
                <c:pt idx="8">
                  <c:v>46%</c:v>
                </c:pt>
                <c:pt idx="9">
                  <c:v>38%</c:v>
                </c:pt>
                <c:pt idx="10">
                  <c:v>100%</c:v>
                </c:pt>
                <c:pt idx="11">
                  <c:v>100%</c:v>
                </c:pt>
                <c:pt idx="12">
                  <c:v>96%</c:v>
                </c:pt>
                <c:pt idx="13">
                  <c:v>33%</c:v>
                </c:pt>
                <c:pt idx="14">
                  <c:v>58%</c:v>
                </c:pt>
                <c:pt idx="15">
                  <c:v>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0.91666666666666663</c:v>
                </c:pt>
                <c:pt idx="3">
                  <c:v>0.33333333333333331</c:v>
                </c:pt>
                <c:pt idx="4">
                  <c:v>0.5</c:v>
                </c:pt>
                <c:pt idx="5">
                  <c:v>0.79166666666666663</c:v>
                </c:pt>
                <c:pt idx="6">
                  <c:v>1</c:v>
                </c:pt>
                <c:pt idx="7">
                  <c:v>0.75</c:v>
                </c:pt>
                <c:pt idx="8">
                  <c:v>0.45833333333333331</c:v>
                </c:pt>
                <c:pt idx="9">
                  <c:v>0.375</c:v>
                </c:pt>
                <c:pt idx="10">
                  <c:v>1</c:v>
                </c:pt>
                <c:pt idx="11">
                  <c:v>1</c:v>
                </c:pt>
                <c:pt idx="12">
                  <c:v>0.95833333333333337</c:v>
                </c:pt>
                <c:pt idx="13">
                  <c:v>0.33333333333333331</c:v>
                </c:pt>
                <c:pt idx="14">
                  <c:v>0.58333333333333337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6-4375-A7B9-5C38C8E78B3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B6-4375-A7B9-5C38C8E78B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0.58823529411764719</c:v>
                </c:pt>
                <c:pt idx="1">
                  <c:v>0.58823529411764719</c:v>
                </c:pt>
                <c:pt idx="2">
                  <c:v>0.58823529411764719</c:v>
                </c:pt>
                <c:pt idx="3">
                  <c:v>0.58823529411764719</c:v>
                </c:pt>
                <c:pt idx="4">
                  <c:v>0.58823529411764719</c:v>
                </c:pt>
                <c:pt idx="5">
                  <c:v>0.58823529411764719</c:v>
                </c:pt>
                <c:pt idx="6">
                  <c:v>0.58823529411764719</c:v>
                </c:pt>
                <c:pt idx="7">
                  <c:v>0.58823529411764719</c:v>
                </c:pt>
                <c:pt idx="8">
                  <c:v>0.58823529411764719</c:v>
                </c:pt>
                <c:pt idx="9">
                  <c:v>0.58823529411764719</c:v>
                </c:pt>
                <c:pt idx="10">
                  <c:v>0.58823529411764719</c:v>
                </c:pt>
                <c:pt idx="11">
                  <c:v>0.58823529411764719</c:v>
                </c:pt>
                <c:pt idx="12">
                  <c:v>0.58823529411764719</c:v>
                </c:pt>
                <c:pt idx="13">
                  <c:v>0.58823529411764719</c:v>
                </c:pt>
                <c:pt idx="14">
                  <c:v>0.58823529411764719</c:v>
                </c:pt>
                <c:pt idx="15">
                  <c:v>0.58823529411764719</c:v>
                </c:pt>
                <c:pt idx="16">
                  <c:v>0.58823529411764719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B6-4375-A7B9-5C38C8E7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0">
                  <c:v>6103</c:v>
                </c:pt>
                <c:pt idx="2">
                  <c:v>5051</c:v>
                </c:pt>
                <c:pt idx="3">
                  <c:v>1430</c:v>
                </c:pt>
                <c:pt idx="4">
                  <c:v>2217</c:v>
                </c:pt>
                <c:pt idx="5">
                  <c:v>3967</c:v>
                </c:pt>
                <c:pt idx="6">
                  <c:v>4805</c:v>
                </c:pt>
                <c:pt idx="7">
                  <c:v>7908</c:v>
                </c:pt>
                <c:pt idx="8">
                  <c:v>2984</c:v>
                </c:pt>
                <c:pt idx="9">
                  <c:v>1679</c:v>
                </c:pt>
                <c:pt idx="10">
                  <c:v>5714</c:v>
                </c:pt>
                <c:pt idx="11">
                  <c:v>22204</c:v>
                </c:pt>
                <c:pt idx="12">
                  <c:v>4957</c:v>
                </c:pt>
                <c:pt idx="13">
                  <c:v>1715</c:v>
                </c:pt>
                <c:pt idx="14">
                  <c:v>3226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6-4480-9A70-7EFB529D0553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6103</c:v>
                </c:pt>
                <c:pt idx="1">
                  <c:v>1621</c:v>
                </c:pt>
                <c:pt idx="2">
                  <c:v>5051</c:v>
                </c:pt>
                <c:pt idx="3">
                  <c:v>1430</c:v>
                </c:pt>
                <c:pt idx="4">
                  <c:v>2217</c:v>
                </c:pt>
                <c:pt idx="5">
                  <c:v>3967</c:v>
                </c:pt>
                <c:pt idx="6">
                  <c:v>4805</c:v>
                </c:pt>
                <c:pt idx="7">
                  <c:v>7908</c:v>
                </c:pt>
                <c:pt idx="8">
                  <c:v>2984</c:v>
                </c:pt>
                <c:pt idx="9">
                  <c:v>1679</c:v>
                </c:pt>
                <c:pt idx="10">
                  <c:v>5714</c:v>
                </c:pt>
                <c:pt idx="11">
                  <c:v>22204</c:v>
                </c:pt>
                <c:pt idx="12">
                  <c:v>4957</c:v>
                </c:pt>
                <c:pt idx="13">
                  <c:v>1715</c:v>
                </c:pt>
                <c:pt idx="14">
                  <c:v>3226</c:v>
                </c:pt>
                <c:pt idx="15">
                  <c:v>800</c:v>
                </c:pt>
                <c:pt idx="16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6-4480-9A70-7EFB529D0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92%</c:v>
                </c:pt>
                <c:pt idx="3">
                  <c:v>33%</c:v>
                </c:pt>
                <c:pt idx="4">
                  <c:v>50%</c:v>
                </c:pt>
                <c:pt idx="5">
                  <c:v>79%</c:v>
                </c:pt>
                <c:pt idx="6">
                  <c:v>100%</c:v>
                </c:pt>
                <c:pt idx="7">
                  <c:v>75%</c:v>
                </c:pt>
                <c:pt idx="8">
                  <c:v>46%</c:v>
                </c:pt>
                <c:pt idx="9">
                  <c:v>38%</c:v>
                </c:pt>
                <c:pt idx="10">
                  <c:v>100%</c:v>
                </c:pt>
                <c:pt idx="11">
                  <c:v>100%</c:v>
                </c:pt>
                <c:pt idx="12">
                  <c:v>96%</c:v>
                </c:pt>
                <c:pt idx="13">
                  <c:v>33%</c:v>
                </c:pt>
                <c:pt idx="14">
                  <c:v>58%</c:v>
                </c:pt>
                <c:pt idx="15">
                  <c:v>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0.91666666666666663</c:v>
                </c:pt>
                <c:pt idx="3">
                  <c:v>0.33333333333333331</c:v>
                </c:pt>
                <c:pt idx="4">
                  <c:v>0.5</c:v>
                </c:pt>
                <c:pt idx="5">
                  <c:v>0.79166666666666663</c:v>
                </c:pt>
                <c:pt idx="6">
                  <c:v>1</c:v>
                </c:pt>
                <c:pt idx="7">
                  <c:v>0.75</c:v>
                </c:pt>
                <c:pt idx="8">
                  <c:v>0.45833333333333331</c:v>
                </c:pt>
                <c:pt idx="9">
                  <c:v>0.375</c:v>
                </c:pt>
                <c:pt idx="10">
                  <c:v>1</c:v>
                </c:pt>
                <c:pt idx="11">
                  <c:v>1</c:v>
                </c:pt>
                <c:pt idx="12">
                  <c:v>0.95833333333333337</c:v>
                </c:pt>
                <c:pt idx="13">
                  <c:v>0.33333333333333331</c:v>
                </c:pt>
                <c:pt idx="14">
                  <c:v>0.58333333333333337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B7-4D9F-BE16-7BFD2E43196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B7-4D9F-BE16-7BFD2E4319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0.58823529411764719</c:v>
                </c:pt>
                <c:pt idx="1">
                  <c:v>0.58823529411764719</c:v>
                </c:pt>
                <c:pt idx="2">
                  <c:v>0.58823529411764719</c:v>
                </c:pt>
                <c:pt idx="3">
                  <c:v>0.58823529411764719</c:v>
                </c:pt>
                <c:pt idx="4">
                  <c:v>0.58823529411764719</c:v>
                </c:pt>
                <c:pt idx="5">
                  <c:v>0.58823529411764719</c:v>
                </c:pt>
                <c:pt idx="6">
                  <c:v>0.58823529411764719</c:v>
                </c:pt>
                <c:pt idx="7">
                  <c:v>0.58823529411764719</c:v>
                </c:pt>
                <c:pt idx="8">
                  <c:v>0.58823529411764719</c:v>
                </c:pt>
                <c:pt idx="9">
                  <c:v>0.58823529411764719</c:v>
                </c:pt>
                <c:pt idx="10">
                  <c:v>0.58823529411764719</c:v>
                </c:pt>
                <c:pt idx="11">
                  <c:v>0.58823529411764719</c:v>
                </c:pt>
                <c:pt idx="12">
                  <c:v>0.58823529411764719</c:v>
                </c:pt>
                <c:pt idx="13">
                  <c:v>0.58823529411764719</c:v>
                </c:pt>
                <c:pt idx="14">
                  <c:v>0.58823529411764719</c:v>
                </c:pt>
                <c:pt idx="15">
                  <c:v>0.58823529411764719</c:v>
                </c:pt>
                <c:pt idx="16">
                  <c:v>0.58823529411764719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B7-4D9F-BE16-7BFD2E431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1FB-4368-B81D-041E3D0580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B-4368-B81D-041E3D05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FB-4368-B81D-041E3D0580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FB-4368-B81D-041E3D05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'11'!$L$6:$L$24</c:f>
              <c:numCache>
                <c:formatCode>_(* #,##0_);_(* \(#,##0\);_(* "-"_);_(@_)</c:formatCode>
                <c:ptCount val="19"/>
                <c:pt idx="0">
                  <c:v>6040</c:v>
                </c:pt>
                <c:pt idx="1">
                  <c:v>11280</c:v>
                </c:pt>
                <c:pt idx="3">
                  <c:v>810</c:v>
                </c:pt>
                <c:pt idx="4">
                  <c:v>5471</c:v>
                </c:pt>
                <c:pt idx="5">
                  <c:v>5843</c:v>
                </c:pt>
                <c:pt idx="6">
                  <c:v>4701</c:v>
                </c:pt>
                <c:pt idx="7">
                  <c:v>1150</c:v>
                </c:pt>
                <c:pt idx="8">
                  <c:v>457</c:v>
                </c:pt>
                <c:pt idx="9">
                  <c:v>482</c:v>
                </c:pt>
                <c:pt idx="12">
                  <c:v>5436</c:v>
                </c:pt>
                <c:pt idx="13">
                  <c:v>21992</c:v>
                </c:pt>
                <c:pt idx="14">
                  <c:v>4790</c:v>
                </c:pt>
                <c:pt idx="15">
                  <c:v>1233</c:v>
                </c:pt>
                <c:pt idx="16">
                  <c:v>935</c:v>
                </c:pt>
                <c:pt idx="17">
                  <c:v>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A-4B77-83B2-C149B61DAEC7}"/>
            </c:ext>
          </c:extLst>
        </c:ser>
        <c:ser>
          <c:idx val="1"/>
          <c:order val="1"/>
          <c:tx>
            <c:v>계획</c:v>
          </c:tx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'11'!$J$6:$J$24</c:f>
              <c:numCache>
                <c:formatCode>_(* #,##0_);_(* \(#,##0\);_(* "-"_);_(@_)</c:formatCode>
                <c:ptCount val="19"/>
                <c:pt idx="0">
                  <c:v>6040</c:v>
                </c:pt>
                <c:pt idx="1">
                  <c:v>11280</c:v>
                </c:pt>
                <c:pt idx="2">
                  <c:v>5051</c:v>
                </c:pt>
                <c:pt idx="3">
                  <c:v>810</c:v>
                </c:pt>
                <c:pt idx="4">
                  <c:v>5471</c:v>
                </c:pt>
                <c:pt idx="5">
                  <c:v>5843</c:v>
                </c:pt>
                <c:pt idx="6">
                  <c:v>4701</c:v>
                </c:pt>
                <c:pt idx="7">
                  <c:v>1150</c:v>
                </c:pt>
                <c:pt idx="8">
                  <c:v>457</c:v>
                </c:pt>
                <c:pt idx="9">
                  <c:v>482</c:v>
                </c:pt>
                <c:pt idx="10">
                  <c:v>2984</c:v>
                </c:pt>
                <c:pt idx="11">
                  <c:v>1679</c:v>
                </c:pt>
                <c:pt idx="12">
                  <c:v>5436</c:v>
                </c:pt>
                <c:pt idx="13">
                  <c:v>21992</c:v>
                </c:pt>
                <c:pt idx="14">
                  <c:v>4790</c:v>
                </c:pt>
                <c:pt idx="15">
                  <c:v>1233</c:v>
                </c:pt>
                <c:pt idx="16">
                  <c:v>935</c:v>
                </c:pt>
                <c:pt idx="17">
                  <c:v>3899</c:v>
                </c:pt>
                <c:pt idx="18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A-4B77-83B2-C149B61DA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'11'!$AD$6:$AD$24</c:f>
              <c:strCache>
                <c:ptCount val="19"/>
                <c:pt idx="0">
                  <c:v>100%</c:v>
                </c:pt>
                <c:pt idx="1">
                  <c:v>75%</c:v>
                </c:pt>
                <c:pt idx="2">
                  <c:v>0%</c:v>
                </c:pt>
                <c:pt idx="3">
                  <c:v>21%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17%</c:v>
                </c:pt>
                <c:pt idx="8">
                  <c:v>13%</c:v>
                </c:pt>
                <c:pt idx="9">
                  <c:v>13%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96%</c:v>
                </c:pt>
                <c:pt idx="15">
                  <c:v>25%</c:v>
                </c:pt>
                <c:pt idx="16">
                  <c:v>21%</c:v>
                </c:pt>
                <c:pt idx="17">
                  <c:v>79%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'11'!$AD$6:$AD$24</c:f>
              <c:numCache>
                <c:formatCode>0%</c:formatCode>
                <c:ptCount val="19"/>
                <c:pt idx="0">
                  <c:v>1</c:v>
                </c:pt>
                <c:pt idx="1">
                  <c:v>0.75</c:v>
                </c:pt>
                <c:pt idx="2">
                  <c:v>0</c:v>
                </c:pt>
                <c:pt idx="3">
                  <c:v>0.20833333333333334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0.16666666666666666</c:v>
                </c:pt>
                <c:pt idx="8">
                  <c:v>0.125</c:v>
                </c:pt>
                <c:pt idx="9">
                  <c:v>0.125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0.25</c:v>
                </c:pt>
                <c:pt idx="16">
                  <c:v>0.20833333333333334</c:v>
                </c:pt>
                <c:pt idx="17">
                  <c:v>0.79166666666666663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2-4111-A838-2F7B972BC7D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E2-4111-A838-2F7B972BC7D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'11'!$AE$6:$AE$24</c:f>
              <c:numCache>
                <c:formatCode>0%</c:formatCode>
                <c:ptCount val="19"/>
                <c:pt idx="0">
                  <c:v>0.50438596491228072</c:v>
                </c:pt>
                <c:pt idx="1">
                  <c:v>0.50438596491228072</c:v>
                </c:pt>
                <c:pt idx="2">
                  <c:v>0.50438596491228072</c:v>
                </c:pt>
                <c:pt idx="3">
                  <c:v>0.50438596491228072</c:v>
                </c:pt>
                <c:pt idx="4">
                  <c:v>0.50438596491228072</c:v>
                </c:pt>
                <c:pt idx="5">
                  <c:v>0.50438596491228072</c:v>
                </c:pt>
                <c:pt idx="6">
                  <c:v>0.50438596491228072</c:v>
                </c:pt>
                <c:pt idx="7">
                  <c:v>0.50438596491228072</c:v>
                </c:pt>
                <c:pt idx="8">
                  <c:v>0.50438596491228072</c:v>
                </c:pt>
                <c:pt idx="9">
                  <c:v>0.50438596491228072</c:v>
                </c:pt>
                <c:pt idx="10">
                  <c:v>0.50438596491228072</c:v>
                </c:pt>
                <c:pt idx="11">
                  <c:v>0.50438596491228072</c:v>
                </c:pt>
                <c:pt idx="12">
                  <c:v>0.50438596491228072</c:v>
                </c:pt>
                <c:pt idx="13">
                  <c:v>0.50438596491228072</c:v>
                </c:pt>
                <c:pt idx="14">
                  <c:v>0.50438596491228072</c:v>
                </c:pt>
                <c:pt idx="15">
                  <c:v>0.50438596491228072</c:v>
                </c:pt>
                <c:pt idx="16">
                  <c:v>0.50438596491228072</c:v>
                </c:pt>
                <c:pt idx="17">
                  <c:v>0.20833333333333334</c:v>
                </c:pt>
                <c:pt idx="18">
                  <c:v>0.50438596491228072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2-4111-A838-2F7B972BC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'11'!$L$6:$L$24</c:f>
              <c:numCache>
                <c:formatCode>_(* #,##0_);_(* \(#,##0\);_(* "-"_);_(@_)</c:formatCode>
                <c:ptCount val="19"/>
                <c:pt idx="0">
                  <c:v>6040</c:v>
                </c:pt>
                <c:pt idx="1">
                  <c:v>11280</c:v>
                </c:pt>
                <c:pt idx="3">
                  <c:v>810</c:v>
                </c:pt>
                <c:pt idx="4">
                  <c:v>5471</c:v>
                </c:pt>
                <c:pt idx="5">
                  <c:v>5843</c:v>
                </c:pt>
                <c:pt idx="6">
                  <c:v>4701</c:v>
                </c:pt>
                <c:pt idx="7">
                  <c:v>1150</c:v>
                </c:pt>
                <c:pt idx="8">
                  <c:v>457</c:v>
                </c:pt>
                <c:pt idx="9">
                  <c:v>482</c:v>
                </c:pt>
                <c:pt idx="12">
                  <c:v>5436</c:v>
                </c:pt>
                <c:pt idx="13">
                  <c:v>21992</c:v>
                </c:pt>
                <c:pt idx="14">
                  <c:v>4790</c:v>
                </c:pt>
                <c:pt idx="15">
                  <c:v>1233</c:v>
                </c:pt>
                <c:pt idx="16">
                  <c:v>935</c:v>
                </c:pt>
                <c:pt idx="17">
                  <c:v>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C-41E0-B5DA-06601A4E2E95}"/>
            </c:ext>
          </c:extLst>
        </c:ser>
        <c:ser>
          <c:idx val="1"/>
          <c:order val="1"/>
          <c:tx>
            <c:v>계획</c:v>
          </c:tx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'11'!$J$6:$J$24</c:f>
              <c:numCache>
                <c:formatCode>_(* #,##0_);_(* \(#,##0\);_(* "-"_);_(@_)</c:formatCode>
                <c:ptCount val="19"/>
                <c:pt idx="0">
                  <c:v>6040</c:v>
                </c:pt>
                <c:pt idx="1">
                  <c:v>11280</c:v>
                </c:pt>
                <c:pt idx="2">
                  <c:v>5051</c:v>
                </c:pt>
                <c:pt idx="3">
                  <c:v>810</c:v>
                </c:pt>
                <c:pt idx="4">
                  <c:v>5471</c:v>
                </c:pt>
                <c:pt idx="5">
                  <c:v>5843</c:v>
                </c:pt>
                <c:pt idx="6">
                  <c:v>4701</c:v>
                </c:pt>
                <c:pt idx="7">
                  <c:v>1150</c:v>
                </c:pt>
                <c:pt idx="8">
                  <c:v>457</c:v>
                </c:pt>
                <c:pt idx="9">
                  <c:v>482</c:v>
                </c:pt>
                <c:pt idx="10">
                  <c:v>2984</c:v>
                </c:pt>
                <c:pt idx="11">
                  <c:v>1679</c:v>
                </c:pt>
                <c:pt idx="12">
                  <c:v>5436</c:v>
                </c:pt>
                <c:pt idx="13">
                  <c:v>21992</c:v>
                </c:pt>
                <c:pt idx="14">
                  <c:v>4790</c:v>
                </c:pt>
                <c:pt idx="15">
                  <c:v>1233</c:v>
                </c:pt>
                <c:pt idx="16">
                  <c:v>935</c:v>
                </c:pt>
                <c:pt idx="17">
                  <c:v>3899</c:v>
                </c:pt>
                <c:pt idx="18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C-41E0-B5DA-06601A4E2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'11'!$AD$6:$AD$24</c:f>
              <c:strCache>
                <c:ptCount val="19"/>
                <c:pt idx="0">
                  <c:v>100%</c:v>
                </c:pt>
                <c:pt idx="1">
                  <c:v>75%</c:v>
                </c:pt>
                <c:pt idx="2">
                  <c:v>0%</c:v>
                </c:pt>
                <c:pt idx="3">
                  <c:v>21%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17%</c:v>
                </c:pt>
                <c:pt idx="8">
                  <c:v>13%</c:v>
                </c:pt>
                <c:pt idx="9">
                  <c:v>13%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96%</c:v>
                </c:pt>
                <c:pt idx="15">
                  <c:v>25%</c:v>
                </c:pt>
                <c:pt idx="16">
                  <c:v>21%</c:v>
                </c:pt>
                <c:pt idx="17">
                  <c:v>79%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'11'!$AD$6:$AD$24</c:f>
              <c:numCache>
                <c:formatCode>0%</c:formatCode>
                <c:ptCount val="19"/>
                <c:pt idx="0">
                  <c:v>1</c:v>
                </c:pt>
                <c:pt idx="1">
                  <c:v>0.75</c:v>
                </c:pt>
                <c:pt idx="2">
                  <c:v>0</c:v>
                </c:pt>
                <c:pt idx="3">
                  <c:v>0.20833333333333334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0.16666666666666666</c:v>
                </c:pt>
                <c:pt idx="8">
                  <c:v>0.125</c:v>
                </c:pt>
                <c:pt idx="9">
                  <c:v>0.125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0.25</c:v>
                </c:pt>
                <c:pt idx="16">
                  <c:v>0.20833333333333334</c:v>
                </c:pt>
                <c:pt idx="17">
                  <c:v>0.79166666666666663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6-43A2-8578-C16418A33CA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66-43A2-8578-C16418A33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ACTUATOR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'11'!$AE$6:$AE$24</c:f>
              <c:numCache>
                <c:formatCode>0%</c:formatCode>
                <c:ptCount val="19"/>
                <c:pt idx="0">
                  <c:v>0.50438596491228072</c:v>
                </c:pt>
                <c:pt idx="1">
                  <c:v>0.50438596491228072</c:v>
                </c:pt>
                <c:pt idx="2">
                  <c:v>0.50438596491228072</c:v>
                </c:pt>
                <c:pt idx="3">
                  <c:v>0.50438596491228072</c:v>
                </c:pt>
                <c:pt idx="4">
                  <c:v>0.50438596491228072</c:v>
                </c:pt>
                <c:pt idx="5">
                  <c:v>0.50438596491228072</c:v>
                </c:pt>
                <c:pt idx="6">
                  <c:v>0.50438596491228072</c:v>
                </c:pt>
                <c:pt idx="7">
                  <c:v>0.50438596491228072</c:v>
                </c:pt>
                <c:pt idx="8">
                  <c:v>0.50438596491228072</c:v>
                </c:pt>
                <c:pt idx="9">
                  <c:v>0.50438596491228072</c:v>
                </c:pt>
                <c:pt idx="10">
                  <c:v>0.50438596491228072</c:v>
                </c:pt>
                <c:pt idx="11">
                  <c:v>0.50438596491228072</c:v>
                </c:pt>
                <c:pt idx="12">
                  <c:v>0.50438596491228072</c:v>
                </c:pt>
                <c:pt idx="13">
                  <c:v>0.50438596491228072</c:v>
                </c:pt>
                <c:pt idx="14">
                  <c:v>0.50438596491228072</c:v>
                </c:pt>
                <c:pt idx="15">
                  <c:v>0.50438596491228072</c:v>
                </c:pt>
                <c:pt idx="16">
                  <c:v>0.50438596491228072</c:v>
                </c:pt>
                <c:pt idx="17">
                  <c:v>0.20833333333333334</c:v>
                </c:pt>
                <c:pt idx="18">
                  <c:v>0.50438596491228072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6-43A2-8578-C16418A33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ECB-4119-989F-9B73D56BC0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CB-4119-989F-9B73D56BC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CB-4119-989F-9B73D56BC0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B-4119-989F-9B73D56BC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'12'!$L$6:$L$22</c:f>
              <c:numCache>
                <c:formatCode>_(* #,##0_);_(* \(#,##0\);_(* "-"_);_(@_)</c:formatCode>
                <c:ptCount val="17"/>
                <c:pt idx="0">
                  <c:v>4713</c:v>
                </c:pt>
                <c:pt idx="1">
                  <c:v>18680</c:v>
                </c:pt>
                <c:pt idx="2">
                  <c:v>3104</c:v>
                </c:pt>
                <c:pt idx="3">
                  <c:v>1888</c:v>
                </c:pt>
                <c:pt idx="4">
                  <c:v>5522</c:v>
                </c:pt>
                <c:pt idx="5">
                  <c:v>5907</c:v>
                </c:pt>
                <c:pt idx="6">
                  <c:v>4434</c:v>
                </c:pt>
                <c:pt idx="7">
                  <c:v>11384</c:v>
                </c:pt>
                <c:pt idx="10">
                  <c:v>4776</c:v>
                </c:pt>
                <c:pt idx="11">
                  <c:v>20260</c:v>
                </c:pt>
                <c:pt idx="12">
                  <c:v>1584</c:v>
                </c:pt>
                <c:pt idx="13">
                  <c:v>2621</c:v>
                </c:pt>
                <c:pt idx="14">
                  <c:v>18048</c:v>
                </c:pt>
                <c:pt idx="15">
                  <c:v>5224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4-44F5-8C07-FB3A49F1082F}"/>
            </c:ext>
          </c:extLst>
        </c:ser>
        <c:ser>
          <c:idx val="1"/>
          <c:order val="1"/>
          <c:tx>
            <c:v>계획</c:v>
          </c:tx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'12'!$J$6:$J$22</c:f>
              <c:numCache>
                <c:formatCode>_(* #,##0_);_(* \(#,##0\);_(* "-"_);_(@_)</c:formatCode>
                <c:ptCount val="17"/>
                <c:pt idx="0">
                  <c:v>4713</c:v>
                </c:pt>
                <c:pt idx="1">
                  <c:v>18680</c:v>
                </c:pt>
                <c:pt idx="2">
                  <c:v>3104</c:v>
                </c:pt>
                <c:pt idx="3">
                  <c:v>1888</c:v>
                </c:pt>
                <c:pt idx="4">
                  <c:v>5522</c:v>
                </c:pt>
                <c:pt idx="5">
                  <c:v>5907</c:v>
                </c:pt>
                <c:pt idx="6">
                  <c:v>4434</c:v>
                </c:pt>
                <c:pt idx="7">
                  <c:v>11384</c:v>
                </c:pt>
                <c:pt idx="8">
                  <c:v>2984</c:v>
                </c:pt>
                <c:pt idx="9">
                  <c:v>1679</c:v>
                </c:pt>
                <c:pt idx="10">
                  <c:v>4776</c:v>
                </c:pt>
                <c:pt idx="11">
                  <c:v>20260</c:v>
                </c:pt>
                <c:pt idx="12">
                  <c:v>1584</c:v>
                </c:pt>
                <c:pt idx="13">
                  <c:v>2621</c:v>
                </c:pt>
                <c:pt idx="14">
                  <c:v>18048</c:v>
                </c:pt>
                <c:pt idx="15">
                  <c:v>5224</c:v>
                </c:pt>
                <c:pt idx="16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4-44F5-8C07-FB3A49F10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'12'!$AD$6:$AD$22</c:f>
              <c:strCache>
                <c:ptCount val="17"/>
                <c:pt idx="0">
                  <c:v>83%</c:v>
                </c:pt>
                <c:pt idx="1">
                  <c:v>100%</c:v>
                </c:pt>
                <c:pt idx="2">
                  <c:v>75%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96%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33%</c:v>
                </c:pt>
                <c:pt idx="13">
                  <c:v>63%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1</c:v>
                </c:pt>
                <c:pt idx="2">
                  <c:v>0.75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0.95833333333333337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0.33333333333333331</c:v>
                </c:pt>
                <c:pt idx="13">
                  <c:v>0.625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E-4098-914A-6BA47394815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AE-4098-914A-6BA4739481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'12'!$AE$6:$AE$22</c:f>
              <c:numCache>
                <c:formatCode>0%</c:formatCode>
                <c:ptCount val="17"/>
                <c:pt idx="0">
                  <c:v>0.68382352941176472</c:v>
                </c:pt>
                <c:pt idx="1">
                  <c:v>0.68382352941176472</c:v>
                </c:pt>
                <c:pt idx="2">
                  <c:v>0.68382352941176472</c:v>
                </c:pt>
                <c:pt idx="3">
                  <c:v>0.68382352941176472</c:v>
                </c:pt>
                <c:pt idx="4">
                  <c:v>0.68382352941176472</c:v>
                </c:pt>
                <c:pt idx="5">
                  <c:v>0.68382352941176472</c:v>
                </c:pt>
                <c:pt idx="6">
                  <c:v>0.68382352941176472</c:v>
                </c:pt>
                <c:pt idx="7">
                  <c:v>0.68382352941176472</c:v>
                </c:pt>
                <c:pt idx="8">
                  <c:v>0.68382352941176472</c:v>
                </c:pt>
                <c:pt idx="9">
                  <c:v>0.68382352941176472</c:v>
                </c:pt>
                <c:pt idx="10">
                  <c:v>0.68382352941176472</c:v>
                </c:pt>
                <c:pt idx="11">
                  <c:v>0.68382352941176472</c:v>
                </c:pt>
                <c:pt idx="12">
                  <c:v>0.68382352941176472</c:v>
                </c:pt>
                <c:pt idx="13">
                  <c:v>0.68382352941176472</c:v>
                </c:pt>
                <c:pt idx="14">
                  <c:v>0.68382352941176472</c:v>
                </c:pt>
                <c:pt idx="15">
                  <c:v>0.68382352941176472</c:v>
                </c:pt>
                <c:pt idx="16">
                  <c:v>0.68382352941176472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AE-4098-914A-6BA47394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'12'!$L$6:$L$22</c:f>
              <c:numCache>
                <c:formatCode>_(* #,##0_);_(* \(#,##0\);_(* "-"_);_(@_)</c:formatCode>
                <c:ptCount val="17"/>
                <c:pt idx="0">
                  <c:v>4713</c:v>
                </c:pt>
                <c:pt idx="1">
                  <c:v>18680</c:v>
                </c:pt>
                <c:pt idx="2">
                  <c:v>3104</c:v>
                </c:pt>
                <c:pt idx="3">
                  <c:v>1888</c:v>
                </c:pt>
                <c:pt idx="4">
                  <c:v>5522</c:v>
                </c:pt>
                <c:pt idx="5">
                  <c:v>5907</c:v>
                </c:pt>
                <c:pt idx="6">
                  <c:v>4434</c:v>
                </c:pt>
                <c:pt idx="7">
                  <c:v>11384</c:v>
                </c:pt>
                <c:pt idx="10">
                  <c:v>4776</c:v>
                </c:pt>
                <c:pt idx="11">
                  <c:v>20260</c:v>
                </c:pt>
                <c:pt idx="12">
                  <c:v>1584</c:v>
                </c:pt>
                <c:pt idx="13">
                  <c:v>2621</c:v>
                </c:pt>
                <c:pt idx="14">
                  <c:v>18048</c:v>
                </c:pt>
                <c:pt idx="15">
                  <c:v>5224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A0-42A6-89F5-754D1331F5AF}"/>
            </c:ext>
          </c:extLst>
        </c:ser>
        <c:ser>
          <c:idx val="1"/>
          <c:order val="1"/>
          <c:tx>
            <c:v>계획</c:v>
          </c:tx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'12'!$J$6:$J$22</c:f>
              <c:numCache>
                <c:formatCode>_(* #,##0_);_(* \(#,##0\);_(* "-"_);_(@_)</c:formatCode>
                <c:ptCount val="17"/>
                <c:pt idx="0">
                  <c:v>4713</c:v>
                </c:pt>
                <c:pt idx="1">
                  <c:v>18680</c:v>
                </c:pt>
                <c:pt idx="2">
                  <c:v>3104</c:v>
                </c:pt>
                <c:pt idx="3">
                  <c:v>1888</c:v>
                </c:pt>
                <c:pt idx="4">
                  <c:v>5522</c:v>
                </c:pt>
                <c:pt idx="5">
                  <c:v>5907</c:v>
                </c:pt>
                <c:pt idx="6">
                  <c:v>4434</c:v>
                </c:pt>
                <c:pt idx="7">
                  <c:v>11384</c:v>
                </c:pt>
                <c:pt idx="8">
                  <c:v>2984</c:v>
                </c:pt>
                <c:pt idx="9">
                  <c:v>1679</c:v>
                </c:pt>
                <c:pt idx="10">
                  <c:v>4776</c:v>
                </c:pt>
                <c:pt idx="11">
                  <c:v>20260</c:v>
                </c:pt>
                <c:pt idx="12">
                  <c:v>1584</c:v>
                </c:pt>
                <c:pt idx="13">
                  <c:v>2621</c:v>
                </c:pt>
                <c:pt idx="14">
                  <c:v>18048</c:v>
                </c:pt>
                <c:pt idx="15">
                  <c:v>5224</c:v>
                </c:pt>
                <c:pt idx="16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A0-42A6-89F5-754D1331F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'12'!$AD$6:$AD$22</c:f>
              <c:strCache>
                <c:ptCount val="17"/>
                <c:pt idx="0">
                  <c:v>83%</c:v>
                </c:pt>
                <c:pt idx="1">
                  <c:v>100%</c:v>
                </c:pt>
                <c:pt idx="2">
                  <c:v>75%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96%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33%</c:v>
                </c:pt>
                <c:pt idx="13">
                  <c:v>63%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1</c:v>
                </c:pt>
                <c:pt idx="2">
                  <c:v>0.75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0.95833333333333337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0.33333333333333331</c:v>
                </c:pt>
                <c:pt idx="13">
                  <c:v>0.625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8-4714-B290-2C360C9B78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18-4714-B290-2C360C9B78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'12'!$AE$6:$AE$22</c:f>
              <c:numCache>
                <c:formatCode>0%</c:formatCode>
                <c:ptCount val="17"/>
                <c:pt idx="0">
                  <c:v>0.68382352941176472</c:v>
                </c:pt>
                <c:pt idx="1">
                  <c:v>0.68382352941176472</c:v>
                </c:pt>
                <c:pt idx="2">
                  <c:v>0.68382352941176472</c:v>
                </c:pt>
                <c:pt idx="3">
                  <c:v>0.68382352941176472</c:v>
                </c:pt>
                <c:pt idx="4">
                  <c:v>0.68382352941176472</c:v>
                </c:pt>
                <c:pt idx="5">
                  <c:v>0.68382352941176472</c:v>
                </c:pt>
                <c:pt idx="6">
                  <c:v>0.68382352941176472</c:v>
                </c:pt>
                <c:pt idx="7">
                  <c:v>0.68382352941176472</c:v>
                </c:pt>
                <c:pt idx="8">
                  <c:v>0.68382352941176472</c:v>
                </c:pt>
                <c:pt idx="9">
                  <c:v>0.68382352941176472</c:v>
                </c:pt>
                <c:pt idx="10">
                  <c:v>0.68382352941176472</c:v>
                </c:pt>
                <c:pt idx="11">
                  <c:v>0.68382352941176472</c:v>
                </c:pt>
                <c:pt idx="12">
                  <c:v>0.68382352941176472</c:v>
                </c:pt>
                <c:pt idx="13">
                  <c:v>0.68382352941176472</c:v>
                </c:pt>
                <c:pt idx="14">
                  <c:v>0.68382352941176472</c:v>
                </c:pt>
                <c:pt idx="15">
                  <c:v>0.68382352941176472</c:v>
                </c:pt>
                <c:pt idx="16">
                  <c:v>0.68382352941176472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8-4714-B290-2C360C9B7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2BC-4D4D-A19F-406F4653FE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C-4D4D-A19F-406F4653F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BC-4D4D-A19F-406F4653FE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BC-4D4D-A19F-406F4653F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'13'!$L$6:$L$23</c:f>
              <c:numCache>
                <c:formatCode>_(* #,##0_);_(* \(#,##0\);_(* "-"_);_(@_)</c:formatCode>
                <c:ptCount val="18"/>
                <c:pt idx="0">
                  <c:v>6089</c:v>
                </c:pt>
                <c:pt idx="1">
                  <c:v>16392</c:v>
                </c:pt>
                <c:pt idx="2">
                  <c:v>4798</c:v>
                </c:pt>
                <c:pt idx="3">
                  <c:v>1451</c:v>
                </c:pt>
                <c:pt idx="4">
                  <c:v>3835</c:v>
                </c:pt>
                <c:pt idx="5">
                  <c:v>3309</c:v>
                </c:pt>
                <c:pt idx="6">
                  <c:v>2171</c:v>
                </c:pt>
                <c:pt idx="7">
                  <c:v>20364</c:v>
                </c:pt>
                <c:pt idx="8">
                  <c:v>350</c:v>
                </c:pt>
                <c:pt idx="9">
                  <c:v>5017</c:v>
                </c:pt>
                <c:pt idx="10">
                  <c:v>4500</c:v>
                </c:pt>
                <c:pt idx="11">
                  <c:v>22164</c:v>
                </c:pt>
                <c:pt idx="12">
                  <c:v>5355</c:v>
                </c:pt>
                <c:pt idx="13">
                  <c:v>450</c:v>
                </c:pt>
                <c:pt idx="14">
                  <c:v>72</c:v>
                </c:pt>
                <c:pt idx="15">
                  <c:v>3445</c:v>
                </c:pt>
                <c:pt idx="16">
                  <c:v>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0-4B16-87A4-5345E0E5116B}"/>
            </c:ext>
          </c:extLst>
        </c:ser>
        <c:ser>
          <c:idx val="1"/>
          <c:order val="1"/>
          <c:tx>
            <c:v>계획</c:v>
          </c:tx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'13'!$J$6:$J$23</c:f>
              <c:numCache>
                <c:formatCode>_(* #,##0_);_(* \(#,##0\);_(* "-"_);_(@_)</c:formatCode>
                <c:ptCount val="18"/>
                <c:pt idx="0">
                  <c:v>6089</c:v>
                </c:pt>
                <c:pt idx="1">
                  <c:v>16392</c:v>
                </c:pt>
                <c:pt idx="2">
                  <c:v>4798</c:v>
                </c:pt>
                <c:pt idx="3">
                  <c:v>1451</c:v>
                </c:pt>
                <c:pt idx="4">
                  <c:v>3835</c:v>
                </c:pt>
                <c:pt idx="5">
                  <c:v>3309</c:v>
                </c:pt>
                <c:pt idx="6">
                  <c:v>2171</c:v>
                </c:pt>
                <c:pt idx="7">
                  <c:v>20364</c:v>
                </c:pt>
                <c:pt idx="8">
                  <c:v>350</c:v>
                </c:pt>
                <c:pt idx="9">
                  <c:v>5017</c:v>
                </c:pt>
                <c:pt idx="10">
                  <c:v>4500</c:v>
                </c:pt>
                <c:pt idx="11">
                  <c:v>22164</c:v>
                </c:pt>
                <c:pt idx="12">
                  <c:v>5355</c:v>
                </c:pt>
                <c:pt idx="13">
                  <c:v>450</c:v>
                </c:pt>
                <c:pt idx="14">
                  <c:v>72</c:v>
                </c:pt>
                <c:pt idx="15">
                  <c:v>3445</c:v>
                </c:pt>
                <c:pt idx="16">
                  <c:v>5152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0-4B16-87A4-5345E0E51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'13'!$AD$6:$AD$23</c:f>
              <c:strCache>
                <c:ptCount val="18"/>
                <c:pt idx="0">
                  <c:v>100%</c:v>
                </c:pt>
                <c:pt idx="1">
                  <c:v>100%</c:v>
                </c:pt>
                <c:pt idx="2">
                  <c:v>92%</c:v>
                </c:pt>
                <c:pt idx="3">
                  <c:v>33%</c:v>
                </c:pt>
                <c:pt idx="4">
                  <c:v>83%</c:v>
                </c:pt>
                <c:pt idx="5">
                  <c:v>58%</c:v>
                </c:pt>
                <c:pt idx="6">
                  <c:v>54%</c:v>
                </c:pt>
                <c:pt idx="7">
                  <c:v>100%</c:v>
                </c:pt>
                <c:pt idx="8">
                  <c:v>25%</c:v>
                </c:pt>
                <c:pt idx="9">
                  <c:v>100%</c:v>
                </c:pt>
                <c:pt idx="10">
                  <c:v>96%</c:v>
                </c:pt>
                <c:pt idx="11">
                  <c:v>100%</c:v>
                </c:pt>
                <c:pt idx="12">
                  <c:v>100%</c:v>
                </c:pt>
                <c:pt idx="13">
                  <c:v>13%</c:v>
                </c:pt>
                <c:pt idx="14">
                  <c:v>8%</c:v>
                </c:pt>
                <c:pt idx="15">
                  <c:v>71%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'13'!$AD$6:$AD$23</c:f>
              <c:numCache>
                <c:formatCode>0%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0.91666666666666663</c:v>
                </c:pt>
                <c:pt idx="3">
                  <c:v>0.33333333333333331</c:v>
                </c:pt>
                <c:pt idx="4">
                  <c:v>0.83333333333333337</c:v>
                </c:pt>
                <c:pt idx="5">
                  <c:v>0.58333333333333337</c:v>
                </c:pt>
                <c:pt idx="6">
                  <c:v>0.54166666666666663</c:v>
                </c:pt>
                <c:pt idx="7">
                  <c:v>1</c:v>
                </c:pt>
                <c:pt idx="8">
                  <c:v>0.25</c:v>
                </c:pt>
                <c:pt idx="9">
                  <c:v>1</c:v>
                </c:pt>
                <c:pt idx="10">
                  <c:v>0.95833333333333337</c:v>
                </c:pt>
                <c:pt idx="11">
                  <c:v>1</c:v>
                </c:pt>
                <c:pt idx="12">
                  <c:v>1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0.70833333333333337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E-4BEC-8E17-9326024961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1E-4BEC-8E17-9326024961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'13'!$AE$6:$AE$23</c:f>
              <c:numCache>
                <c:formatCode>0%</c:formatCode>
                <c:ptCount val="18"/>
                <c:pt idx="0">
                  <c:v>0.68518518518518523</c:v>
                </c:pt>
                <c:pt idx="1">
                  <c:v>0.68518518518518523</c:v>
                </c:pt>
                <c:pt idx="2">
                  <c:v>0.68518518518518523</c:v>
                </c:pt>
                <c:pt idx="3">
                  <c:v>0.68518518518518523</c:v>
                </c:pt>
                <c:pt idx="4">
                  <c:v>0.68518518518518523</c:v>
                </c:pt>
                <c:pt idx="5">
                  <c:v>0.68518518518518523</c:v>
                </c:pt>
                <c:pt idx="6">
                  <c:v>0.68518518518518523</c:v>
                </c:pt>
                <c:pt idx="7">
                  <c:v>0.68518518518518523</c:v>
                </c:pt>
                <c:pt idx="8">
                  <c:v>0.68518518518518523</c:v>
                </c:pt>
                <c:pt idx="9">
                  <c:v>0.68518518518518523</c:v>
                </c:pt>
                <c:pt idx="10">
                  <c:v>0.68518518518518523</c:v>
                </c:pt>
                <c:pt idx="11">
                  <c:v>0.68518518518518523</c:v>
                </c:pt>
                <c:pt idx="12">
                  <c:v>0.68518518518518523</c:v>
                </c:pt>
                <c:pt idx="13">
                  <c:v>0.68518518518518523</c:v>
                </c:pt>
                <c:pt idx="14">
                  <c:v>0.68518518518518523</c:v>
                </c:pt>
                <c:pt idx="15">
                  <c:v>0.68518518518518523</c:v>
                </c:pt>
                <c:pt idx="16">
                  <c:v>0.68518518518518523</c:v>
                </c:pt>
                <c:pt idx="17">
                  <c:v>0.68518518518518523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1E-4BEC-8E17-932602496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'13'!$L$6:$L$23</c:f>
              <c:numCache>
                <c:formatCode>_(* #,##0_);_(* \(#,##0\);_(* "-"_);_(@_)</c:formatCode>
                <c:ptCount val="18"/>
                <c:pt idx="0">
                  <c:v>6089</c:v>
                </c:pt>
                <c:pt idx="1">
                  <c:v>16392</c:v>
                </c:pt>
                <c:pt idx="2">
                  <c:v>4798</c:v>
                </c:pt>
                <c:pt idx="3">
                  <c:v>1451</c:v>
                </c:pt>
                <c:pt idx="4">
                  <c:v>3835</c:v>
                </c:pt>
                <c:pt idx="5">
                  <c:v>3309</c:v>
                </c:pt>
                <c:pt idx="6">
                  <c:v>2171</c:v>
                </c:pt>
                <c:pt idx="7">
                  <c:v>20364</c:v>
                </c:pt>
                <c:pt idx="8">
                  <c:v>350</c:v>
                </c:pt>
                <c:pt idx="9">
                  <c:v>5017</c:v>
                </c:pt>
                <c:pt idx="10">
                  <c:v>4500</c:v>
                </c:pt>
                <c:pt idx="11">
                  <c:v>22164</c:v>
                </c:pt>
                <c:pt idx="12">
                  <c:v>5355</c:v>
                </c:pt>
                <c:pt idx="13">
                  <c:v>450</c:v>
                </c:pt>
                <c:pt idx="14">
                  <c:v>72</c:v>
                </c:pt>
                <c:pt idx="15">
                  <c:v>3445</c:v>
                </c:pt>
                <c:pt idx="16">
                  <c:v>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3-4EDB-A245-CD0A2D4C7417}"/>
            </c:ext>
          </c:extLst>
        </c:ser>
        <c:ser>
          <c:idx val="1"/>
          <c:order val="1"/>
          <c:tx>
            <c:v>계획</c:v>
          </c:tx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'13'!$J$6:$J$23</c:f>
              <c:numCache>
                <c:formatCode>_(* #,##0_);_(* \(#,##0\);_(* "-"_);_(@_)</c:formatCode>
                <c:ptCount val="18"/>
                <c:pt idx="0">
                  <c:v>6089</c:v>
                </c:pt>
                <c:pt idx="1">
                  <c:v>16392</c:v>
                </c:pt>
                <c:pt idx="2">
                  <c:v>4798</c:v>
                </c:pt>
                <c:pt idx="3">
                  <c:v>1451</c:v>
                </c:pt>
                <c:pt idx="4">
                  <c:v>3835</c:v>
                </c:pt>
                <c:pt idx="5">
                  <c:v>3309</c:v>
                </c:pt>
                <c:pt idx="6">
                  <c:v>2171</c:v>
                </c:pt>
                <c:pt idx="7">
                  <c:v>20364</c:v>
                </c:pt>
                <c:pt idx="8">
                  <c:v>350</c:v>
                </c:pt>
                <c:pt idx="9">
                  <c:v>5017</c:v>
                </c:pt>
                <c:pt idx="10">
                  <c:v>4500</c:v>
                </c:pt>
                <c:pt idx="11">
                  <c:v>22164</c:v>
                </c:pt>
                <c:pt idx="12">
                  <c:v>5355</c:v>
                </c:pt>
                <c:pt idx="13">
                  <c:v>450</c:v>
                </c:pt>
                <c:pt idx="14">
                  <c:v>72</c:v>
                </c:pt>
                <c:pt idx="15">
                  <c:v>3445</c:v>
                </c:pt>
                <c:pt idx="16">
                  <c:v>5152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3-4EDB-A245-CD0A2D4C7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'13'!$AD$6:$AD$23</c:f>
              <c:strCache>
                <c:ptCount val="18"/>
                <c:pt idx="0">
                  <c:v>100%</c:v>
                </c:pt>
                <c:pt idx="1">
                  <c:v>100%</c:v>
                </c:pt>
                <c:pt idx="2">
                  <c:v>92%</c:v>
                </c:pt>
                <c:pt idx="3">
                  <c:v>33%</c:v>
                </c:pt>
                <c:pt idx="4">
                  <c:v>83%</c:v>
                </c:pt>
                <c:pt idx="5">
                  <c:v>58%</c:v>
                </c:pt>
                <c:pt idx="6">
                  <c:v>54%</c:v>
                </c:pt>
                <c:pt idx="7">
                  <c:v>100%</c:v>
                </c:pt>
                <c:pt idx="8">
                  <c:v>25%</c:v>
                </c:pt>
                <c:pt idx="9">
                  <c:v>100%</c:v>
                </c:pt>
                <c:pt idx="10">
                  <c:v>96%</c:v>
                </c:pt>
                <c:pt idx="11">
                  <c:v>100%</c:v>
                </c:pt>
                <c:pt idx="12">
                  <c:v>100%</c:v>
                </c:pt>
                <c:pt idx="13">
                  <c:v>13%</c:v>
                </c:pt>
                <c:pt idx="14">
                  <c:v>8%</c:v>
                </c:pt>
                <c:pt idx="15">
                  <c:v>71%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'13'!$AD$6:$AD$23</c:f>
              <c:numCache>
                <c:formatCode>0%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0.91666666666666663</c:v>
                </c:pt>
                <c:pt idx="3">
                  <c:v>0.33333333333333331</c:v>
                </c:pt>
                <c:pt idx="4">
                  <c:v>0.83333333333333337</c:v>
                </c:pt>
                <c:pt idx="5">
                  <c:v>0.58333333333333337</c:v>
                </c:pt>
                <c:pt idx="6">
                  <c:v>0.54166666666666663</c:v>
                </c:pt>
                <c:pt idx="7">
                  <c:v>1</c:v>
                </c:pt>
                <c:pt idx="8">
                  <c:v>0.25</c:v>
                </c:pt>
                <c:pt idx="9">
                  <c:v>1</c:v>
                </c:pt>
                <c:pt idx="10">
                  <c:v>0.95833333333333337</c:v>
                </c:pt>
                <c:pt idx="11">
                  <c:v>1</c:v>
                </c:pt>
                <c:pt idx="12">
                  <c:v>1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0.70833333333333337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D-4103-A684-222C1585FB4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1D-4103-A684-222C1585FB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'13'!$AE$6:$AE$23</c:f>
              <c:numCache>
                <c:formatCode>0%</c:formatCode>
                <c:ptCount val="18"/>
                <c:pt idx="0">
                  <c:v>0.68518518518518523</c:v>
                </c:pt>
                <c:pt idx="1">
                  <c:v>0.68518518518518523</c:v>
                </c:pt>
                <c:pt idx="2">
                  <c:v>0.68518518518518523</c:v>
                </c:pt>
                <c:pt idx="3">
                  <c:v>0.68518518518518523</c:v>
                </c:pt>
                <c:pt idx="4">
                  <c:v>0.68518518518518523</c:v>
                </c:pt>
                <c:pt idx="5">
                  <c:v>0.68518518518518523</c:v>
                </c:pt>
                <c:pt idx="6">
                  <c:v>0.68518518518518523</c:v>
                </c:pt>
                <c:pt idx="7">
                  <c:v>0.68518518518518523</c:v>
                </c:pt>
                <c:pt idx="8">
                  <c:v>0.68518518518518523</c:v>
                </c:pt>
                <c:pt idx="9">
                  <c:v>0.68518518518518523</c:v>
                </c:pt>
                <c:pt idx="10">
                  <c:v>0.68518518518518523</c:v>
                </c:pt>
                <c:pt idx="11">
                  <c:v>0.68518518518518523</c:v>
                </c:pt>
                <c:pt idx="12">
                  <c:v>0.68518518518518523</c:v>
                </c:pt>
                <c:pt idx="13">
                  <c:v>0.68518518518518523</c:v>
                </c:pt>
                <c:pt idx="14">
                  <c:v>0.68518518518518523</c:v>
                </c:pt>
                <c:pt idx="15">
                  <c:v>0.68518518518518523</c:v>
                </c:pt>
                <c:pt idx="16">
                  <c:v>0.68518518518518523</c:v>
                </c:pt>
                <c:pt idx="17">
                  <c:v>0.68518518518518523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1D-4103-A684-222C1585F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4DD-4AD2-82DA-4B549EEF32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DD-4AD2-82DA-4B549EEF3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DD-4AD2-82DA-4B549EEF32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D-4AD2-82DA-4B549EEF3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'14'!$L$6:$L$23</c:f>
              <c:numCache>
                <c:formatCode>_(* #,##0_);_(* \(#,##0\);_(* "-"_);_(@_)</c:formatCode>
                <c:ptCount val="18"/>
                <c:pt idx="0">
                  <c:v>5522</c:v>
                </c:pt>
                <c:pt idx="1">
                  <c:v>16425</c:v>
                </c:pt>
                <c:pt idx="2">
                  <c:v>5662</c:v>
                </c:pt>
                <c:pt idx="3">
                  <c:v>2260</c:v>
                </c:pt>
                <c:pt idx="5">
                  <c:v>3086</c:v>
                </c:pt>
                <c:pt idx="6">
                  <c:v>2304</c:v>
                </c:pt>
                <c:pt idx="7">
                  <c:v>9004</c:v>
                </c:pt>
                <c:pt idx="8">
                  <c:v>11600</c:v>
                </c:pt>
                <c:pt idx="10">
                  <c:v>2603</c:v>
                </c:pt>
                <c:pt idx="11">
                  <c:v>4981</c:v>
                </c:pt>
                <c:pt idx="12">
                  <c:v>21932</c:v>
                </c:pt>
                <c:pt idx="13">
                  <c:v>699</c:v>
                </c:pt>
                <c:pt idx="14">
                  <c:v>3198</c:v>
                </c:pt>
                <c:pt idx="15">
                  <c:v>2641</c:v>
                </c:pt>
                <c:pt idx="16">
                  <c:v>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2-4661-A728-ADF6ADE29AE5}"/>
            </c:ext>
          </c:extLst>
        </c:ser>
        <c:ser>
          <c:idx val="1"/>
          <c:order val="1"/>
          <c:tx>
            <c:v>계획</c:v>
          </c:tx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'14'!$J$6:$J$23</c:f>
              <c:numCache>
                <c:formatCode>_(* #,##0_);_(* \(#,##0\);_(* "-"_);_(@_)</c:formatCode>
                <c:ptCount val="18"/>
                <c:pt idx="0">
                  <c:v>5522</c:v>
                </c:pt>
                <c:pt idx="1">
                  <c:v>16392</c:v>
                </c:pt>
                <c:pt idx="2">
                  <c:v>5662</c:v>
                </c:pt>
                <c:pt idx="3">
                  <c:v>2260</c:v>
                </c:pt>
                <c:pt idx="4">
                  <c:v>3835</c:v>
                </c:pt>
                <c:pt idx="5">
                  <c:v>3086</c:v>
                </c:pt>
                <c:pt idx="6">
                  <c:v>2304</c:v>
                </c:pt>
                <c:pt idx="7">
                  <c:v>9004</c:v>
                </c:pt>
                <c:pt idx="8">
                  <c:v>11600</c:v>
                </c:pt>
                <c:pt idx="9">
                  <c:v>350</c:v>
                </c:pt>
                <c:pt idx="10">
                  <c:v>2603</c:v>
                </c:pt>
                <c:pt idx="11">
                  <c:v>4981</c:v>
                </c:pt>
                <c:pt idx="12">
                  <c:v>21932</c:v>
                </c:pt>
                <c:pt idx="13">
                  <c:v>699</c:v>
                </c:pt>
                <c:pt idx="14">
                  <c:v>3198</c:v>
                </c:pt>
                <c:pt idx="15">
                  <c:v>2641</c:v>
                </c:pt>
                <c:pt idx="16">
                  <c:v>5164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2-4661-A728-ADF6ADE29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'14'!$AD$6:$AD$23</c:f>
              <c:strCache>
                <c:ptCount val="18"/>
                <c:pt idx="0">
                  <c:v>96%</c:v>
                </c:pt>
                <c:pt idx="1">
                  <c:v>100%</c:v>
                </c:pt>
                <c:pt idx="2">
                  <c:v>100%</c:v>
                </c:pt>
                <c:pt idx="3">
                  <c:v>46%</c:v>
                </c:pt>
                <c:pt idx="4">
                  <c:v>0%</c:v>
                </c:pt>
                <c:pt idx="5">
                  <c:v>54%</c:v>
                </c:pt>
                <c:pt idx="6">
                  <c:v>58%</c:v>
                </c:pt>
                <c:pt idx="7">
                  <c:v>42%</c:v>
                </c:pt>
                <c:pt idx="8">
                  <c:v>54%</c:v>
                </c:pt>
                <c:pt idx="9">
                  <c:v>0%</c:v>
                </c:pt>
                <c:pt idx="10">
                  <c:v>46%</c:v>
                </c:pt>
                <c:pt idx="11">
                  <c:v>100%</c:v>
                </c:pt>
                <c:pt idx="12">
                  <c:v>100%</c:v>
                </c:pt>
                <c:pt idx="13">
                  <c:v>17%</c:v>
                </c:pt>
                <c:pt idx="14">
                  <c:v>71%</c:v>
                </c:pt>
                <c:pt idx="15">
                  <c:v>71%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'14'!$AD$6:$AD$23</c:f>
              <c:numCache>
                <c:formatCode>0%</c:formatCode>
                <c:ptCount val="18"/>
                <c:pt idx="0">
                  <c:v>0.95833333333333337</c:v>
                </c:pt>
                <c:pt idx="1">
                  <c:v>1.0020131771595902</c:v>
                </c:pt>
                <c:pt idx="2">
                  <c:v>1</c:v>
                </c:pt>
                <c:pt idx="3">
                  <c:v>0.45833333333333331</c:v>
                </c:pt>
                <c:pt idx="4">
                  <c:v>0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0.41666666666666669</c:v>
                </c:pt>
                <c:pt idx="8">
                  <c:v>0.54166666666666663</c:v>
                </c:pt>
                <c:pt idx="9">
                  <c:v>0</c:v>
                </c:pt>
                <c:pt idx="10">
                  <c:v>0.45833333333333331</c:v>
                </c:pt>
                <c:pt idx="11">
                  <c:v>1</c:v>
                </c:pt>
                <c:pt idx="12">
                  <c:v>1</c:v>
                </c:pt>
                <c:pt idx="13">
                  <c:v>0.16666666666666666</c:v>
                </c:pt>
                <c:pt idx="14">
                  <c:v>0.70833333333333337</c:v>
                </c:pt>
                <c:pt idx="15">
                  <c:v>0.70833333333333337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E-4A63-8EE0-F4BE860854E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0E-4A63-8EE0-F4BE860854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'14'!$AE$6:$AE$23</c:f>
              <c:numCache>
                <c:formatCode>0%</c:formatCode>
                <c:ptCount val="18"/>
                <c:pt idx="0">
                  <c:v>0.58575999132368095</c:v>
                </c:pt>
                <c:pt idx="1">
                  <c:v>0.58575999132368095</c:v>
                </c:pt>
                <c:pt idx="2">
                  <c:v>0.58575999132368095</c:v>
                </c:pt>
                <c:pt idx="3">
                  <c:v>0.58575999132368095</c:v>
                </c:pt>
                <c:pt idx="4">
                  <c:v>0.58575999132368095</c:v>
                </c:pt>
                <c:pt idx="5">
                  <c:v>0.58575999132368095</c:v>
                </c:pt>
                <c:pt idx="6">
                  <c:v>0.58575999132368095</c:v>
                </c:pt>
                <c:pt idx="7">
                  <c:v>0.58575999132368095</c:v>
                </c:pt>
                <c:pt idx="8">
                  <c:v>0.58575999132368095</c:v>
                </c:pt>
                <c:pt idx="9">
                  <c:v>0.58575999132368095</c:v>
                </c:pt>
                <c:pt idx="10">
                  <c:v>0.58575999132368095</c:v>
                </c:pt>
                <c:pt idx="11">
                  <c:v>0.58575999132368095</c:v>
                </c:pt>
                <c:pt idx="12">
                  <c:v>0.58575999132368095</c:v>
                </c:pt>
                <c:pt idx="13">
                  <c:v>0.58575999132368095</c:v>
                </c:pt>
                <c:pt idx="14">
                  <c:v>0.70833333333333337</c:v>
                </c:pt>
                <c:pt idx="15">
                  <c:v>0.58575999132368095</c:v>
                </c:pt>
                <c:pt idx="16">
                  <c:v>0.58575999132368095</c:v>
                </c:pt>
                <c:pt idx="17">
                  <c:v>0.58575999132368095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E-4A63-8EE0-F4BE8608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'14'!$L$6:$L$23</c:f>
              <c:numCache>
                <c:formatCode>_(* #,##0_);_(* \(#,##0\);_(* "-"_);_(@_)</c:formatCode>
                <c:ptCount val="18"/>
                <c:pt idx="0">
                  <c:v>5522</c:v>
                </c:pt>
                <c:pt idx="1">
                  <c:v>16425</c:v>
                </c:pt>
                <c:pt idx="2">
                  <c:v>5662</c:v>
                </c:pt>
                <c:pt idx="3">
                  <c:v>2260</c:v>
                </c:pt>
                <c:pt idx="5">
                  <c:v>3086</c:v>
                </c:pt>
                <c:pt idx="6">
                  <c:v>2304</c:v>
                </c:pt>
                <c:pt idx="7">
                  <c:v>9004</c:v>
                </c:pt>
                <c:pt idx="8">
                  <c:v>11600</c:v>
                </c:pt>
                <c:pt idx="10">
                  <c:v>2603</c:v>
                </c:pt>
                <c:pt idx="11">
                  <c:v>4981</c:v>
                </c:pt>
                <c:pt idx="12">
                  <c:v>21932</c:v>
                </c:pt>
                <c:pt idx="13">
                  <c:v>699</c:v>
                </c:pt>
                <c:pt idx="14">
                  <c:v>3198</c:v>
                </c:pt>
                <c:pt idx="15">
                  <c:v>2641</c:v>
                </c:pt>
                <c:pt idx="16">
                  <c:v>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6-45B5-B227-C97C897A3E94}"/>
            </c:ext>
          </c:extLst>
        </c:ser>
        <c:ser>
          <c:idx val="1"/>
          <c:order val="1"/>
          <c:tx>
            <c:v>계획</c:v>
          </c:tx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'14'!$J$6:$J$23</c:f>
              <c:numCache>
                <c:formatCode>_(* #,##0_);_(* \(#,##0\);_(* "-"_);_(@_)</c:formatCode>
                <c:ptCount val="18"/>
                <c:pt idx="0">
                  <c:v>5522</c:v>
                </c:pt>
                <c:pt idx="1">
                  <c:v>16392</c:v>
                </c:pt>
                <c:pt idx="2">
                  <c:v>5662</c:v>
                </c:pt>
                <c:pt idx="3">
                  <c:v>2260</c:v>
                </c:pt>
                <c:pt idx="4">
                  <c:v>3835</c:v>
                </c:pt>
                <c:pt idx="5">
                  <c:v>3086</c:v>
                </c:pt>
                <c:pt idx="6">
                  <c:v>2304</c:v>
                </c:pt>
                <c:pt idx="7">
                  <c:v>9004</c:v>
                </c:pt>
                <c:pt idx="8">
                  <c:v>11600</c:v>
                </c:pt>
                <c:pt idx="9">
                  <c:v>350</c:v>
                </c:pt>
                <c:pt idx="10">
                  <c:v>2603</c:v>
                </c:pt>
                <c:pt idx="11">
                  <c:v>4981</c:v>
                </c:pt>
                <c:pt idx="12">
                  <c:v>21932</c:v>
                </c:pt>
                <c:pt idx="13">
                  <c:v>699</c:v>
                </c:pt>
                <c:pt idx="14">
                  <c:v>3198</c:v>
                </c:pt>
                <c:pt idx="15">
                  <c:v>2641</c:v>
                </c:pt>
                <c:pt idx="16">
                  <c:v>5164</c:v>
                </c:pt>
                <c:pt idx="17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86-45B5-B227-C97C897A3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'14'!$AD$6:$AD$23</c:f>
              <c:strCache>
                <c:ptCount val="18"/>
                <c:pt idx="0">
                  <c:v>96%</c:v>
                </c:pt>
                <c:pt idx="1">
                  <c:v>100%</c:v>
                </c:pt>
                <c:pt idx="2">
                  <c:v>100%</c:v>
                </c:pt>
                <c:pt idx="3">
                  <c:v>46%</c:v>
                </c:pt>
                <c:pt idx="4">
                  <c:v>0%</c:v>
                </c:pt>
                <c:pt idx="5">
                  <c:v>54%</c:v>
                </c:pt>
                <c:pt idx="6">
                  <c:v>58%</c:v>
                </c:pt>
                <c:pt idx="7">
                  <c:v>42%</c:v>
                </c:pt>
                <c:pt idx="8">
                  <c:v>54%</c:v>
                </c:pt>
                <c:pt idx="9">
                  <c:v>0%</c:v>
                </c:pt>
                <c:pt idx="10">
                  <c:v>46%</c:v>
                </c:pt>
                <c:pt idx="11">
                  <c:v>100%</c:v>
                </c:pt>
                <c:pt idx="12">
                  <c:v>100%</c:v>
                </c:pt>
                <c:pt idx="13">
                  <c:v>17%</c:v>
                </c:pt>
                <c:pt idx="14">
                  <c:v>71%</c:v>
                </c:pt>
                <c:pt idx="15">
                  <c:v>71%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'14'!$AD$6:$AD$23</c:f>
              <c:numCache>
                <c:formatCode>0%</c:formatCode>
                <c:ptCount val="18"/>
                <c:pt idx="0">
                  <c:v>0.95833333333333337</c:v>
                </c:pt>
                <c:pt idx="1">
                  <c:v>1.0020131771595902</c:v>
                </c:pt>
                <c:pt idx="2">
                  <c:v>1</c:v>
                </c:pt>
                <c:pt idx="3">
                  <c:v>0.45833333333333331</c:v>
                </c:pt>
                <c:pt idx="4">
                  <c:v>0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0.41666666666666669</c:v>
                </c:pt>
                <c:pt idx="8">
                  <c:v>0.54166666666666663</c:v>
                </c:pt>
                <c:pt idx="9">
                  <c:v>0</c:v>
                </c:pt>
                <c:pt idx="10">
                  <c:v>0.45833333333333331</c:v>
                </c:pt>
                <c:pt idx="11">
                  <c:v>1</c:v>
                </c:pt>
                <c:pt idx="12">
                  <c:v>1</c:v>
                </c:pt>
                <c:pt idx="13">
                  <c:v>0.16666666666666666</c:v>
                </c:pt>
                <c:pt idx="14">
                  <c:v>0.70833333333333337</c:v>
                </c:pt>
                <c:pt idx="15">
                  <c:v>0.70833333333333337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9-4DA7-9018-B9CB256507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B9-4DA7-9018-B9CB256507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BASE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BODY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'14'!$AE$6:$AE$23</c:f>
              <c:numCache>
                <c:formatCode>0%</c:formatCode>
                <c:ptCount val="18"/>
                <c:pt idx="0">
                  <c:v>0.58575999132368095</c:v>
                </c:pt>
                <c:pt idx="1">
                  <c:v>0.58575999132368095</c:v>
                </c:pt>
                <c:pt idx="2">
                  <c:v>0.58575999132368095</c:v>
                </c:pt>
                <c:pt idx="3">
                  <c:v>0.58575999132368095</c:v>
                </c:pt>
                <c:pt idx="4">
                  <c:v>0.58575999132368095</c:v>
                </c:pt>
                <c:pt idx="5">
                  <c:v>0.58575999132368095</c:v>
                </c:pt>
                <c:pt idx="6">
                  <c:v>0.58575999132368095</c:v>
                </c:pt>
                <c:pt idx="7">
                  <c:v>0.58575999132368095</c:v>
                </c:pt>
                <c:pt idx="8">
                  <c:v>0.58575999132368095</c:v>
                </c:pt>
                <c:pt idx="9">
                  <c:v>0.58575999132368095</c:v>
                </c:pt>
                <c:pt idx="10">
                  <c:v>0.58575999132368095</c:v>
                </c:pt>
                <c:pt idx="11">
                  <c:v>0.58575999132368095</c:v>
                </c:pt>
                <c:pt idx="12">
                  <c:v>0.58575999132368095</c:v>
                </c:pt>
                <c:pt idx="13">
                  <c:v>0.58575999132368095</c:v>
                </c:pt>
                <c:pt idx="14">
                  <c:v>0.70833333333333337</c:v>
                </c:pt>
                <c:pt idx="15">
                  <c:v>0.58575999132368095</c:v>
                </c:pt>
                <c:pt idx="16">
                  <c:v>0.58575999132368095</c:v>
                </c:pt>
                <c:pt idx="17">
                  <c:v>0.58575999132368095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B9-4DA7-9018-B9CB25650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83F-4920-97D4-D5D9ED89E2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F-4920-97D4-D5D9ED89E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3F-4920-97D4-D5D9ED89E2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3F-4920-97D4-D5D9ED89E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2602</c:v>
                </c:pt>
                <c:pt idx="1">
                  <c:v>6954</c:v>
                </c:pt>
                <c:pt idx="2">
                  <c:v>2420</c:v>
                </c:pt>
                <c:pt idx="3">
                  <c:v>4608</c:v>
                </c:pt>
                <c:pt idx="5">
                  <c:v>364</c:v>
                </c:pt>
                <c:pt idx="7">
                  <c:v>9308</c:v>
                </c:pt>
                <c:pt idx="10">
                  <c:v>1983</c:v>
                </c:pt>
                <c:pt idx="11">
                  <c:v>9424</c:v>
                </c:pt>
                <c:pt idx="12">
                  <c:v>339</c:v>
                </c:pt>
                <c:pt idx="14">
                  <c:v>2208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7-4312-8979-910999A5C834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2602</c:v>
                </c:pt>
                <c:pt idx="1">
                  <c:v>6954</c:v>
                </c:pt>
                <c:pt idx="2">
                  <c:v>2420</c:v>
                </c:pt>
                <c:pt idx="3">
                  <c:v>4608</c:v>
                </c:pt>
                <c:pt idx="4">
                  <c:v>3835</c:v>
                </c:pt>
                <c:pt idx="5">
                  <c:v>364</c:v>
                </c:pt>
                <c:pt idx="6">
                  <c:v>2304</c:v>
                </c:pt>
                <c:pt idx="7">
                  <c:v>9308</c:v>
                </c:pt>
                <c:pt idx="8">
                  <c:v>350</c:v>
                </c:pt>
                <c:pt idx="9">
                  <c:v>2603</c:v>
                </c:pt>
                <c:pt idx="10">
                  <c:v>1983</c:v>
                </c:pt>
                <c:pt idx="11">
                  <c:v>9424</c:v>
                </c:pt>
                <c:pt idx="12">
                  <c:v>339</c:v>
                </c:pt>
                <c:pt idx="13">
                  <c:v>18048</c:v>
                </c:pt>
                <c:pt idx="14">
                  <c:v>2208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7-4312-8979-910999A5C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42%</c:v>
                </c:pt>
                <c:pt idx="1">
                  <c:v>42%</c:v>
                </c:pt>
                <c:pt idx="2">
                  <c:v>42%</c:v>
                </c:pt>
                <c:pt idx="3">
                  <c:v>25%</c:v>
                </c:pt>
                <c:pt idx="4">
                  <c:v>0%</c:v>
                </c:pt>
                <c:pt idx="5">
                  <c:v>8%</c:v>
                </c:pt>
                <c:pt idx="6">
                  <c:v>0%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42%</c:v>
                </c:pt>
                <c:pt idx="12">
                  <c:v>13%</c:v>
                </c:pt>
                <c:pt idx="13">
                  <c:v>0%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0.25</c:v>
                </c:pt>
                <c:pt idx="4">
                  <c:v>0</c:v>
                </c:pt>
                <c:pt idx="5">
                  <c:v>8.3333333333333329E-2</c:v>
                </c:pt>
                <c:pt idx="6">
                  <c:v>0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0.41666666666666669</c:v>
                </c:pt>
                <c:pt idx="12">
                  <c:v>0.125</c:v>
                </c:pt>
                <c:pt idx="13">
                  <c:v>0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B-4700-910F-C278DDCACC1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0B-4700-910F-C278DDCACC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0.21093749999999997</c:v>
                </c:pt>
                <c:pt idx="1">
                  <c:v>0.21093749999999997</c:v>
                </c:pt>
                <c:pt idx="2">
                  <c:v>0.21093749999999997</c:v>
                </c:pt>
                <c:pt idx="3">
                  <c:v>0.21093749999999997</c:v>
                </c:pt>
                <c:pt idx="4">
                  <c:v>0.21093749999999997</c:v>
                </c:pt>
                <c:pt idx="5">
                  <c:v>0.21093749999999997</c:v>
                </c:pt>
                <c:pt idx="6">
                  <c:v>0.21093749999999997</c:v>
                </c:pt>
                <c:pt idx="7">
                  <c:v>0.21093749999999997</c:v>
                </c:pt>
                <c:pt idx="8">
                  <c:v>0.21093749999999997</c:v>
                </c:pt>
                <c:pt idx="9">
                  <c:v>0.21093749999999997</c:v>
                </c:pt>
                <c:pt idx="10">
                  <c:v>0.21093749999999997</c:v>
                </c:pt>
                <c:pt idx="11">
                  <c:v>0.21093749999999997</c:v>
                </c:pt>
                <c:pt idx="12">
                  <c:v>0.21093749999999997</c:v>
                </c:pt>
                <c:pt idx="13">
                  <c:v>0.21093749999999997</c:v>
                </c:pt>
                <c:pt idx="14">
                  <c:v>0.21093749999999997</c:v>
                </c:pt>
                <c:pt idx="15">
                  <c:v>0.21093749999999997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0B-4700-910F-C278DDCAC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2602</c:v>
                </c:pt>
                <c:pt idx="1">
                  <c:v>6954</c:v>
                </c:pt>
                <c:pt idx="2">
                  <c:v>2420</c:v>
                </c:pt>
                <c:pt idx="3">
                  <c:v>4608</c:v>
                </c:pt>
                <c:pt idx="5">
                  <c:v>364</c:v>
                </c:pt>
                <c:pt idx="7">
                  <c:v>9308</c:v>
                </c:pt>
                <c:pt idx="10">
                  <c:v>1983</c:v>
                </c:pt>
                <c:pt idx="11">
                  <c:v>9424</c:v>
                </c:pt>
                <c:pt idx="12">
                  <c:v>339</c:v>
                </c:pt>
                <c:pt idx="14">
                  <c:v>2208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B-42F2-AE25-2F73A35AFA02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2602</c:v>
                </c:pt>
                <c:pt idx="1">
                  <c:v>6954</c:v>
                </c:pt>
                <c:pt idx="2">
                  <c:v>2420</c:v>
                </c:pt>
                <c:pt idx="3">
                  <c:v>4608</c:v>
                </c:pt>
                <c:pt idx="4">
                  <c:v>3835</c:v>
                </c:pt>
                <c:pt idx="5">
                  <c:v>364</c:v>
                </c:pt>
                <c:pt idx="6">
                  <c:v>2304</c:v>
                </c:pt>
                <c:pt idx="7">
                  <c:v>9308</c:v>
                </c:pt>
                <c:pt idx="8">
                  <c:v>350</c:v>
                </c:pt>
                <c:pt idx="9">
                  <c:v>2603</c:v>
                </c:pt>
                <c:pt idx="10">
                  <c:v>1983</c:v>
                </c:pt>
                <c:pt idx="11">
                  <c:v>9424</c:v>
                </c:pt>
                <c:pt idx="12">
                  <c:v>339</c:v>
                </c:pt>
                <c:pt idx="13">
                  <c:v>18048</c:v>
                </c:pt>
                <c:pt idx="14">
                  <c:v>2208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CB-42F2-AE25-2F73A35AF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42%</c:v>
                </c:pt>
                <c:pt idx="1">
                  <c:v>42%</c:v>
                </c:pt>
                <c:pt idx="2">
                  <c:v>42%</c:v>
                </c:pt>
                <c:pt idx="3">
                  <c:v>25%</c:v>
                </c:pt>
                <c:pt idx="4">
                  <c:v>0%</c:v>
                </c:pt>
                <c:pt idx="5">
                  <c:v>8%</c:v>
                </c:pt>
                <c:pt idx="6">
                  <c:v>0%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42%</c:v>
                </c:pt>
                <c:pt idx="12">
                  <c:v>13%</c:v>
                </c:pt>
                <c:pt idx="13">
                  <c:v>0%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0.25</c:v>
                </c:pt>
                <c:pt idx="4">
                  <c:v>0</c:v>
                </c:pt>
                <c:pt idx="5">
                  <c:v>8.3333333333333329E-2</c:v>
                </c:pt>
                <c:pt idx="6">
                  <c:v>0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0.41666666666666669</c:v>
                </c:pt>
                <c:pt idx="12">
                  <c:v>0.125</c:v>
                </c:pt>
                <c:pt idx="13">
                  <c:v>0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2-44F6-9AD9-2C2317D0BA7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A2-44F6-9AD9-2C2317D0BA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0.21093749999999997</c:v>
                </c:pt>
                <c:pt idx="1">
                  <c:v>0.21093749999999997</c:v>
                </c:pt>
                <c:pt idx="2">
                  <c:v>0.21093749999999997</c:v>
                </c:pt>
                <c:pt idx="3">
                  <c:v>0.21093749999999997</c:v>
                </c:pt>
                <c:pt idx="4">
                  <c:v>0.21093749999999997</c:v>
                </c:pt>
                <c:pt idx="5">
                  <c:v>0.21093749999999997</c:v>
                </c:pt>
                <c:pt idx="6">
                  <c:v>0.21093749999999997</c:v>
                </c:pt>
                <c:pt idx="7">
                  <c:v>0.21093749999999997</c:v>
                </c:pt>
                <c:pt idx="8">
                  <c:v>0.21093749999999997</c:v>
                </c:pt>
                <c:pt idx="9">
                  <c:v>0.21093749999999997</c:v>
                </c:pt>
                <c:pt idx="10">
                  <c:v>0.21093749999999997</c:v>
                </c:pt>
                <c:pt idx="11">
                  <c:v>0.21093749999999997</c:v>
                </c:pt>
                <c:pt idx="12">
                  <c:v>0.21093749999999997</c:v>
                </c:pt>
                <c:pt idx="13">
                  <c:v>0.21093749999999997</c:v>
                </c:pt>
                <c:pt idx="14">
                  <c:v>0.21093749999999997</c:v>
                </c:pt>
                <c:pt idx="15">
                  <c:v>0.21093749999999997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2-44F6-9AD9-2C2317D0B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DA9-4E99-8F9F-9DE86EEB28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9-4E99-8F9F-9DE86EEB2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A9-4E99-8F9F-9DE86EEB28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A9-4E99-8F9F-9DE86EEB2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5766</c:v>
                </c:pt>
                <c:pt idx="1">
                  <c:v>15807</c:v>
                </c:pt>
                <c:pt idx="2">
                  <c:v>5454</c:v>
                </c:pt>
                <c:pt idx="3">
                  <c:v>18492</c:v>
                </c:pt>
                <c:pt idx="4">
                  <c:v>5309</c:v>
                </c:pt>
                <c:pt idx="5">
                  <c:v>5637</c:v>
                </c:pt>
                <c:pt idx="6">
                  <c:v>3767</c:v>
                </c:pt>
                <c:pt idx="7">
                  <c:v>18652</c:v>
                </c:pt>
                <c:pt idx="10">
                  <c:v>2925</c:v>
                </c:pt>
                <c:pt idx="11">
                  <c:v>21016</c:v>
                </c:pt>
                <c:pt idx="12">
                  <c:v>2545</c:v>
                </c:pt>
                <c:pt idx="13">
                  <c:v>3126</c:v>
                </c:pt>
                <c:pt idx="14">
                  <c:v>4924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4BB1-85F6-BFE555647D18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5766</c:v>
                </c:pt>
                <c:pt idx="1">
                  <c:v>15807</c:v>
                </c:pt>
                <c:pt idx="2">
                  <c:v>5454</c:v>
                </c:pt>
                <c:pt idx="3">
                  <c:v>18492</c:v>
                </c:pt>
                <c:pt idx="4">
                  <c:v>5309</c:v>
                </c:pt>
                <c:pt idx="5">
                  <c:v>5637</c:v>
                </c:pt>
                <c:pt idx="6">
                  <c:v>3767</c:v>
                </c:pt>
                <c:pt idx="7">
                  <c:v>18652</c:v>
                </c:pt>
                <c:pt idx="8">
                  <c:v>350</c:v>
                </c:pt>
                <c:pt idx="9">
                  <c:v>2603</c:v>
                </c:pt>
                <c:pt idx="10">
                  <c:v>2925</c:v>
                </c:pt>
                <c:pt idx="11">
                  <c:v>21016</c:v>
                </c:pt>
                <c:pt idx="12">
                  <c:v>2545</c:v>
                </c:pt>
                <c:pt idx="13">
                  <c:v>3126</c:v>
                </c:pt>
                <c:pt idx="14">
                  <c:v>4924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4BB1-85F6-BFE555647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79%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46%</c:v>
                </c:pt>
                <c:pt idx="13">
                  <c:v>67%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0.79166666666666663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0.45833333333333331</c:v>
                </c:pt>
                <c:pt idx="13">
                  <c:v>0.66666666666666663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E-4EA0-8E4A-9C527FBE19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4E-4EA0-8E4A-9C527FBE19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0.72135416666666674</c:v>
                </c:pt>
                <c:pt idx="1">
                  <c:v>0.72135416666666674</c:v>
                </c:pt>
                <c:pt idx="2">
                  <c:v>0.72135416666666674</c:v>
                </c:pt>
                <c:pt idx="3">
                  <c:v>0.72135416666666674</c:v>
                </c:pt>
                <c:pt idx="4">
                  <c:v>0.72135416666666674</c:v>
                </c:pt>
                <c:pt idx="5">
                  <c:v>0.72135416666666674</c:v>
                </c:pt>
                <c:pt idx="6">
                  <c:v>0.72135416666666674</c:v>
                </c:pt>
                <c:pt idx="7">
                  <c:v>0.72135416666666674</c:v>
                </c:pt>
                <c:pt idx="8">
                  <c:v>0.72135416666666674</c:v>
                </c:pt>
                <c:pt idx="9">
                  <c:v>0.72135416666666674</c:v>
                </c:pt>
                <c:pt idx="10">
                  <c:v>0.72135416666666674</c:v>
                </c:pt>
                <c:pt idx="11">
                  <c:v>0.72135416666666674</c:v>
                </c:pt>
                <c:pt idx="12">
                  <c:v>0.72135416666666674</c:v>
                </c:pt>
                <c:pt idx="13">
                  <c:v>0.72135416666666674</c:v>
                </c:pt>
                <c:pt idx="14">
                  <c:v>0.72135416666666674</c:v>
                </c:pt>
                <c:pt idx="15">
                  <c:v>0.72135416666666674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E-4EA0-8E4A-9C527FBE1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5766</c:v>
                </c:pt>
                <c:pt idx="1">
                  <c:v>15807</c:v>
                </c:pt>
                <c:pt idx="2">
                  <c:v>5454</c:v>
                </c:pt>
                <c:pt idx="3">
                  <c:v>18492</c:v>
                </c:pt>
                <c:pt idx="4">
                  <c:v>5309</c:v>
                </c:pt>
                <c:pt idx="5">
                  <c:v>5637</c:v>
                </c:pt>
                <c:pt idx="6">
                  <c:v>3767</c:v>
                </c:pt>
                <c:pt idx="7">
                  <c:v>18652</c:v>
                </c:pt>
                <c:pt idx="10">
                  <c:v>2925</c:v>
                </c:pt>
                <c:pt idx="11">
                  <c:v>21016</c:v>
                </c:pt>
                <c:pt idx="12">
                  <c:v>2545</c:v>
                </c:pt>
                <c:pt idx="13">
                  <c:v>3126</c:v>
                </c:pt>
                <c:pt idx="14">
                  <c:v>4924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3-4A25-929E-0A6872BE2F56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5766</c:v>
                </c:pt>
                <c:pt idx="1">
                  <c:v>15807</c:v>
                </c:pt>
                <c:pt idx="2">
                  <c:v>5454</c:v>
                </c:pt>
                <c:pt idx="3">
                  <c:v>18492</c:v>
                </c:pt>
                <c:pt idx="4">
                  <c:v>5309</c:v>
                </c:pt>
                <c:pt idx="5">
                  <c:v>5637</c:v>
                </c:pt>
                <c:pt idx="6">
                  <c:v>3767</c:v>
                </c:pt>
                <c:pt idx="7">
                  <c:v>18652</c:v>
                </c:pt>
                <c:pt idx="8">
                  <c:v>350</c:v>
                </c:pt>
                <c:pt idx="9">
                  <c:v>2603</c:v>
                </c:pt>
                <c:pt idx="10">
                  <c:v>2925</c:v>
                </c:pt>
                <c:pt idx="11">
                  <c:v>21016</c:v>
                </c:pt>
                <c:pt idx="12">
                  <c:v>2545</c:v>
                </c:pt>
                <c:pt idx="13">
                  <c:v>3126</c:v>
                </c:pt>
                <c:pt idx="14">
                  <c:v>4924</c:v>
                </c:pt>
                <c:pt idx="15">
                  <c:v>30748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3-4A25-929E-0A6872BE2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79%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46%</c:v>
                </c:pt>
                <c:pt idx="13">
                  <c:v>67%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0.79166666666666663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0.45833333333333331</c:v>
                </c:pt>
                <c:pt idx="13">
                  <c:v>0.66666666666666663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A-4FDB-B4AC-5E98B5E002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BA-4FDB-B4AC-5E98B5E002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0.72135416666666674</c:v>
                </c:pt>
                <c:pt idx="1">
                  <c:v>0.72135416666666674</c:v>
                </c:pt>
                <c:pt idx="2">
                  <c:v>0.72135416666666674</c:v>
                </c:pt>
                <c:pt idx="3">
                  <c:v>0.72135416666666674</c:v>
                </c:pt>
                <c:pt idx="4">
                  <c:v>0.72135416666666674</c:v>
                </c:pt>
                <c:pt idx="5">
                  <c:v>0.72135416666666674</c:v>
                </c:pt>
                <c:pt idx="6">
                  <c:v>0.72135416666666674</c:v>
                </c:pt>
                <c:pt idx="7">
                  <c:v>0.72135416666666674</c:v>
                </c:pt>
                <c:pt idx="8">
                  <c:v>0.72135416666666674</c:v>
                </c:pt>
                <c:pt idx="9">
                  <c:v>0.72135416666666674</c:v>
                </c:pt>
                <c:pt idx="10">
                  <c:v>0.72135416666666674</c:v>
                </c:pt>
                <c:pt idx="11">
                  <c:v>0.72135416666666674</c:v>
                </c:pt>
                <c:pt idx="12">
                  <c:v>0.72135416666666674</c:v>
                </c:pt>
                <c:pt idx="13">
                  <c:v>0.72135416666666674</c:v>
                </c:pt>
                <c:pt idx="14">
                  <c:v>0.72135416666666674</c:v>
                </c:pt>
                <c:pt idx="15">
                  <c:v>0.72135416666666674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A-4FDB-B4AC-5E98B5E00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86E-481F-9CD9-355E00FFD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E-481F-9CD9-355E00FFD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6E-481F-9CD9-355E00FFDD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6E-481F-9CD9-355E00FFD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6012</c:v>
                </c:pt>
                <c:pt idx="1">
                  <c:v>16374</c:v>
                </c:pt>
                <c:pt idx="2">
                  <c:v>5616</c:v>
                </c:pt>
                <c:pt idx="3">
                  <c:v>19820</c:v>
                </c:pt>
                <c:pt idx="4">
                  <c:v>6175</c:v>
                </c:pt>
                <c:pt idx="5">
                  <c:v>5791</c:v>
                </c:pt>
                <c:pt idx="6">
                  <c:v>4568</c:v>
                </c:pt>
                <c:pt idx="7">
                  <c:v>20744</c:v>
                </c:pt>
                <c:pt idx="9">
                  <c:v>2013</c:v>
                </c:pt>
                <c:pt idx="10">
                  <c:v>13804</c:v>
                </c:pt>
                <c:pt idx="11">
                  <c:v>21776</c:v>
                </c:pt>
                <c:pt idx="12">
                  <c:v>10504</c:v>
                </c:pt>
                <c:pt idx="13">
                  <c:v>4897</c:v>
                </c:pt>
                <c:pt idx="14">
                  <c:v>654</c:v>
                </c:pt>
                <c:pt idx="15">
                  <c:v>16808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A-42C9-99B7-8B90FC283D40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6012</c:v>
                </c:pt>
                <c:pt idx="1">
                  <c:v>16374</c:v>
                </c:pt>
                <c:pt idx="2">
                  <c:v>5616</c:v>
                </c:pt>
                <c:pt idx="3">
                  <c:v>19820</c:v>
                </c:pt>
                <c:pt idx="4">
                  <c:v>6175</c:v>
                </c:pt>
                <c:pt idx="5">
                  <c:v>5791</c:v>
                </c:pt>
                <c:pt idx="6">
                  <c:v>4568</c:v>
                </c:pt>
                <c:pt idx="7">
                  <c:v>20744</c:v>
                </c:pt>
                <c:pt idx="8">
                  <c:v>350</c:v>
                </c:pt>
                <c:pt idx="9">
                  <c:v>2013</c:v>
                </c:pt>
                <c:pt idx="10">
                  <c:v>13804</c:v>
                </c:pt>
                <c:pt idx="11">
                  <c:v>21776</c:v>
                </c:pt>
                <c:pt idx="12">
                  <c:v>10504</c:v>
                </c:pt>
                <c:pt idx="13">
                  <c:v>4897</c:v>
                </c:pt>
                <c:pt idx="14">
                  <c:v>654</c:v>
                </c:pt>
                <c:pt idx="15">
                  <c:v>16808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A-42C9-99B7-8B90FC283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42%</c:v>
                </c:pt>
                <c:pt idx="10">
                  <c:v>88%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17%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0.41666666666666669</c:v>
                </c:pt>
                <c:pt idx="10">
                  <c:v>0.875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0.16666666666666666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1-4CCB-BA6B-495850F1EBA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91-4CCB-BA6B-495850F1EB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0.7890625</c:v>
                </c:pt>
                <c:pt idx="1">
                  <c:v>0.7890625</c:v>
                </c:pt>
                <c:pt idx="2">
                  <c:v>0.7890625</c:v>
                </c:pt>
                <c:pt idx="3">
                  <c:v>0.7890625</c:v>
                </c:pt>
                <c:pt idx="4">
                  <c:v>0.7890625</c:v>
                </c:pt>
                <c:pt idx="5">
                  <c:v>0.7890625</c:v>
                </c:pt>
                <c:pt idx="6">
                  <c:v>0.7890625</c:v>
                </c:pt>
                <c:pt idx="7">
                  <c:v>0.7890625</c:v>
                </c:pt>
                <c:pt idx="8">
                  <c:v>0.7890625</c:v>
                </c:pt>
                <c:pt idx="9">
                  <c:v>0.7890625</c:v>
                </c:pt>
                <c:pt idx="10">
                  <c:v>0.7890625</c:v>
                </c:pt>
                <c:pt idx="11">
                  <c:v>0.7890625</c:v>
                </c:pt>
                <c:pt idx="12">
                  <c:v>0.7890625</c:v>
                </c:pt>
                <c:pt idx="13">
                  <c:v>0.7890625</c:v>
                </c:pt>
                <c:pt idx="14">
                  <c:v>0.7890625</c:v>
                </c:pt>
                <c:pt idx="15">
                  <c:v>0.7890625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1-4CCB-BA6B-495850F1E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6012</c:v>
                </c:pt>
                <c:pt idx="1">
                  <c:v>16374</c:v>
                </c:pt>
                <c:pt idx="2">
                  <c:v>5616</c:v>
                </c:pt>
                <c:pt idx="3">
                  <c:v>19820</c:v>
                </c:pt>
                <c:pt idx="4">
                  <c:v>6175</c:v>
                </c:pt>
                <c:pt idx="5">
                  <c:v>5791</c:v>
                </c:pt>
                <c:pt idx="6">
                  <c:v>4568</c:v>
                </c:pt>
                <c:pt idx="7">
                  <c:v>20744</c:v>
                </c:pt>
                <c:pt idx="9">
                  <c:v>2013</c:v>
                </c:pt>
                <c:pt idx="10">
                  <c:v>13804</c:v>
                </c:pt>
                <c:pt idx="11">
                  <c:v>21776</c:v>
                </c:pt>
                <c:pt idx="12">
                  <c:v>10504</c:v>
                </c:pt>
                <c:pt idx="13">
                  <c:v>4897</c:v>
                </c:pt>
                <c:pt idx="14">
                  <c:v>654</c:v>
                </c:pt>
                <c:pt idx="15">
                  <c:v>16808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8-42FC-9655-8760BE6BE687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6012</c:v>
                </c:pt>
                <c:pt idx="1">
                  <c:v>16374</c:v>
                </c:pt>
                <c:pt idx="2">
                  <c:v>5616</c:v>
                </c:pt>
                <c:pt idx="3">
                  <c:v>19820</c:v>
                </c:pt>
                <c:pt idx="4">
                  <c:v>6175</c:v>
                </c:pt>
                <c:pt idx="5">
                  <c:v>5791</c:v>
                </c:pt>
                <c:pt idx="6">
                  <c:v>4568</c:v>
                </c:pt>
                <c:pt idx="7">
                  <c:v>20744</c:v>
                </c:pt>
                <c:pt idx="8">
                  <c:v>350</c:v>
                </c:pt>
                <c:pt idx="9">
                  <c:v>2013</c:v>
                </c:pt>
                <c:pt idx="10">
                  <c:v>13804</c:v>
                </c:pt>
                <c:pt idx="11">
                  <c:v>21776</c:v>
                </c:pt>
                <c:pt idx="12">
                  <c:v>10504</c:v>
                </c:pt>
                <c:pt idx="13">
                  <c:v>4897</c:v>
                </c:pt>
                <c:pt idx="14">
                  <c:v>654</c:v>
                </c:pt>
                <c:pt idx="15">
                  <c:v>16808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8-42FC-9655-8760BE6BE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42%</c:v>
                </c:pt>
                <c:pt idx="10">
                  <c:v>88%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17%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0.41666666666666669</c:v>
                </c:pt>
                <c:pt idx="10">
                  <c:v>0.875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0.16666666666666666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9-4289-9F6E-2E16B7992A4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79-4289-9F6E-2E16B7992A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0.7890625</c:v>
                </c:pt>
                <c:pt idx="1">
                  <c:v>0.7890625</c:v>
                </c:pt>
                <c:pt idx="2">
                  <c:v>0.7890625</c:v>
                </c:pt>
                <c:pt idx="3">
                  <c:v>0.7890625</c:v>
                </c:pt>
                <c:pt idx="4">
                  <c:v>0.7890625</c:v>
                </c:pt>
                <c:pt idx="5">
                  <c:v>0.7890625</c:v>
                </c:pt>
                <c:pt idx="6">
                  <c:v>0.7890625</c:v>
                </c:pt>
                <c:pt idx="7">
                  <c:v>0.7890625</c:v>
                </c:pt>
                <c:pt idx="8">
                  <c:v>0.7890625</c:v>
                </c:pt>
                <c:pt idx="9">
                  <c:v>0.7890625</c:v>
                </c:pt>
                <c:pt idx="10">
                  <c:v>0.7890625</c:v>
                </c:pt>
                <c:pt idx="11">
                  <c:v>0.7890625</c:v>
                </c:pt>
                <c:pt idx="12">
                  <c:v>0.7890625</c:v>
                </c:pt>
                <c:pt idx="13">
                  <c:v>0.7890625</c:v>
                </c:pt>
                <c:pt idx="14">
                  <c:v>0.7890625</c:v>
                </c:pt>
                <c:pt idx="15">
                  <c:v>0.7890625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9-4289-9F6E-2E16B7992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8BB-4519-9C17-9A797749DE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B-4519-9C17-9A797749D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BB-4519-9C17-9A797749DE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B-4519-9C17-9A797749D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6125</c:v>
                </c:pt>
                <c:pt idx="1">
                  <c:v>17700</c:v>
                </c:pt>
                <c:pt idx="2">
                  <c:v>4719</c:v>
                </c:pt>
                <c:pt idx="3">
                  <c:v>20264</c:v>
                </c:pt>
                <c:pt idx="4">
                  <c:v>6309</c:v>
                </c:pt>
                <c:pt idx="5">
                  <c:v>5944</c:v>
                </c:pt>
                <c:pt idx="6">
                  <c:v>4707</c:v>
                </c:pt>
                <c:pt idx="7">
                  <c:v>14763</c:v>
                </c:pt>
                <c:pt idx="9">
                  <c:v>3878</c:v>
                </c:pt>
                <c:pt idx="10">
                  <c:v>13644</c:v>
                </c:pt>
                <c:pt idx="11">
                  <c:v>22184</c:v>
                </c:pt>
                <c:pt idx="12">
                  <c:v>2198</c:v>
                </c:pt>
                <c:pt idx="13">
                  <c:v>3934</c:v>
                </c:pt>
                <c:pt idx="15">
                  <c:v>39112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E-41F8-A278-67138D0F8280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6125</c:v>
                </c:pt>
                <c:pt idx="1">
                  <c:v>17700</c:v>
                </c:pt>
                <c:pt idx="2">
                  <c:v>4719</c:v>
                </c:pt>
                <c:pt idx="3">
                  <c:v>20264</c:v>
                </c:pt>
                <c:pt idx="4">
                  <c:v>6309</c:v>
                </c:pt>
                <c:pt idx="5">
                  <c:v>5944</c:v>
                </c:pt>
                <c:pt idx="6">
                  <c:v>4707</c:v>
                </c:pt>
                <c:pt idx="7">
                  <c:v>14763</c:v>
                </c:pt>
                <c:pt idx="8">
                  <c:v>350</c:v>
                </c:pt>
                <c:pt idx="9">
                  <c:v>3878</c:v>
                </c:pt>
                <c:pt idx="10">
                  <c:v>13644</c:v>
                </c:pt>
                <c:pt idx="11">
                  <c:v>22184</c:v>
                </c:pt>
                <c:pt idx="12">
                  <c:v>2198</c:v>
                </c:pt>
                <c:pt idx="13">
                  <c:v>3934</c:v>
                </c:pt>
                <c:pt idx="14">
                  <c:v>654</c:v>
                </c:pt>
                <c:pt idx="15">
                  <c:v>39112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E-41F8-A278-67138D0F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92%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75%</c:v>
                </c:pt>
                <c:pt idx="10">
                  <c:v>100%</c:v>
                </c:pt>
                <c:pt idx="11">
                  <c:v>100%</c:v>
                </c:pt>
                <c:pt idx="12">
                  <c:v>21%</c:v>
                </c:pt>
                <c:pt idx="13">
                  <c:v>83%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0.91666666666666663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C-44F4-B5FD-1020259176C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0C-44F4-B5FD-1020259176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0.76302083333333337</c:v>
                </c:pt>
                <c:pt idx="1">
                  <c:v>0.76302083333333337</c:v>
                </c:pt>
                <c:pt idx="2">
                  <c:v>0.76302083333333337</c:v>
                </c:pt>
                <c:pt idx="3">
                  <c:v>0.76302083333333337</c:v>
                </c:pt>
                <c:pt idx="4">
                  <c:v>0.76302083333333337</c:v>
                </c:pt>
                <c:pt idx="5">
                  <c:v>0.76302083333333337</c:v>
                </c:pt>
                <c:pt idx="6">
                  <c:v>0.76302083333333337</c:v>
                </c:pt>
                <c:pt idx="7">
                  <c:v>0</c:v>
                </c:pt>
                <c:pt idx="8">
                  <c:v>0.76302083333333337</c:v>
                </c:pt>
                <c:pt idx="9">
                  <c:v>0.76302083333333337</c:v>
                </c:pt>
                <c:pt idx="10">
                  <c:v>0.76302083333333337</c:v>
                </c:pt>
                <c:pt idx="11">
                  <c:v>0.76302083333333337</c:v>
                </c:pt>
                <c:pt idx="12">
                  <c:v>0.76302083333333337</c:v>
                </c:pt>
                <c:pt idx="13">
                  <c:v>0.76302083333333337</c:v>
                </c:pt>
                <c:pt idx="14">
                  <c:v>0.76302083333333337</c:v>
                </c:pt>
                <c:pt idx="15">
                  <c:v>0.76302083333333337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0C-44F4-B5FD-102025917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6125</c:v>
                </c:pt>
                <c:pt idx="1">
                  <c:v>17700</c:v>
                </c:pt>
                <c:pt idx="2">
                  <c:v>4719</c:v>
                </c:pt>
                <c:pt idx="3">
                  <c:v>20264</c:v>
                </c:pt>
                <c:pt idx="4">
                  <c:v>6309</c:v>
                </c:pt>
                <c:pt idx="5">
                  <c:v>5944</c:v>
                </c:pt>
                <c:pt idx="6">
                  <c:v>4707</c:v>
                </c:pt>
                <c:pt idx="7">
                  <c:v>14763</c:v>
                </c:pt>
                <c:pt idx="9">
                  <c:v>3878</c:v>
                </c:pt>
                <c:pt idx="10">
                  <c:v>13644</c:v>
                </c:pt>
                <c:pt idx="11">
                  <c:v>22184</c:v>
                </c:pt>
                <c:pt idx="12">
                  <c:v>2198</c:v>
                </c:pt>
                <c:pt idx="13">
                  <c:v>3934</c:v>
                </c:pt>
                <c:pt idx="15">
                  <c:v>39112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E-4BD1-AEA8-71F6CD69A797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6125</c:v>
                </c:pt>
                <c:pt idx="1">
                  <c:v>17700</c:v>
                </c:pt>
                <c:pt idx="2">
                  <c:v>4719</c:v>
                </c:pt>
                <c:pt idx="3">
                  <c:v>20264</c:v>
                </c:pt>
                <c:pt idx="4">
                  <c:v>6309</c:v>
                </c:pt>
                <c:pt idx="5">
                  <c:v>5944</c:v>
                </c:pt>
                <c:pt idx="6">
                  <c:v>4707</c:v>
                </c:pt>
                <c:pt idx="7">
                  <c:v>14763</c:v>
                </c:pt>
                <c:pt idx="8">
                  <c:v>350</c:v>
                </c:pt>
                <c:pt idx="9">
                  <c:v>3878</c:v>
                </c:pt>
                <c:pt idx="10">
                  <c:v>13644</c:v>
                </c:pt>
                <c:pt idx="11">
                  <c:v>22184</c:v>
                </c:pt>
                <c:pt idx="12">
                  <c:v>2198</c:v>
                </c:pt>
                <c:pt idx="13">
                  <c:v>3934</c:v>
                </c:pt>
                <c:pt idx="14">
                  <c:v>654</c:v>
                </c:pt>
                <c:pt idx="15">
                  <c:v>39112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E-4BD1-AEA8-71F6CD69A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92%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75%</c:v>
                </c:pt>
                <c:pt idx="10">
                  <c:v>100%</c:v>
                </c:pt>
                <c:pt idx="11">
                  <c:v>100%</c:v>
                </c:pt>
                <c:pt idx="12">
                  <c:v>21%</c:v>
                </c:pt>
                <c:pt idx="13">
                  <c:v>83%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0.91666666666666663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0.75</c:v>
                </c:pt>
                <c:pt idx="10">
                  <c:v>1</c:v>
                </c:pt>
                <c:pt idx="11">
                  <c:v>1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5-4F0F-A19C-C1EBE8275C0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85-4F0F-A19C-C1EBE8275C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0.76302083333333337</c:v>
                </c:pt>
                <c:pt idx="1">
                  <c:v>0.76302083333333337</c:v>
                </c:pt>
                <c:pt idx="2">
                  <c:v>0.76302083333333337</c:v>
                </c:pt>
                <c:pt idx="3">
                  <c:v>0.76302083333333337</c:v>
                </c:pt>
                <c:pt idx="4">
                  <c:v>0.76302083333333337</c:v>
                </c:pt>
                <c:pt idx="5">
                  <c:v>0.76302083333333337</c:v>
                </c:pt>
                <c:pt idx="6">
                  <c:v>0.76302083333333337</c:v>
                </c:pt>
                <c:pt idx="7">
                  <c:v>0</c:v>
                </c:pt>
                <c:pt idx="8">
                  <c:v>0.76302083333333337</c:v>
                </c:pt>
                <c:pt idx="9">
                  <c:v>0.76302083333333337</c:v>
                </c:pt>
                <c:pt idx="10">
                  <c:v>0.76302083333333337</c:v>
                </c:pt>
                <c:pt idx="11">
                  <c:v>0.76302083333333337</c:v>
                </c:pt>
                <c:pt idx="12">
                  <c:v>0.76302083333333337</c:v>
                </c:pt>
                <c:pt idx="13">
                  <c:v>0.76302083333333337</c:v>
                </c:pt>
                <c:pt idx="14">
                  <c:v>0.76302083333333337</c:v>
                </c:pt>
                <c:pt idx="15">
                  <c:v>0.76302083333333337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85-4F0F-A19C-C1EBE8275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D34-4BB2-8B23-F05E61E521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4-4BB2-8B23-F05E61E52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34-4BB2-8B23-F05E61E521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34-4BB2-8B23-F05E61E52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6041</c:v>
                </c:pt>
                <c:pt idx="2">
                  <c:v>3224</c:v>
                </c:pt>
                <c:pt idx="3">
                  <c:v>20040</c:v>
                </c:pt>
                <c:pt idx="4">
                  <c:v>6270</c:v>
                </c:pt>
                <c:pt idx="5">
                  <c:v>2759</c:v>
                </c:pt>
                <c:pt idx="6">
                  <c:v>3870</c:v>
                </c:pt>
                <c:pt idx="7">
                  <c:v>16062</c:v>
                </c:pt>
                <c:pt idx="10">
                  <c:v>15168</c:v>
                </c:pt>
                <c:pt idx="11">
                  <c:v>20452</c:v>
                </c:pt>
                <c:pt idx="12">
                  <c:v>6198</c:v>
                </c:pt>
                <c:pt idx="13">
                  <c:v>3894</c:v>
                </c:pt>
                <c:pt idx="15">
                  <c:v>38440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9-41AA-83B6-9866596F0822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6041</c:v>
                </c:pt>
                <c:pt idx="1">
                  <c:v>17700</c:v>
                </c:pt>
                <c:pt idx="2">
                  <c:v>3224</c:v>
                </c:pt>
                <c:pt idx="3">
                  <c:v>20040</c:v>
                </c:pt>
                <c:pt idx="4">
                  <c:v>6270</c:v>
                </c:pt>
                <c:pt idx="5">
                  <c:v>2759</c:v>
                </c:pt>
                <c:pt idx="6">
                  <c:v>3870</c:v>
                </c:pt>
                <c:pt idx="7">
                  <c:v>16062</c:v>
                </c:pt>
                <c:pt idx="8">
                  <c:v>350</c:v>
                </c:pt>
                <c:pt idx="9">
                  <c:v>3878</c:v>
                </c:pt>
                <c:pt idx="10">
                  <c:v>15168</c:v>
                </c:pt>
                <c:pt idx="11">
                  <c:v>20452</c:v>
                </c:pt>
                <c:pt idx="12">
                  <c:v>6198</c:v>
                </c:pt>
                <c:pt idx="13">
                  <c:v>3894</c:v>
                </c:pt>
                <c:pt idx="14">
                  <c:v>654</c:v>
                </c:pt>
                <c:pt idx="15">
                  <c:v>38440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9-41AA-83B6-9866596F0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58%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63%</c:v>
                </c:pt>
                <c:pt idx="13">
                  <c:v>83%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0.58333333333333337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0.625</c:v>
                </c:pt>
                <c:pt idx="13">
                  <c:v>0.83333333333333337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A-4C68-B11F-0349CE8B465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5A-4C68-B11F-0349CE8B465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0.62500000000000011</c:v>
                </c:pt>
                <c:pt idx="1">
                  <c:v>0.62500000000000011</c:v>
                </c:pt>
                <c:pt idx="2">
                  <c:v>0.62500000000000011</c:v>
                </c:pt>
                <c:pt idx="3">
                  <c:v>0.62500000000000011</c:v>
                </c:pt>
                <c:pt idx="4">
                  <c:v>0.62500000000000011</c:v>
                </c:pt>
                <c:pt idx="5">
                  <c:v>0.62500000000000011</c:v>
                </c:pt>
                <c:pt idx="6">
                  <c:v>0.62500000000000011</c:v>
                </c:pt>
                <c:pt idx="7">
                  <c:v>0.62500000000000011</c:v>
                </c:pt>
                <c:pt idx="8">
                  <c:v>0.62500000000000011</c:v>
                </c:pt>
                <c:pt idx="9">
                  <c:v>0.62500000000000011</c:v>
                </c:pt>
                <c:pt idx="10">
                  <c:v>0.62500000000000011</c:v>
                </c:pt>
                <c:pt idx="11">
                  <c:v>0.62500000000000011</c:v>
                </c:pt>
                <c:pt idx="12">
                  <c:v>0.62500000000000011</c:v>
                </c:pt>
                <c:pt idx="13">
                  <c:v>0.62500000000000011</c:v>
                </c:pt>
                <c:pt idx="14">
                  <c:v>0.62500000000000011</c:v>
                </c:pt>
                <c:pt idx="15">
                  <c:v>0.62500000000000011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5A-4C68-B11F-0349CE8B4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6041</c:v>
                </c:pt>
                <c:pt idx="2">
                  <c:v>3224</c:v>
                </c:pt>
                <c:pt idx="3">
                  <c:v>20040</c:v>
                </c:pt>
                <c:pt idx="4">
                  <c:v>6270</c:v>
                </c:pt>
                <c:pt idx="5">
                  <c:v>2759</c:v>
                </c:pt>
                <c:pt idx="6">
                  <c:v>3870</c:v>
                </c:pt>
                <c:pt idx="7">
                  <c:v>16062</c:v>
                </c:pt>
                <c:pt idx="10">
                  <c:v>15168</c:v>
                </c:pt>
                <c:pt idx="11">
                  <c:v>20452</c:v>
                </c:pt>
                <c:pt idx="12">
                  <c:v>6198</c:v>
                </c:pt>
                <c:pt idx="13">
                  <c:v>3894</c:v>
                </c:pt>
                <c:pt idx="15">
                  <c:v>38440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E-450E-AA28-0F6B9FA26BF7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6041</c:v>
                </c:pt>
                <c:pt idx="1">
                  <c:v>17700</c:v>
                </c:pt>
                <c:pt idx="2">
                  <c:v>3224</c:v>
                </c:pt>
                <c:pt idx="3">
                  <c:v>20040</c:v>
                </c:pt>
                <c:pt idx="4">
                  <c:v>6270</c:v>
                </c:pt>
                <c:pt idx="5">
                  <c:v>2759</c:v>
                </c:pt>
                <c:pt idx="6">
                  <c:v>3870</c:v>
                </c:pt>
                <c:pt idx="7">
                  <c:v>16062</c:v>
                </c:pt>
                <c:pt idx="8">
                  <c:v>350</c:v>
                </c:pt>
                <c:pt idx="9">
                  <c:v>3878</c:v>
                </c:pt>
                <c:pt idx="10">
                  <c:v>15168</c:v>
                </c:pt>
                <c:pt idx="11">
                  <c:v>20452</c:v>
                </c:pt>
                <c:pt idx="12">
                  <c:v>6198</c:v>
                </c:pt>
                <c:pt idx="13">
                  <c:v>3894</c:v>
                </c:pt>
                <c:pt idx="14">
                  <c:v>654</c:v>
                </c:pt>
                <c:pt idx="15">
                  <c:v>38440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E-450E-AA28-0F6B9FA26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58%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63%</c:v>
                </c:pt>
                <c:pt idx="13">
                  <c:v>83%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0.58333333333333337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0.625</c:v>
                </c:pt>
                <c:pt idx="13">
                  <c:v>0.83333333333333337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E-4170-BF2F-13A3BC6E68D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3E-4170-BF2F-13A3BC6E68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0.62500000000000011</c:v>
                </c:pt>
                <c:pt idx="1">
                  <c:v>0.62500000000000011</c:v>
                </c:pt>
                <c:pt idx="2">
                  <c:v>0.62500000000000011</c:v>
                </c:pt>
                <c:pt idx="3">
                  <c:v>0.62500000000000011</c:v>
                </c:pt>
                <c:pt idx="4">
                  <c:v>0.62500000000000011</c:v>
                </c:pt>
                <c:pt idx="5">
                  <c:v>0.62500000000000011</c:v>
                </c:pt>
                <c:pt idx="6">
                  <c:v>0.62500000000000011</c:v>
                </c:pt>
                <c:pt idx="7">
                  <c:v>0.62500000000000011</c:v>
                </c:pt>
                <c:pt idx="8">
                  <c:v>0.62500000000000011</c:v>
                </c:pt>
                <c:pt idx="9">
                  <c:v>0.62500000000000011</c:v>
                </c:pt>
                <c:pt idx="10">
                  <c:v>0.62500000000000011</c:v>
                </c:pt>
                <c:pt idx="11">
                  <c:v>0.62500000000000011</c:v>
                </c:pt>
                <c:pt idx="12">
                  <c:v>0.62500000000000011</c:v>
                </c:pt>
                <c:pt idx="13">
                  <c:v>0.62500000000000011</c:v>
                </c:pt>
                <c:pt idx="14">
                  <c:v>0.62500000000000011</c:v>
                </c:pt>
                <c:pt idx="15">
                  <c:v>0.62500000000000011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3E-4170-BF2F-13A3BC6E6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37F-49D1-9DA6-72E9581043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F-49D1-9DA6-72E958104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7F-49D1-9DA6-72E9581043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7F-49D1-9DA6-72E958104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'20'!$L$6:$L$22</c:f>
              <c:numCache>
                <c:formatCode>_(* #,##0_);_(* \(#,##0\);_(* "-"_);_(@_)</c:formatCode>
                <c:ptCount val="17"/>
                <c:pt idx="0">
                  <c:v>6061</c:v>
                </c:pt>
                <c:pt idx="1">
                  <c:v>3794</c:v>
                </c:pt>
                <c:pt idx="2">
                  <c:v>5620</c:v>
                </c:pt>
                <c:pt idx="3">
                  <c:v>20060</c:v>
                </c:pt>
                <c:pt idx="4">
                  <c:v>5715</c:v>
                </c:pt>
                <c:pt idx="5">
                  <c:v>4461</c:v>
                </c:pt>
                <c:pt idx="6">
                  <c:v>4636</c:v>
                </c:pt>
                <c:pt idx="7">
                  <c:v>3640</c:v>
                </c:pt>
                <c:pt idx="8">
                  <c:v>8880</c:v>
                </c:pt>
                <c:pt idx="10">
                  <c:v>870</c:v>
                </c:pt>
                <c:pt idx="11">
                  <c:v>9596</c:v>
                </c:pt>
                <c:pt idx="12">
                  <c:v>9348</c:v>
                </c:pt>
                <c:pt idx="13">
                  <c:v>14056</c:v>
                </c:pt>
                <c:pt idx="14">
                  <c:v>4231</c:v>
                </c:pt>
                <c:pt idx="15">
                  <c:v>3141</c:v>
                </c:pt>
                <c:pt idx="16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D-40C9-80E3-43FB2919E4A5}"/>
            </c:ext>
          </c:extLst>
        </c:ser>
        <c:ser>
          <c:idx val="1"/>
          <c:order val="1"/>
          <c:tx>
            <c:v>계획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'20'!$J$6:$J$22</c:f>
              <c:numCache>
                <c:formatCode>_(* #,##0_);_(* \(#,##0\);_(* "-"_);_(@_)</c:formatCode>
                <c:ptCount val="17"/>
                <c:pt idx="0">
                  <c:v>6061</c:v>
                </c:pt>
                <c:pt idx="1">
                  <c:v>3794</c:v>
                </c:pt>
                <c:pt idx="2">
                  <c:v>5620</c:v>
                </c:pt>
                <c:pt idx="3">
                  <c:v>20060</c:v>
                </c:pt>
                <c:pt idx="4">
                  <c:v>5715</c:v>
                </c:pt>
                <c:pt idx="5">
                  <c:v>4461</c:v>
                </c:pt>
                <c:pt idx="6">
                  <c:v>4636</c:v>
                </c:pt>
                <c:pt idx="7">
                  <c:v>3640</c:v>
                </c:pt>
                <c:pt idx="8">
                  <c:v>8880</c:v>
                </c:pt>
                <c:pt idx="9">
                  <c:v>350</c:v>
                </c:pt>
                <c:pt idx="10">
                  <c:v>870</c:v>
                </c:pt>
                <c:pt idx="11">
                  <c:v>9596</c:v>
                </c:pt>
                <c:pt idx="12">
                  <c:v>9348</c:v>
                </c:pt>
                <c:pt idx="13">
                  <c:v>14056</c:v>
                </c:pt>
                <c:pt idx="14">
                  <c:v>4231</c:v>
                </c:pt>
                <c:pt idx="15">
                  <c:v>3141</c:v>
                </c:pt>
                <c:pt idx="16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D-40C9-80E3-43FB2919E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'20'!$AD$6:$AD$22</c:f>
              <c:strCache>
                <c:ptCount val="17"/>
                <c:pt idx="0">
                  <c:v>100%</c:v>
                </c:pt>
                <c:pt idx="1">
                  <c:v>67%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92%</c:v>
                </c:pt>
                <c:pt idx="6">
                  <c:v>100%</c:v>
                </c:pt>
                <c:pt idx="7">
                  <c:v>17%</c:v>
                </c:pt>
                <c:pt idx="8">
                  <c:v>63%</c:v>
                </c:pt>
                <c:pt idx="9">
                  <c:v>0%</c:v>
                </c:pt>
                <c:pt idx="10">
                  <c:v>17%</c:v>
                </c:pt>
                <c:pt idx="11">
                  <c:v>42%</c:v>
                </c:pt>
                <c:pt idx="12">
                  <c:v>88%</c:v>
                </c:pt>
                <c:pt idx="13">
                  <c:v>100%</c:v>
                </c:pt>
                <c:pt idx="14">
                  <c:v>100%</c:v>
                </c:pt>
                <c:pt idx="15">
                  <c:v>75%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'20'!$AD$6:$AD$22</c:f>
              <c:numCache>
                <c:formatCode>0%</c:formatCode>
                <c:ptCount val="17"/>
                <c:pt idx="0">
                  <c:v>1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0.91666666666666663</c:v>
                </c:pt>
                <c:pt idx="6">
                  <c:v>1</c:v>
                </c:pt>
                <c:pt idx="7">
                  <c:v>0.16666666666666666</c:v>
                </c:pt>
                <c:pt idx="8">
                  <c:v>0.625</c:v>
                </c:pt>
                <c:pt idx="9">
                  <c:v>0</c:v>
                </c:pt>
                <c:pt idx="10">
                  <c:v>0.16666666666666666</c:v>
                </c:pt>
                <c:pt idx="11">
                  <c:v>0.41666666666666669</c:v>
                </c:pt>
                <c:pt idx="12">
                  <c:v>0.875</c:v>
                </c:pt>
                <c:pt idx="13">
                  <c:v>1</c:v>
                </c:pt>
                <c:pt idx="14">
                  <c:v>1</c:v>
                </c:pt>
                <c:pt idx="15">
                  <c:v>0.75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C-40BE-94C4-0C47F595FDE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5C-40BE-94C4-0C47F595FD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'20'!$AE$6:$AE$22</c:f>
              <c:numCache>
                <c:formatCode>0%</c:formatCode>
                <c:ptCount val="17"/>
                <c:pt idx="0">
                  <c:v>0.71078431372549022</c:v>
                </c:pt>
                <c:pt idx="1">
                  <c:v>0.71078431372549022</c:v>
                </c:pt>
                <c:pt idx="2">
                  <c:v>0.71078431372549022</c:v>
                </c:pt>
                <c:pt idx="3">
                  <c:v>0.71078431372549022</c:v>
                </c:pt>
                <c:pt idx="4">
                  <c:v>0.71078431372549022</c:v>
                </c:pt>
                <c:pt idx="5">
                  <c:v>0.71078431372549022</c:v>
                </c:pt>
                <c:pt idx="6">
                  <c:v>0.71078431372549022</c:v>
                </c:pt>
                <c:pt idx="7">
                  <c:v>0.71078431372549022</c:v>
                </c:pt>
                <c:pt idx="8">
                  <c:v>0.71078431372549022</c:v>
                </c:pt>
                <c:pt idx="9">
                  <c:v>0.71078431372549022</c:v>
                </c:pt>
                <c:pt idx="10">
                  <c:v>0.71078431372549022</c:v>
                </c:pt>
                <c:pt idx="11">
                  <c:v>0.71078431372549022</c:v>
                </c:pt>
                <c:pt idx="12">
                  <c:v>0.71078431372549022</c:v>
                </c:pt>
                <c:pt idx="13">
                  <c:v>0.71078431372549022</c:v>
                </c:pt>
                <c:pt idx="14">
                  <c:v>0.71078431372549022</c:v>
                </c:pt>
                <c:pt idx="15">
                  <c:v>0.71078431372549022</c:v>
                </c:pt>
                <c:pt idx="16">
                  <c:v>0.71078431372549022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5C-40BE-94C4-0C47F595F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'20'!$L$6:$L$22</c:f>
              <c:numCache>
                <c:formatCode>_(* #,##0_);_(* \(#,##0\);_(* "-"_);_(@_)</c:formatCode>
                <c:ptCount val="17"/>
                <c:pt idx="0">
                  <c:v>6061</c:v>
                </c:pt>
                <c:pt idx="1">
                  <c:v>3794</c:v>
                </c:pt>
                <c:pt idx="2">
                  <c:v>5620</c:v>
                </c:pt>
                <c:pt idx="3">
                  <c:v>20060</c:v>
                </c:pt>
                <c:pt idx="4">
                  <c:v>5715</c:v>
                </c:pt>
                <c:pt idx="5">
                  <c:v>4461</c:v>
                </c:pt>
                <c:pt idx="6">
                  <c:v>4636</c:v>
                </c:pt>
                <c:pt idx="7">
                  <c:v>3640</c:v>
                </c:pt>
                <c:pt idx="8">
                  <c:v>8880</c:v>
                </c:pt>
                <c:pt idx="10">
                  <c:v>870</c:v>
                </c:pt>
                <c:pt idx="11">
                  <c:v>9596</c:v>
                </c:pt>
                <c:pt idx="12">
                  <c:v>9348</c:v>
                </c:pt>
                <c:pt idx="13">
                  <c:v>14056</c:v>
                </c:pt>
                <c:pt idx="14">
                  <c:v>4231</c:v>
                </c:pt>
                <c:pt idx="15">
                  <c:v>3141</c:v>
                </c:pt>
                <c:pt idx="16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7-44BF-B722-EA0E97B43DA7}"/>
            </c:ext>
          </c:extLst>
        </c:ser>
        <c:ser>
          <c:idx val="1"/>
          <c:order val="1"/>
          <c:tx>
            <c:v>계획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'20'!$J$6:$J$22</c:f>
              <c:numCache>
                <c:formatCode>_(* #,##0_);_(* \(#,##0\);_(* "-"_);_(@_)</c:formatCode>
                <c:ptCount val="17"/>
                <c:pt idx="0">
                  <c:v>6061</c:v>
                </c:pt>
                <c:pt idx="1">
                  <c:v>3794</c:v>
                </c:pt>
                <c:pt idx="2">
                  <c:v>5620</c:v>
                </c:pt>
                <c:pt idx="3">
                  <c:v>20060</c:v>
                </c:pt>
                <c:pt idx="4">
                  <c:v>5715</c:v>
                </c:pt>
                <c:pt idx="5">
                  <c:v>4461</c:v>
                </c:pt>
                <c:pt idx="6">
                  <c:v>4636</c:v>
                </c:pt>
                <c:pt idx="7">
                  <c:v>3640</c:v>
                </c:pt>
                <c:pt idx="8">
                  <c:v>8880</c:v>
                </c:pt>
                <c:pt idx="9">
                  <c:v>350</c:v>
                </c:pt>
                <c:pt idx="10">
                  <c:v>870</c:v>
                </c:pt>
                <c:pt idx="11">
                  <c:v>9596</c:v>
                </c:pt>
                <c:pt idx="12">
                  <c:v>9348</c:v>
                </c:pt>
                <c:pt idx="13">
                  <c:v>14056</c:v>
                </c:pt>
                <c:pt idx="14">
                  <c:v>4231</c:v>
                </c:pt>
                <c:pt idx="15">
                  <c:v>3141</c:v>
                </c:pt>
                <c:pt idx="16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37-44BF-B722-EA0E97B43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'20'!$AD$6:$AD$22</c:f>
              <c:strCache>
                <c:ptCount val="17"/>
                <c:pt idx="0">
                  <c:v>100%</c:v>
                </c:pt>
                <c:pt idx="1">
                  <c:v>67%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92%</c:v>
                </c:pt>
                <c:pt idx="6">
                  <c:v>100%</c:v>
                </c:pt>
                <c:pt idx="7">
                  <c:v>17%</c:v>
                </c:pt>
                <c:pt idx="8">
                  <c:v>63%</c:v>
                </c:pt>
                <c:pt idx="9">
                  <c:v>0%</c:v>
                </c:pt>
                <c:pt idx="10">
                  <c:v>17%</c:v>
                </c:pt>
                <c:pt idx="11">
                  <c:v>42%</c:v>
                </c:pt>
                <c:pt idx="12">
                  <c:v>88%</c:v>
                </c:pt>
                <c:pt idx="13">
                  <c:v>100%</c:v>
                </c:pt>
                <c:pt idx="14">
                  <c:v>100%</c:v>
                </c:pt>
                <c:pt idx="15">
                  <c:v>75%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'20'!$AD$6:$AD$22</c:f>
              <c:numCache>
                <c:formatCode>0%</c:formatCode>
                <c:ptCount val="17"/>
                <c:pt idx="0">
                  <c:v>1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0.91666666666666663</c:v>
                </c:pt>
                <c:pt idx="6">
                  <c:v>1</c:v>
                </c:pt>
                <c:pt idx="7">
                  <c:v>0.16666666666666666</c:v>
                </c:pt>
                <c:pt idx="8">
                  <c:v>0.625</c:v>
                </c:pt>
                <c:pt idx="9">
                  <c:v>0</c:v>
                </c:pt>
                <c:pt idx="10">
                  <c:v>0.16666666666666666</c:v>
                </c:pt>
                <c:pt idx="11">
                  <c:v>0.41666666666666669</c:v>
                </c:pt>
                <c:pt idx="12">
                  <c:v>0.875</c:v>
                </c:pt>
                <c:pt idx="13">
                  <c:v>1</c:v>
                </c:pt>
                <c:pt idx="14">
                  <c:v>1</c:v>
                </c:pt>
                <c:pt idx="15">
                  <c:v>0.75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98-4FFD-8089-AC7460508F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98-4FFD-8089-AC7460508F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4">
                  <c:v>LEAD GUIDE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'20'!$AE$6:$AE$22</c:f>
              <c:numCache>
                <c:formatCode>0%</c:formatCode>
                <c:ptCount val="17"/>
                <c:pt idx="0">
                  <c:v>0.71078431372549022</c:v>
                </c:pt>
                <c:pt idx="1">
                  <c:v>0.71078431372549022</c:v>
                </c:pt>
                <c:pt idx="2">
                  <c:v>0.71078431372549022</c:v>
                </c:pt>
                <c:pt idx="3">
                  <c:v>0.71078431372549022</c:v>
                </c:pt>
                <c:pt idx="4">
                  <c:v>0.71078431372549022</c:v>
                </c:pt>
                <c:pt idx="5">
                  <c:v>0.71078431372549022</c:v>
                </c:pt>
                <c:pt idx="6">
                  <c:v>0.71078431372549022</c:v>
                </c:pt>
                <c:pt idx="7">
                  <c:v>0.71078431372549022</c:v>
                </c:pt>
                <c:pt idx="8">
                  <c:v>0.71078431372549022</c:v>
                </c:pt>
                <c:pt idx="9">
                  <c:v>0.71078431372549022</c:v>
                </c:pt>
                <c:pt idx="10">
                  <c:v>0.71078431372549022</c:v>
                </c:pt>
                <c:pt idx="11">
                  <c:v>0.71078431372549022</c:v>
                </c:pt>
                <c:pt idx="12">
                  <c:v>0.71078431372549022</c:v>
                </c:pt>
                <c:pt idx="13">
                  <c:v>0.71078431372549022</c:v>
                </c:pt>
                <c:pt idx="14">
                  <c:v>0.71078431372549022</c:v>
                </c:pt>
                <c:pt idx="15">
                  <c:v>0.71078431372549022</c:v>
                </c:pt>
                <c:pt idx="16">
                  <c:v>0.71078431372549022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98-4FFD-8089-AC7460508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585-4023-A25E-7451C10A23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5-4023-A25E-7451C10A2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85-4023-A25E-7451C10A23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85-4023-A25E-7451C10A2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'21'!$L$6:$L$24</c:f>
              <c:numCache>
                <c:formatCode>_(* #,##0_);_(* \(#,##0\);_(* "-"_);_(@_)</c:formatCode>
                <c:ptCount val="19"/>
                <c:pt idx="0">
                  <c:v>6548</c:v>
                </c:pt>
                <c:pt idx="1">
                  <c:v>3491</c:v>
                </c:pt>
                <c:pt idx="2">
                  <c:v>5700</c:v>
                </c:pt>
                <c:pt idx="3">
                  <c:v>7560</c:v>
                </c:pt>
                <c:pt idx="4">
                  <c:v>1830</c:v>
                </c:pt>
                <c:pt idx="5">
                  <c:v>4852</c:v>
                </c:pt>
                <c:pt idx="6">
                  <c:v>5131</c:v>
                </c:pt>
                <c:pt idx="7">
                  <c:v>341</c:v>
                </c:pt>
                <c:pt idx="8">
                  <c:v>2754</c:v>
                </c:pt>
                <c:pt idx="9">
                  <c:v>19993</c:v>
                </c:pt>
                <c:pt idx="13">
                  <c:v>11626</c:v>
                </c:pt>
                <c:pt idx="14">
                  <c:v>14264</c:v>
                </c:pt>
                <c:pt idx="15">
                  <c:v>203</c:v>
                </c:pt>
                <c:pt idx="16">
                  <c:v>4305</c:v>
                </c:pt>
                <c:pt idx="17">
                  <c:v>5593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8-4CA0-8ECE-DE5FF2891D22}"/>
            </c:ext>
          </c:extLst>
        </c:ser>
        <c:ser>
          <c:idx val="1"/>
          <c:order val="1"/>
          <c:tx>
            <c:v>계획</c:v>
          </c:tx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'21'!$J$6:$J$24</c:f>
              <c:numCache>
                <c:formatCode>_(* #,##0_);_(* \(#,##0\);_(* "-"_);_(@_)</c:formatCode>
                <c:ptCount val="19"/>
                <c:pt idx="0">
                  <c:v>6548</c:v>
                </c:pt>
                <c:pt idx="1">
                  <c:v>3491</c:v>
                </c:pt>
                <c:pt idx="2">
                  <c:v>5700</c:v>
                </c:pt>
                <c:pt idx="3">
                  <c:v>7560</c:v>
                </c:pt>
                <c:pt idx="4">
                  <c:v>1830</c:v>
                </c:pt>
                <c:pt idx="5">
                  <c:v>4852</c:v>
                </c:pt>
                <c:pt idx="6">
                  <c:v>5131</c:v>
                </c:pt>
                <c:pt idx="7">
                  <c:v>341</c:v>
                </c:pt>
                <c:pt idx="8">
                  <c:v>2754</c:v>
                </c:pt>
                <c:pt idx="9">
                  <c:v>19993</c:v>
                </c:pt>
                <c:pt idx="10">
                  <c:v>350</c:v>
                </c:pt>
                <c:pt idx="11">
                  <c:v>870</c:v>
                </c:pt>
                <c:pt idx="12">
                  <c:v>9596</c:v>
                </c:pt>
                <c:pt idx="13">
                  <c:v>11626</c:v>
                </c:pt>
                <c:pt idx="14">
                  <c:v>14264</c:v>
                </c:pt>
                <c:pt idx="15">
                  <c:v>203</c:v>
                </c:pt>
                <c:pt idx="16">
                  <c:v>4305</c:v>
                </c:pt>
                <c:pt idx="17">
                  <c:v>5593</c:v>
                </c:pt>
                <c:pt idx="18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8-4CA0-8ECE-DE5FF2891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'21'!$AD$6:$AD$24</c:f>
              <c:strCache>
                <c:ptCount val="19"/>
                <c:pt idx="0">
                  <c:v>100%</c:v>
                </c:pt>
                <c:pt idx="1">
                  <c:v>67%</c:v>
                </c:pt>
                <c:pt idx="2">
                  <c:v>100%</c:v>
                </c:pt>
                <c:pt idx="3">
                  <c:v>25%</c:v>
                </c:pt>
                <c:pt idx="4">
                  <c:v>42%</c:v>
                </c:pt>
                <c:pt idx="5">
                  <c:v>54%</c:v>
                </c:pt>
                <c:pt idx="6">
                  <c:v>100%</c:v>
                </c:pt>
                <c:pt idx="7">
                  <c:v>17%</c:v>
                </c:pt>
                <c:pt idx="8">
                  <c:v>67%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17%</c:v>
                </c:pt>
                <c:pt idx="16">
                  <c:v>79%</c:v>
                </c:pt>
                <c:pt idx="17">
                  <c:v>100%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'21'!$AD$6:$AD$24</c:f>
              <c:numCache>
                <c:formatCode>0%</c:formatCode>
                <c:ptCount val="19"/>
                <c:pt idx="0">
                  <c:v>1</c:v>
                </c:pt>
                <c:pt idx="1">
                  <c:v>0.66666666666666663</c:v>
                </c:pt>
                <c:pt idx="2">
                  <c:v>1</c:v>
                </c:pt>
                <c:pt idx="3">
                  <c:v>0.25</c:v>
                </c:pt>
                <c:pt idx="4">
                  <c:v>0.41666666666666669</c:v>
                </c:pt>
                <c:pt idx="5">
                  <c:v>0.54166666666666663</c:v>
                </c:pt>
                <c:pt idx="6">
                  <c:v>1</c:v>
                </c:pt>
                <c:pt idx="7">
                  <c:v>0.16666666666666666</c:v>
                </c:pt>
                <c:pt idx="8">
                  <c:v>0.66666666666666663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0.16666666666666666</c:v>
                </c:pt>
                <c:pt idx="16">
                  <c:v>0.79166666666666663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D-42C7-9583-5E0C865F3A0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0D-42C7-9583-5E0C865F3A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'21'!$AE$6:$AE$24</c:f>
              <c:numCache>
                <c:formatCode>0%</c:formatCode>
                <c:ptCount val="19"/>
                <c:pt idx="0">
                  <c:v>0.56140350877192979</c:v>
                </c:pt>
                <c:pt idx="1">
                  <c:v>0.56140350877192979</c:v>
                </c:pt>
                <c:pt idx="2">
                  <c:v>0.56140350877192979</c:v>
                </c:pt>
                <c:pt idx="3">
                  <c:v>0.56140350877192979</c:v>
                </c:pt>
                <c:pt idx="4">
                  <c:v>0.56140350877192979</c:v>
                </c:pt>
                <c:pt idx="5">
                  <c:v>0.56140350877192979</c:v>
                </c:pt>
                <c:pt idx="6">
                  <c:v>0.56140350877192979</c:v>
                </c:pt>
                <c:pt idx="7">
                  <c:v>0.56140350877192979</c:v>
                </c:pt>
                <c:pt idx="8">
                  <c:v>0.56140350877192979</c:v>
                </c:pt>
                <c:pt idx="9">
                  <c:v>0.56140350877192979</c:v>
                </c:pt>
                <c:pt idx="10">
                  <c:v>0.56140350877192979</c:v>
                </c:pt>
                <c:pt idx="11">
                  <c:v>0.56140350877192979</c:v>
                </c:pt>
                <c:pt idx="12">
                  <c:v>0.56140350877192979</c:v>
                </c:pt>
                <c:pt idx="13">
                  <c:v>0.56140350877192979</c:v>
                </c:pt>
                <c:pt idx="14">
                  <c:v>0.56140350877192979</c:v>
                </c:pt>
                <c:pt idx="15">
                  <c:v>0.56140350877192979</c:v>
                </c:pt>
                <c:pt idx="16">
                  <c:v>0.56140350877192979</c:v>
                </c:pt>
                <c:pt idx="17">
                  <c:v>0.56140350877192979</c:v>
                </c:pt>
                <c:pt idx="18">
                  <c:v>0.56140350877192979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D-42C7-9583-5E0C865F3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'21'!$L$6:$L$24</c:f>
              <c:numCache>
                <c:formatCode>_(* #,##0_);_(* \(#,##0\);_(* "-"_);_(@_)</c:formatCode>
                <c:ptCount val="19"/>
                <c:pt idx="0">
                  <c:v>6548</c:v>
                </c:pt>
                <c:pt idx="1">
                  <c:v>3491</c:v>
                </c:pt>
                <c:pt idx="2">
                  <c:v>5700</c:v>
                </c:pt>
                <c:pt idx="3">
                  <c:v>7560</c:v>
                </c:pt>
                <c:pt idx="4">
                  <c:v>1830</c:v>
                </c:pt>
                <c:pt idx="5">
                  <c:v>4852</c:v>
                </c:pt>
                <c:pt idx="6">
                  <c:v>5131</c:v>
                </c:pt>
                <c:pt idx="7">
                  <c:v>341</c:v>
                </c:pt>
                <c:pt idx="8">
                  <c:v>2754</c:v>
                </c:pt>
                <c:pt idx="9">
                  <c:v>19993</c:v>
                </c:pt>
                <c:pt idx="13">
                  <c:v>11626</c:v>
                </c:pt>
                <c:pt idx="14">
                  <c:v>14264</c:v>
                </c:pt>
                <c:pt idx="15">
                  <c:v>203</c:v>
                </c:pt>
                <c:pt idx="16">
                  <c:v>4305</c:v>
                </c:pt>
                <c:pt idx="17">
                  <c:v>5593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B-4D7E-8769-580BA2476533}"/>
            </c:ext>
          </c:extLst>
        </c:ser>
        <c:ser>
          <c:idx val="1"/>
          <c:order val="1"/>
          <c:tx>
            <c:v>계획</c:v>
          </c:tx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'21'!$J$6:$J$24</c:f>
              <c:numCache>
                <c:formatCode>_(* #,##0_);_(* \(#,##0\);_(* "-"_);_(@_)</c:formatCode>
                <c:ptCount val="19"/>
                <c:pt idx="0">
                  <c:v>6548</c:v>
                </c:pt>
                <c:pt idx="1">
                  <c:v>3491</c:v>
                </c:pt>
                <c:pt idx="2">
                  <c:v>5700</c:v>
                </c:pt>
                <c:pt idx="3">
                  <c:v>7560</c:v>
                </c:pt>
                <c:pt idx="4">
                  <c:v>1830</c:v>
                </c:pt>
                <c:pt idx="5">
                  <c:v>4852</c:v>
                </c:pt>
                <c:pt idx="6">
                  <c:v>5131</c:v>
                </c:pt>
                <c:pt idx="7">
                  <c:v>341</c:v>
                </c:pt>
                <c:pt idx="8">
                  <c:v>2754</c:v>
                </c:pt>
                <c:pt idx="9">
                  <c:v>19993</c:v>
                </c:pt>
                <c:pt idx="10">
                  <c:v>350</c:v>
                </c:pt>
                <c:pt idx="11">
                  <c:v>870</c:v>
                </c:pt>
                <c:pt idx="12">
                  <c:v>9596</c:v>
                </c:pt>
                <c:pt idx="13">
                  <c:v>11626</c:v>
                </c:pt>
                <c:pt idx="14">
                  <c:v>14264</c:v>
                </c:pt>
                <c:pt idx="15">
                  <c:v>203</c:v>
                </c:pt>
                <c:pt idx="16">
                  <c:v>4305</c:v>
                </c:pt>
                <c:pt idx="17">
                  <c:v>5593</c:v>
                </c:pt>
                <c:pt idx="18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B-4D7E-8769-580BA2476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'21'!$AD$6:$AD$24</c:f>
              <c:strCache>
                <c:ptCount val="19"/>
                <c:pt idx="0">
                  <c:v>100%</c:v>
                </c:pt>
                <c:pt idx="1">
                  <c:v>67%</c:v>
                </c:pt>
                <c:pt idx="2">
                  <c:v>100%</c:v>
                </c:pt>
                <c:pt idx="3">
                  <c:v>25%</c:v>
                </c:pt>
                <c:pt idx="4">
                  <c:v>42%</c:v>
                </c:pt>
                <c:pt idx="5">
                  <c:v>54%</c:v>
                </c:pt>
                <c:pt idx="6">
                  <c:v>100%</c:v>
                </c:pt>
                <c:pt idx="7">
                  <c:v>17%</c:v>
                </c:pt>
                <c:pt idx="8">
                  <c:v>67%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17%</c:v>
                </c:pt>
                <c:pt idx="16">
                  <c:v>79%</c:v>
                </c:pt>
                <c:pt idx="17">
                  <c:v>100%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'21'!$AD$6:$AD$24</c:f>
              <c:numCache>
                <c:formatCode>0%</c:formatCode>
                <c:ptCount val="19"/>
                <c:pt idx="0">
                  <c:v>1</c:v>
                </c:pt>
                <c:pt idx="1">
                  <c:v>0.66666666666666663</c:v>
                </c:pt>
                <c:pt idx="2">
                  <c:v>1</c:v>
                </c:pt>
                <c:pt idx="3">
                  <c:v>0.25</c:v>
                </c:pt>
                <c:pt idx="4">
                  <c:v>0.41666666666666669</c:v>
                </c:pt>
                <c:pt idx="5">
                  <c:v>0.54166666666666663</c:v>
                </c:pt>
                <c:pt idx="6">
                  <c:v>1</c:v>
                </c:pt>
                <c:pt idx="7">
                  <c:v>0.16666666666666666</c:v>
                </c:pt>
                <c:pt idx="8">
                  <c:v>0.66666666666666663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0.16666666666666666</c:v>
                </c:pt>
                <c:pt idx="16">
                  <c:v>0.79166666666666663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5-4199-998E-EA80605E99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E5-4199-998E-EA80605E99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'21'!$D$6:$D$24</c:f>
              <c:strCache>
                <c:ptCount val="18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LATCH</c:v>
                </c:pt>
                <c:pt idx="15">
                  <c:v>BASE</c:v>
                </c:pt>
                <c:pt idx="16">
                  <c:v>SLIDER</c:v>
                </c:pt>
                <c:pt idx="17">
                  <c:v>BASE</c:v>
                </c:pt>
              </c:strCache>
            </c:strRef>
          </c:cat>
          <c:val>
            <c:numRef>
              <c:f>'21'!$AE$6:$AE$24</c:f>
              <c:numCache>
                <c:formatCode>0%</c:formatCode>
                <c:ptCount val="19"/>
                <c:pt idx="0">
                  <c:v>0.56140350877192979</c:v>
                </c:pt>
                <c:pt idx="1">
                  <c:v>0.56140350877192979</c:v>
                </c:pt>
                <c:pt idx="2">
                  <c:v>0.56140350877192979</c:v>
                </c:pt>
                <c:pt idx="3">
                  <c:v>0.56140350877192979</c:v>
                </c:pt>
                <c:pt idx="4">
                  <c:v>0.56140350877192979</c:v>
                </c:pt>
                <c:pt idx="5">
                  <c:v>0.56140350877192979</c:v>
                </c:pt>
                <c:pt idx="6">
                  <c:v>0.56140350877192979</c:v>
                </c:pt>
                <c:pt idx="7">
                  <c:v>0.56140350877192979</c:v>
                </c:pt>
                <c:pt idx="8">
                  <c:v>0.56140350877192979</c:v>
                </c:pt>
                <c:pt idx="9">
                  <c:v>0.56140350877192979</c:v>
                </c:pt>
                <c:pt idx="10">
                  <c:v>0.56140350877192979</c:v>
                </c:pt>
                <c:pt idx="11">
                  <c:v>0.56140350877192979</c:v>
                </c:pt>
                <c:pt idx="12">
                  <c:v>0.56140350877192979</c:v>
                </c:pt>
                <c:pt idx="13">
                  <c:v>0.56140350877192979</c:v>
                </c:pt>
                <c:pt idx="14">
                  <c:v>0.56140350877192979</c:v>
                </c:pt>
                <c:pt idx="15">
                  <c:v>0.56140350877192979</c:v>
                </c:pt>
                <c:pt idx="16">
                  <c:v>0.56140350877192979</c:v>
                </c:pt>
                <c:pt idx="17">
                  <c:v>0.56140350877192979</c:v>
                </c:pt>
                <c:pt idx="18">
                  <c:v>0.56140350877192979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E5-4199-998E-EA80605E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959-4A97-898D-A93D052F9F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9-4A97-898D-A93D052F9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959-4A97-898D-A93D052F9F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59-4A97-898D-A93D052F9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2">
                  <c:v>2365</c:v>
                </c:pt>
                <c:pt idx="3">
                  <c:v>1953</c:v>
                </c:pt>
                <c:pt idx="4">
                  <c:v>567</c:v>
                </c:pt>
                <c:pt idx="5">
                  <c:v>2482</c:v>
                </c:pt>
                <c:pt idx="6">
                  <c:v>2021</c:v>
                </c:pt>
                <c:pt idx="7">
                  <c:v>7347</c:v>
                </c:pt>
                <c:pt idx="11">
                  <c:v>4860</c:v>
                </c:pt>
                <c:pt idx="12">
                  <c:v>5998</c:v>
                </c:pt>
                <c:pt idx="13">
                  <c:v>2292</c:v>
                </c:pt>
                <c:pt idx="14">
                  <c:v>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3-4E8E-961B-3288243B232D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6548</c:v>
                </c:pt>
                <c:pt idx="1">
                  <c:v>3491</c:v>
                </c:pt>
                <c:pt idx="2">
                  <c:v>2365</c:v>
                </c:pt>
                <c:pt idx="3">
                  <c:v>1953</c:v>
                </c:pt>
                <c:pt idx="4">
                  <c:v>567</c:v>
                </c:pt>
                <c:pt idx="5">
                  <c:v>2482</c:v>
                </c:pt>
                <c:pt idx="6">
                  <c:v>2754</c:v>
                </c:pt>
                <c:pt idx="7">
                  <c:v>7347</c:v>
                </c:pt>
                <c:pt idx="8">
                  <c:v>350</c:v>
                </c:pt>
                <c:pt idx="9">
                  <c:v>870</c:v>
                </c:pt>
                <c:pt idx="10">
                  <c:v>9596</c:v>
                </c:pt>
                <c:pt idx="11">
                  <c:v>4860</c:v>
                </c:pt>
                <c:pt idx="12">
                  <c:v>5998</c:v>
                </c:pt>
                <c:pt idx="13">
                  <c:v>2292</c:v>
                </c:pt>
                <c:pt idx="14">
                  <c:v>2079</c:v>
                </c:pt>
                <c:pt idx="15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33-4E8E-961B-3288243B2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42%</c:v>
                </c:pt>
                <c:pt idx="4">
                  <c:v>17%</c:v>
                </c:pt>
                <c:pt idx="5">
                  <c:v>42%</c:v>
                </c:pt>
                <c:pt idx="6">
                  <c:v>31%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42%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0.16666666666666666</c:v>
                </c:pt>
                <c:pt idx="5">
                  <c:v>0.41666666666666669</c:v>
                </c:pt>
                <c:pt idx="6">
                  <c:v>0.30576736867586546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6-4681-84EA-F49D3D7AB55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66-4681-84EA-F49D3D7AB5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0.23786046054224155</c:v>
                </c:pt>
                <c:pt idx="1">
                  <c:v>0.23786046054224155</c:v>
                </c:pt>
                <c:pt idx="2">
                  <c:v>0.23786046054224155</c:v>
                </c:pt>
                <c:pt idx="3">
                  <c:v>0.23786046054224155</c:v>
                </c:pt>
                <c:pt idx="4">
                  <c:v>0.23786046054224155</c:v>
                </c:pt>
                <c:pt idx="5">
                  <c:v>0.23786046054224155</c:v>
                </c:pt>
                <c:pt idx="6">
                  <c:v>0.23786046054224155</c:v>
                </c:pt>
                <c:pt idx="7">
                  <c:v>0.23786046054224155</c:v>
                </c:pt>
                <c:pt idx="8">
                  <c:v>0.23786046054224155</c:v>
                </c:pt>
                <c:pt idx="9">
                  <c:v>0.23786046054224155</c:v>
                </c:pt>
                <c:pt idx="10">
                  <c:v>0.23786046054224155</c:v>
                </c:pt>
                <c:pt idx="11">
                  <c:v>0.23786046054224155</c:v>
                </c:pt>
                <c:pt idx="12">
                  <c:v>0.23786046054224155</c:v>
                </c:pt>
                <c:pt idx="13">
                  <c:v>0.23786046054224155</c:v>
                </c:pt>
                <c:pt idx="14">
                  <c:v>0.23786046054224155</c:v>
                </c:pt>
                <c:pt idx="15">
                  <c:v>0.23786046054224155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6-4681-84EA-F49D3D7A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2">
                  <c:v>2365</c:v>
                </c:pt>
                <c:pt idx="3">
                  <c:v>1953</c:v>
                </c:pt>
                <c:pt idx="4">
                  <c:v>567</c:v>
                </c:pt>
                <c:pt idx="5">
                  <c:v>2482</c:v>
                </c:pt>
                <c:pt idx="6">
                  <c:v>2021</c:v>
                </c:pt>
                <c:pt idx="7">
                  <c:v>7347</c:v>
                </c:pt>
                <c:pt idx="11">
                  <c:v>4860</c:v>
                </c:pt>
                <c:pt idx="12">
                  <c:v>5998</c:v>
                </c:pt>
                <c:pt idx="13">
                  <c:v>2292</c:v>
                </c:pt>
                <c:pt idx="14">
                  <c:v>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3-4D26-83FA-F793F7AB501C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6548</c:v>
                </c:pt>
                <c:pt idx="1">
                  <c:v>3491</c:v>
                </c:pt>
                <c:pt idx="2">
                  <c:v>2365</c:v>
                </c:pt>
                <c:pt idx="3">
                  <c:v>1953</c:v>
                </c:pt>
                <c:pt idx="4">
                  <c:v>567</c:v>
                </c:pt>
                <c:pt idx="5">
                  <c:v>2482</c:v>
                </c:pt>
                <c:pt idx="6">
                  <c:v>2754</c:v>
                </c:pt>
                <c:pt idx="7">
                  <c:v>7347</c:v>
                </c:pt>
                <c:pt idx="8">
                  <c:v>350</c:v>
                </c:pt>
                <c:pt idx="9">
                  <c:v>870</c:v>
                </c:pt>
                <c:pt idx="10">
                  <c:v>9596</c:v>
                </c:pt>
                <c:pt idx="11">
                  <c:v>4860</c:v>
                </c:pt>
                <c:pt idx="12">
                  <c:v>5998</c:v>
                </c:pt>
                <c:pt idx="13">
                  <c:v>2292</c:v>
                </c:pt>
                <c:pt idx="14">
                  <c:v>2079</c:v>
                </c:pt>
                <c:pt idx="15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73-4D26-83FA-F793F7AB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42%</c:v>
                </c:pt>
                <c:pt idx="4">
                  <c:v>17%</c:v>
                </c:pt>
                <c:pt idx="5">
                  <c:v>42%</c:v>
                </c:pt>
                <c:pt idx="6">
                  <c:v>31%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42%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0.16666666666666666</c:v>
                </c:pt>
                <c:pt idx="5">
                  <c:v>0.41666666666666669</c:v>
                </c:pt>
                <c:pt idx="6">
                  <c:v>0.30576736867586546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C-4552-935F-06CC0F5D96C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1C-4552-935F-06CC0F5D96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4">
                  <c:v>COVER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0.23786046054224155</c:v>
                </c:pt>
                <c:pt idx="1">
                  <c:v>0.23786046054224155</c:v>
                </c:pt>
                <c:pt idx="2">
                  <c:v>0.23786046054224155</c:v>
                </c:pt>
                <c:pt idx="3">
                  <c:v>0.23786046054224155</c:v>
                </c:pt>
                <c:pt idx="4">
                  <c:v>0.23786046054224155</c:v>
                </c:pt>
                <c:pt idx="5">
                  <c:v>0.23786046054224155</c:v>
                </c:pt>
                <c:pt idx="6">
                  <c:v>0.23786046054224155</c:v>
                </c:pt>
                <c:pt idx="7">
                  <c:v>0.23786046054224155</c:v>
                </c:pt>
                <c:pt idx="8">
                  <c:v>0.23786046054224155</c:v>
                </c:pt>
                <c:pt idx="9">
                  <c:v>0.23786046054224155</c:v>
                </c:pt>
                <c:pt idx="10">
                  <c:v>0.23786046054224155</c:v>
                </c:pt>
                <c:pt idx="11">
                  <c:v>0.23786046054224155</c:v>
                </c:pt>
                <c:pt idx="12">
                  <c:v>0.23786046054224155</c:v>
                </c:pt>
                <c:pt idx="13">
                  <c:v>0.23786046054224155</c:v>
                </c:pt>
                <c:pt idx="14">
                  <c:v>0.23786046054224155</c:v>
                </c:pt>
                <c:pt idx="15">
                  <c:v>0.23786046054224155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C-4552-935F-06CC0F5D9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E25-45E0-BB22-E89CF586D9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5-45E0-BB22-E89CF586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25-45E0-BB22-E89CF586D9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25-45E0-BB22-E89CF586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2">
                  <c:v>5265</c:v>
                </c:pt>
                <c:pt idx="4">
                  <c:v>9854</c:v>
                </c:pt>
                <c:pt idx="5">
                  <c:v>5527</c:v>
                </c:pt>
                <c:pt idx="6">
                  <c:v>4976</c:v>
                </c:pt>
                <c:pt idx="7">
                  <c:v>1326</c:v>
                </c:pt>
                <c:pt idx="8">
                  <c:v>11064</c:v>
                </c:pt>
                <c:pt idx="10">
                  <c:v>4000</c:v>
                </c:pt>
                <c:pt idx="12">
                  <c:v>8048</c:v>
                </c:pt>
                <c:pt idx="13">
                  <c:v>13826</c:v>
                </c:pt>
                <c:pt idx="14">
                  <c:v>517</c:v>
                </c:pt>
                <c:pt idx="15">
                  <c:v>5343</c:v>
                </c:pt>
                <c:pt idx="16">
                  <c:v>31140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4-4340-9E59-D926C6865760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6548</c:v>
                </c:pt>
                <c:pt idx="1">
                  <c:v>3491</c:v>
                </c:pt>
                <c:pt idx="2">
                  <c:v>5265</c:v>
                </c:pt>
                <c:pt idx="3">
                  <c:v>1953</c:v>
                </c:pt>
                <c:pt idx="4">
                  <c:v>9854</c:v>
                </c:pt>
                <c:pt idx="5">
                  <c:v>5527</c:v>
                </c:pt>
                <c:pt idx="6">
                  <c:v>4976</c:v>
                </c:pt>
                <c:pt idx="7">
                  <c:v>7347</c:v>
                </c:pt>
                <c:pt idx="8">
                  <c:v>11064</c:v>
                </c:pt>
                <c:pt idx="9">
                  <c:v>350</c:v>
                </c:pt>
                <c:pt idx="10">
                  <c:v>4000</c:v>
                </c:pt>
                <c:pt idx="11">
                  <c:v>9596</c:v>
                </c:pt>
                <c:pt idx="12">
                  <c:v>8048</c:v>
                </c:pt>
                <c:pt idx="13">
                  <c:v>13826</c:v>
                </c:pt>
                <c:pt idx="14">
                  <c:v>517</c:v>
                </c:pt>
                <c:pt idx="15">
                  <c:v>5343</c:v>
                </c:pt>
                <c:pt idx="16">
                  <c:v>31140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4-4340-9E59-D926C6865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96%</c:v>
                </c:pt>
                <c:pt idx="5">
                  <c:v>100%</c:v>
                </c:pt>
                <c:pt idx="6">
                  <c:v>100%</c:v>
                </c:pt>
                <c:pt idx="7">
                  <c:v>3%</c:v>
                </c:pt>
                <c:pt idx="8">
                  <c:v>63%</c:v>
                </c:pt>
                <c:pt idx="9">
                  <c:v>0%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100%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0.95833333333333337</c:v>
                </c:pt>
                <c:pt idx="5">
                  <c:v>1</c:v>
                </c:pt>
                <c:pt idx="6">
                  <c:v>1</c:v>
                </c:pt>
                <c:pt idx="7">
                  <c:v>3.0080304886348167E-2</c:v>
                </c:pt>
                <c:pt idx="8">
                  <c:v>0.625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D-4A07-9B7F-98798170F2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FD-4A07-9B7F-98798170F2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0.49686746891488315</c:v>
                </c:pt>
                <c:pt idx="1">
                  <c:v>0.49686746891488315</c:v>
                </c:pt>
                <c:pt idx="2">
                  <c:v>0.49686746891488315</c:v>
                </c:pt>
                <c:pt idx="3">
                  <c:v>0.49686746891488315</c:v>
                </c:pt>
                <c:pt idx="4">
                  <c:v>0.49686746891488315</c:v>
                </c:pt>
                <c:pt idx="5">
                  <c:v>0.49686746891488315</c:v>
                </c:pt>
                <c:pt idx="6">
                  <c:v>0.49686746891488315</c:v>
                </c:pt>
                <c:pt idx="7">
                  <c:v>0.49686746891488315</c:v>
                </c:pt>
                <c:pt idx="8">
                  <c:v>0.49686746891488315</c:v>
                </c:pt>
                <c:pt idx="9">
                  <c:v>0.49686746891488315</c:v>
                </c:pt>
                <c:pt idx="10">
                  <c:v>0.49686746891488315</c:v>
                </c:pt>
                <c:pt idx="11">
                  <c:v>0.49686746891488315</c:v>
                </c:pt>
                <c:pt idx="12">
                  <c:v>0.49686746891488315</c:v>
                </c:pt>
                <c:pt idx="13">
                  <c:v>0.49686746891488315</c:v>
                </c:pt>
                <c:pt idx="14">
                  <c:v>0.49686746891488315</c:v>
                </c:pt>
                <c:pt idx="15">
                  <c:v>0.49686746891488315</c:v>
                </c:pt>
                <c:pt idx="16">
                  <c:v>0.49686746891488315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D-4A07-9B7F-98798170F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2">
                  <c:v>5265</c:v>
                </c:pt>
                <c:pt idx="4">
                  <c:v>9854</c:v>
                </c:pt>
                <c:pt idx="5">
                  <c:v>5527</c:v>
                </c:pt>
                <c:pt idx="6">
                  <c:v>4976</c:v>
                </c:pt>
                <c:pt idx="7">
                  <c:v>1326</c:v>
                </c:pt>
                <c:pt idx="8">
                  <c:v>11064</c:v>
                </c:pt>
                <c:pt idx="10">
                  <c:v>4000</c:v>
                </c:pt>
                <c:pt idx="12">
                  <c:v>8048</c:v>
                </c:pt>
                <c:pt idx="13">
                  <c:v>13826</c:v>
                </c:pt>
                <c:pt idx="14">
                  <c:v>517</c:v>
                </c:pt>
                <c:pt idx="15">
                  <c:v>5343</c:v>
                </c:pt>
                <c:pt idx="16">
                  <c:v>31140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A-4601-BE9A-8DD5F369FCF0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6548</c:v>
                </c:pt>
                <c:pt idx="1">
                  <c:v>3491</c:v>
                </c:pt>
                <c:pt idx="2">
                  <c:v>5265</c:v>
                </c:pt>
                <c:pt idx="3">
                  <c:v>1953</c:v>
                </c:pt>
                <c:pt idx="4">
                  <c:v>9854</c:v>
                </c:pt>
                <c:pt idx="5">
                  <c:v>5527</c:v>
                </c:pt>
                <c:pt idx="6">
                  <c:v>4976</c:v>
                </c:pt>
                <c:pt idx="7">
                  <c:v>7347</c:v>
                </c:pt>
                <c:pt idx="8">
                  <c:v>11064</c:v>
                </c:pt>
                <c:pt idx="9">
                  <c:v>350</c:v>
                </c:pt>
                <c:pt idx="10">
                  <c:v>4000</c:v>
                </c:pt>
                <c:pt idx="11">
                  <c:v>9596</c:v>
                </c:pt>
                <c:pt idx="12">
                  <c:v>8048</c:v>
                </c:pt>
                <c:pt idx="13">
                  <c:v>13826</c:v>
                </c:pt>
                <c:pt idx="14">
                  <c:v>517</c:v>
                </c:pt>
                <c:pt idx="15">
                  <c:v>5343</c:v>
                </c:pt>
                <c:pt idx="16">
                  <c:v>31140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A-4601-BE9A-8DD5F369F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96%</c:v>
                </c:pt>
                <c:pt idx="5">
                  <c:v>100%</c:v>
                </c:pt>
                <c:pt idx="6">
                  <c:v>100%</c:v>
                </c:pt>
                <c:pt idx="7">
                  <c:v>3%</c:v>
                </c:pt>
                <c:pt idx="8">
                  <c:v>63%</c:v>
                </c:pt>
                <c:pt idx="9">
                  <c:v>0%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100%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0.95833333333333337</c:v>
                </c:pt>
                <c:pt idx="5">
                  <c:v>1</c:v>
                </c:pt>
                <c:pt idx="6">
                  <c:v>1</c:v>
                </c:pt>
                <c:pt idx="7">
                  <c:v>3.0080304886348167E-2</c:v>
                </c:pt>
                <c:pt idx="8">
                  <c:v>0.625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E-4295-8136-F116C89353E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3E-4295-8136-F116C89353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ACTUATOR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LATCH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0.49686746891488315</c:v>
                </c:pt>
                <c:pt idx="1">
                  <c:v>0.49686746891488315</c:v>
                </c:pt>
                <c:pt idx="2">
                  <c:v>0.49686746891488315</c:v>
                </c:pt>
                <c:pt idx="3">
                  <c:v>0.49686746891488315</c:v>
                </c:pt>
                <c:pt idx="4">
                  <c:v>0.49686746891488315</c:v>
                </c:pt>
                <c:pt idx="5">
                  <c:v>0.49686746891488315</c:v>
                </c:pt>
                <c:pt idx="6">
                  <c:v>0.49686746891488315</c:v>
                </c:pt>
                <c:pt idx="7">
                  <c:v>0.49686746891488315</c:v>
                </c:pt>
                <c:pt idx="8">
                  <c:v>0.49686746891488315</c:v>
                </c:pt>
                <c:pt idx="9">
                  <c:v>0.49686746891488315</c:v>
                </c:pt>
                <c:pt idx="10">
                  <c:v>0.49686746891488315</c:v>
                </c:pt>
                <c:pt idx="11">
                  <c:v>0.49686746891488315</c:v>
                </c:pt>
                <c:pt idx="12">
                  <c:v>0.49686746891488315</c:v>
                </c:pt>
                <c:pt idx="13">
                  <c:v>0.49686746891488315</c:v>
                </c:pt>
                <c:pt idx="14">
                  <c:v>0.49686746891488315</c:v>
                </c:pt>
                <c:pt idx="15">
                  <c:v>0.49686746891488315</c:v>
                </c:pt>
                <c:pt idx="16">
                  <c:v>0.49686746891488315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3E-4295-8136-F116C8935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6F1-48DA-8E1B-D691BFCF24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1-48DA-8E1B-D691BFCF2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F1-48DA-8E1B-D691BFCF24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1-48DA-8E1B-D691BFCF2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2">
                  <c:v>4409</c:v>
                </c:pt>
                <c:pt idx="3">
                  <c:v>10000</c:v>
                </c:pt>
                <c:pt idx="4">
                  <c:v>7338</c:v>
                </c:pt>
                <c:pt idx="5">
                  <c:v>5542</c:v>
                </c:pt>
                <c:pt idx="6">
                  <c:v>4190</c:v>
                </c:pt>
                <c:pt idx="7">
                  <c:v>8092</c:v>
                </c:pt>
                <c:pt idx="11">
                  <c:v>5796</c:v>
                </c:pt>
                <c:pt idx="12">
                  <c:v>19272</c:v>
                </c:pt>
                <c:pt idx="13">
                  <c:v>5076</c:v>
                </c:pt>
                <c:pt idx="15">
                  <c:v>5450</c:v>
                </c:pt>
                <c:pt idx="16">
                  <c:v>68844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A-4254-B958-EF265E83F09D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6548</c:v>
                </c:pt>
                <c:pt idx="1">
                  <c:v>3491</c:v>
                </c:pt>
                <c:pt idx="2">
                  <c:v>4409</c:v>
                </c:pt>
                <c:pt idx="3">
                  <c:v>10000</c:v>
                </c:pt>
                <c:pt idx="4">
                  <c:v>7338</c:v>
                </c:pt>
                <c:pt idx="5">
                  <c:v>5542</c:v>
                </c:pt>
                <c:pt idx="6">
                  <c:v>4190</c:v>
                </c:pt>
                <c:pt idx="7">
                  <c:v>8092</c:v>
                </c:pt>
                <c:pt idx="8">
                  <c:v>11064</c:v>
                </c:pt>
                <c:pt idx="9">
                  <c:v>350</c:v>
                </c:pt>
                <c:pt idx="10">
                  <c:v>4000</c:v>
                </c:pt>
                <c:pt idx="11">
                  <c:v>5796</c:v>
                </c:pt>
                <c:pt idx="12">
                  <c:v>19272</c:v>
                </c:pt>
                <c:pt idx="13">
                  <c:v>5076</c:v>
                </c:pt>
                <c:pt idx="14">
                  <c:v>517</c:v>
                </c:pt>
                <c:pt idx="15">
                  <c:v>5450</c:v>
                </c:pt>
                <c:pt idx="16">
                  <c:v>68844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A-4254-B958-EF265E83F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25%</c:v>
                </c:pt>
                <c:pt idx="4">
                  <c:v>79%</c:v>
                </c:pt>
                <c:pt idx="5">
                  <c:v>100%</c:v>
                </c:pt>
                <c:pt idx="6">
                  <c:v>92%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92%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0.25</c:v>
                </c:pt>
                <c:pt idx="4">
                  <c:v>0.79166666666666663</c:v>
                </c:pt>
                <c:pt idx="5">
                  <c:v>1</c:v>
                </c:pt>
                <c:pt idx="6">
                  <c:v>0.91666666666666663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0.91666666666666663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B-4937-9EE5-8A669D13FEC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EB-4937-9EE5-8A669D13FEC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0.49509803921568635</c:v>
                </c:pt>
                <c:pt idx="1">
                  <c:v>0.49509803921568635</c:v>
                </c:pt>
                <c:pt idx="2">
                  <c:v>0.49509803921568635</c:v>
                </c:pt>
                <c:pt idx="3">
                  <c:v>0.49509803921568635</c:v>
                </c:pt>
                <c:pt idx="4">
                  <c:v>0.49509803921568635</c:v>
                </c:pt>
                <c:pt idx="5">
                  <c:v>0.49509803921568635</c:v>
                </c:pt>
                <c:pt idx="6">
                  <c:v>0.49509803921568635</c:v>
                </c:pt>
                <c:pt idx="7">
                  <c:v>0.49509803921568635</c:v>
                </c:pt>
                <c:pt idx="8">
                  <c:v>0.49509803921568635</c:v>
                </c:pt>
                <c:pt idx="9">
                  <c:v>0.49509803921568635</c:v>
                </c:pt>
                <c:pt idx="10">
                  <c:v>0.49509803921568635</c:v>
                </c:pt>
                <c:pt idx="11">
                  <c:v>0.49509803921568635</c:v>
                </c:pt>
                <c:pt idx="12">
                  <c:v>0.49509803921568635</c:v>
                </c:pt>
                <c:pt idx="13">
                  <c:v>0.49509803921568635</c:v>
                </c:pt>
                <c:pt idx="14">
                  <c:v>0.49509803921568635</c:v>
                </c:pt>
                <c:pt idx="15">
                  <c:v>0.49509803921568635</c:v>
                </c:pt>
                <c:pt idx="16">
                  <c:v>0.49509803921568635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B-4937-9EE5-8A669D13F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2">
                  <c:v>4409</c:v>
                </c:pt>
                <c:pt idx="3">
                  <c:v>10000</c:v>
                </c:pt>
                <c:pt idx="4">
                  <c:v>7338</c:v>
                </c:pt>
                <c:pt idx="5">
                  <c:v>5542</c:v>
                </c:pt>
                <c:pt idx="6">
                  <c:v>4190</c:v>
                </c:pt>
                <c:pt idx="7">
                  <c:v>8092</c:v>
                </c:pt>
                <c:pt idx="11">
                  <c:v>5796</c:v>
                </c:pt>
                <c:pt idx="12">
                  <c:v>19272</c:v>
                </c:pt>
                <c:pt idx="13">
                  <c:v>5076</c:v>
                </c:pt>
                <c:pt idx="15">
                  <c:v>5450</c:v>
                </c:pt>
                <c:pt idx="16">
                  <c:v>68844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AD-46CF-BD00-E06851ED55AE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6548</c:v>
                </c:pt>
                <c:pt idx="1">
                  <c:v>3491</c:v>
                </c:pt>
                <c:pt idx="2">
                  <c:v>4409</c:v>
                </c:pt>
                <c:pt idx="3">
                  <c:v>10000</c:v>
                </c:pt>
                <c:pt idx="4">
                  <c:v>7338</c:v>
                </c:pt>
                <c:pt idx="5">
                  <c:v>5542</c:v>
                </c:pt>
                <c:pt idx="6">
                  <c:v>4190</c:v>
                </c:pt>
                <c:pt idx="7">
                  <c:v>8092</c:v>
                </c:pt>
                <c:pt idx="8">
                  <c:v>11064</c:v>
                </c:pt>
                <c:pt idx="9">
                  <c:v>350</c:v>
                </c:pt>
                <c:pt idx="10">
                  <c:v>4000</c:v>
                </c:pt>
                <c:pt idx="11">
                  <c:v>5796</c:v>
                </c:pt>
                <c:pt idx="12">
                  <c:v>19272</c:v>
                </c:pt>
                <c:pt idx="13">
                  <c:v>5076</c:v>
                </c:pt>
                <c:pt idx="14">
                  <c:v>517</c:v>
                </c:pt>
                <c:pt idx="15">
                  <c:v>5450</c:v>
                </c:pt>
                <c:pt idx="16">
                  <c:v>68844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AD-46CF-BD00-E06851ED5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25%</c:v>
                </c:pt>
                <c:pt idx="4">
                  <c:v>79%</c:v>
                </c:pt>
                <c:pt idx="5">
                  <c:v>100%</c:v>
                </c:pt>
                <c:pt idx="6">
                  <c:v>92%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92%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0.25</c:v>
                </c:pt>
                <c:pt idx="4">
                  <c:v>0.79166666666666663</c:v>
                </c:pt>
                <c:pt idx="5">
                  <c:v>1</c:v>
                </c:pt>
                <c:pt idx="6">
                  <c:v>0.91666666666666663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0.91666666666666663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C-4951-A231-16E067AF2EB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0C-4951-A231-16E067AF2E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0.49509803921568635</c:v>
                </c:pt>
                <c:pt idx="1">
                  <c:v>0.49509803921568635</c:v>
                </c:pt>
                <c:pt idx="2">
                  <c:v>0.49509803921568635</c:v>
                </c:pt>
                <c:pt idx="3">
                  <c:v>0.49509803921568635</c:v>
                </c:pt>
                <c:pt idx="4">
                  <c:v>0.49509803921568635</c:v>
                </c:pt>
                <c:pt idx="5">
                  <c:v>0.49509803921568635</c:v>
                </c:pt>
                <c:pt idx="6">
                  <c:v>0.49509803921568635</c:v>
                </c:pt>
                <c:pt idx="7">
                  <c:v>0.49509803921568635</c:v>
                </c:pt>
                <c:pt idx="8">
                  <c:v>0.49509803921568635</c:v>
                </c:pt>
                <c:pt idx="9">
                  <c:v>0.49509803921568635</c:v>
                </c:pt>
                <c:pt idx="10">
                  <c:v>0.49509803921568635</c:v>
                </c:pt>
                <c:pt idx="11">
                  <c:v>0.49509803921568635</c:v>
                </c:pt>
                <c:pt idx="12">
                  <c:v>0.49509803921568635</c:v>
                </c:pt>
                <c:pt idx="13">
                  <c:v>0.49509803921568635</c:v>
                </c:pt>
                <c:pt idx="14">
                  <c:v>0.49509803921568635</c:v>
                </c:pt>
                <c:pt idx="15">
                  <c:v>0.49509803921568635</c:v>
                </c:pt>
                <c:pt idx="16">
                  <c:v>0.49509803921568635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C-4951-A231-16E067AF2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D3A-4EBB-843F-5056DD07FB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3A-4EBB-843F-5056DD07F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3A-4EBB-843F-5056DD07FB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3A-4EBB-843F-5056DD07F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12197</c:v>
                </c:pt>
                <c:pt idx="2">
                  <c:v>4411</c:v>
                </c:pt>
                <c:pt idx="4">
                  <c:v>4275</c:v>
                </c:pt>
                <c:pt idx="5">
                  <c:v>10000</c:v>
                </c:pt>
                <c:pt idx="6">
                  <c:v>4604</c:v>
                </c:pt>
                <c:pt idx="9">
                  <c:v>2824</c:v>
                </c:pt>
                <c:pt idx="10">
                  <c:v>2740</c:v>
                </c:pt>
                <c:pt idx="11">
                  <c:v>21812</c:v>
                </c:pt>
                <c:pt idx="12">
                  <c:v>5794</c:v>
                </c:pt>
                <c:pt idx="13">
                  <c:v>12212</c:v>
                </c:pt>
                <c:pt idx="14">
                  <c:v>440</c:v>
                </c:pt>
                <c:pt idx="15">
                  <c:v>45656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6-45C9-BDFE-CE3B8BD6B6C1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12197</c:v>
                </c:pt>
                <c:pt idx="1">
                  <c:v>3491</c:v>
                </c:pt>
                <c:pt idx="2">
                  <c:v>4411</c:v>
                </c:pt>
                <c:pt idx="3">
                  <c:v>10000</c:v>
                </c:pt>
                <c:pt idx="4">
                  <c:v>4275</c:v>
                </c:pt>
                <c:pt idx="5">
                  <c:v>10000</c:v>
                </c:pt>
                <c:pt idx="6">
                  <c:v>4604</c:v>
                </c:pt>
                <c:pt idx="7">
                  <c:v>8092</c:v>
                </c:pt>
                <c:pt idx="8">
                  <c:v>350</c:v>
                </c:pt>
                <c:pt idx="9">
                  <c:v>2824</c:v>
                </c:pt>
                <c:pt idx="10">
                  <c:v>2740</c:v>
                </c:pt>
                <c:pt idx="11">
                  <c:v>21812</c:v>
                </c:pt>
                <c:pt idx="12">
                  <c:v>5794</c:v>
                </c:pt>
                <c:pt idx="13">
                  <c:v>12212</c:v>
                </c:pt>
                <c:pt idx="14">
                  <c:v>440</c:v>
                </c:pt>
                <c:pt idx="15">
                  <c:v>45656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6-45C9-BDFE-CE3B8BD6B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75%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92%</c:v>
                </c:pt>
                <c:pt idx="5">
                  <c:v>42%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71%</c:v>
                </c:pt>
                <c:pt idx="10">
                  <c:v>17%</c:v>
                </c:pt>
                <c:pt idx="11">
                  <c:v>100%</c:v>
                </c:pt>
                <c:pt idx="12">
                  <c:v>100%</c:v>
                </c:pt>
                <c:pt idx="13">
                  <c:v>71%</c:v>
                </c:pt>
                <c:pt idx="14">
                  <c:v>13%</c:v>
                </c:pt>
                <c:pt idx="15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0.75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0.91666666666666663</c:v>
                </c:pt>
                <c:pt idx="5">
                  <c:v>0.41666666666666669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0.70833333333333337</c:v>
                </c:pt>
                <c:pt idx="10">
                  <c:v>0.16666666666666666</c:v>
                </c:pt>
                <c:pt idx="11">
                  <c:v>1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0.125</c:v>
                </c:pt>
                <c:pt idx="15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C4-473C-B819-F319E77E9F8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C4-473C-B819-F319E77E9F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0.53125</c:v>
                </c:pt>
                <c:pt idx="1">
                  <c:v>0.53125</c:v>
                </c:pt>
                <c:pt idx="2">
                  <c:v>0.53125</c:v>
                </c:pt>
                <c:pt idx="3">
                  <c:v>0.53125</c:v>
                </c:pt>
                <c:pt idx="4">
                  <c:v>0.53125</c:v>
                </c:pt>
                <c:pt idx="5">
                  <c:v>0.53125</c:v>
                </c:pt>
                <c:pt idx="6">
                  <c:v>0.53125</c:v>
                </c:pt>
                <c:pt idx="7">
                  <c:v>0.53125</c:v>
                </c:pt>
                <c:pt idx="8">
                  <c:v>0.53125</c:v>
                </c:pt>
                <c:pt idx="9">
                  <c:v>0.53125</c:v>
                </c:pt>
                <c:pt idx="10">
                  <c:v>0.53125</c:v>
                </c:pt>
                <c:pt idx="11">
                  <c:v>0.53125</c:v>
                </c:pt>
                <c:pt idx="12">
                  <c:v>0.53125</c:v>
                </c:pt>
                <c:pt idx="13">
                  <c:v>0.53125</c:v>
                </c:pt>
                <c:pt idx="14">
                  <c:v>0.53125</c:v>
                </c:pt>
                <c:pt idx="15">
                  <c:v>0.53125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C4-473C-B819-F319E77E9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12197</c:v>
                </c:pt>
                <c:pt idx="2">
                  <c:v>4411</c:v>
                </c:pt>
                <c:pt idx="4">
                  <c:v>4275</c:v>
                </c:pt>
                <c:pt idx="5">
                  <c:v>10000</c:v>
                </c:pt>
                <c:pt idx="6">
                  <c:v>4604</c:v>
                </c:pt>
                <c:pt idx="9">
                  <c:v>2824</c:v>
                </c:pt>
                <c:pt idx="10">
                  <c:v>2740</c:v>
                </c:pt>
                <c:pt idx="11">
                  <c:v>21812</c:v>
                </c:pt>
                <c:pt idx="12">
                  <c:v>5794</c:v>
                </c:pt>
                <c:pt idx="13">
                  <c:v>12212</c:v>
                </c:pt>
                <c:pt idx="14">
                  <c:v>440</c:v>
                </c:pt>
                <c:pt idx="15">
                  <c:v>45656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0-4448-86F4-E3AC509E69CA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12197</c:v>
                </c:pt>
                <c:pt idx="1">
                  <c:v>3491</c:v>
                </c:pt>
                <c:pt idx="2">
                  <c:v>4411</c:v>
                </c:pt>
                <c:pt idx="3">
                  <c:v>10000</c:v>
                </c:pt>
                <c:pt idx="4">
                  <c:v>4275</c:v>
                </c:pt>
                <c:pt idx="5">
                  <c:v>10000</c:v>
                </c:pt>
                <c:pt idx="6">
                  <c:v>4604</c:v>
                </c:pt>
                <c:pt idx="7">
                  <c:v>8092</c:v>
                </c:pt>
                <c:pt idx="8">
                  <c:v>350</c:v>
                </c:pt>
                <c:pt idx="9">
                  <c:v>2824</c:v>
                </c:pt>
                <c:pt idx="10">
                  <c:v>2740</c:v>
                </c:pt>
                <c:pt idx="11">
                  <c:v>21812</c:v>
                </c:pt>
                <c:pt idx="12">
                  <c:v>5794</c:v>
                </c:pt>
                <c:pt idx="13">
                  <c:v>12212</c:v>
                </c:pt>
                <c:pt idx="14">
                  <c:v>440</c:v>
                </c:pt>
                <c:pt idx="15">
                  <c:v>45656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0-4448-86F4-E3AC509E6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75%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92%</c:v>
                </c:pt>
                <c:pt idx="5">
                  <c:v>42%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71%</c:v>
                </c:pt>
                <c:pt idx="10">
                  <c:v>17%</c:v>
                </c:pt>
                <c:pt idx="11">
                  <c:v>100%</c:v>
                </c:pt>
                <c:pt idx="12">
                  <c:v>100%</c:v>
                </c:pt>
                <c:pt idx="13">
                  <c:v>71%</c:v>
                </c:pt>
                <c:pt idx="14">
                  <c:v>13%</c:v>
                </c:pt>
                <c:pt idx="15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0.75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0.91666666666666663</c:v>
                </c:pt>
                <c:pt idx="5">
                  <c:v>0.41666666666666669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0.70833333333333337</c:v>
                </c:pt>
                <c:pt idx="10">
                  <c:v>0.16666666666666666</c:v>
                </c:pt>
                <c:pt idx="11">
                  <c:v>1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0.125</c:v>
                </c:pt>
                <c:pt idx="15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F-489F-B532-3F221E2C1E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DF-489F-B532-3F221E2C1E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SHAFT</c:v>
                </c:pt>
                <c:pt idx="5">
                  <c:v>SHAFT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0.53125</c:v>
                </c:pt>
                <c:pt idx="1">
                  <c:v>0.53125</c:v>
                </c:pt>
                <c:pt idx="2">
                  <c:v>0.53125</c:v>
                </c:pt>
                <c:pt idx="3">
                  <c:v>0.53125</c:v>
                </c:pt>
                <c:pt idx="4">
                  <c:v>0.53125</c:v>
                </c:pt>
                <c:pt idx="5">
                  <c:v>0.53125</c:v>
                </c:pt>
                <c:pt idx="6">
                  <c:v>0.53125</c:v>
                </c:pt>
                <c:pt idx="7">
                  <c:v>0.53125</c:v>
                </c:pt>
                <c:pt idx="8">
                  <c:v>0.53125</c:v>
                </c:pt>
                <c:pt idx="9">
                  <c:v>0.53125</c:v>
                </c:pt>
                <c:pt idx="10">
                  <c:v>0.53125</c:v>
                </c:pt>
                <c:pt idx="11">
                  <c:v>0.53125</c:v>
                </c:pt>
                <c:pt idx="12">
                  <c:v>0.53125</c:v>
                </c:pt>
                <c:pt idx="13">
                  <c:v>0.53125</c:v>
                </c:pt>
                <c:pt idx="14">
                  <c:v>0.53125</c:v>
                </c:pt>
                <c:pt idx="15">
                  <c:v>0.53125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DF-489F-B532-3F221E2C1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2B9-4FFE-A6AB-DDEE318703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9-4FFE-A6AB-DDEE31870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B9-4FFE-A6AB-DDEE318703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B9-4FFE-A6AB-DDEE31870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23044</c:v>
                </c:pt>
                <c:pt idx="3">
                  <c:v>1109</c:v>
                </c:pt>
                <c:pt idx="4">
                  <c:v>2816</c:v>
                </c:pt>
                <c:pt idx="5">
                  <c:v>0</c:v>
                </c:pt>
                <c:pt idx="6">
                  <c:v>12384</c:v>
                </c:pt>
                <c:pt idx="7">
                  <c:v>4480</c:v>
                </c:pt>
                <c:pt idx="8">
                  <c:v>3348</c:v>
                </c:pt>
                <c:pt idx="12">
                  <c:v>22172</c:v>
                </c:pt>
                <c:pt idx="13">
                  <c:v>5275</c:v>
                </c:pt>
                <c:pt idx="14">
                  <c:v>20232</c:v>
                </c:pt>
                <c:pt idx="15">
                  <c:v>2090</c:v>
                </c:pt>
                <c:pt idx="16">
                  <c:v>37140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E-45BC-AE4C-B746E4E00296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23044</c:v>
                </c:pt>
                <c:pt idx="1">
                  <c:v>3491</c:v>
                </c:pt>
                <c:pt idx="2">
                  <c:v>4411</c:v>
                </c:pt>
                <c:pt idx="3">
                  <c:v>1109</c:v>
                </c:pt>
                <c:pt idx="4">
                  <c:v>2816</c:v>
                </c:pt>
                <c:pt idx="5">
                  <c:v>2816</c:v>
                </c:pt>
                <c:pt idx="6">
                  <c:v>12384</c:v>
                </c:pt>
                <c:pt idx="7">
                  <c:v>4480</c:v>
                </c:pt>
                <c:pt idx="8">
                  <c:v>3348</c:v>
                </c:pt>
                <c:pt idx="9">
                  <c:v>350</c:v>
                </c:pt>
                <c:pt idx="10">
                  <c:v>2824</c:v>
                </c:pt>
                <c:pt idx="11">
                  <c:v>2740</c:v>
                </c:pt>
                <c:pt idx="12">
                  <c:v>22172</c:v>
                </c:pt>
                <c:pt idx="13">
                  <c:v>5275</c:v>
                </c:pt>
                <c:pt idx="14">
                  <c:v>20232</c:v>
                </c:pt>
                <c:pt idx="15">
                  <c:v>2090</c:v>
                </c:pt>
                <c:pt idx="16">
                  <c:v>37140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E-45BC-AE4C-B746E4E00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29%</c:v>
                </c:pt>
                <c:pt idx="4">
                  <c:v>38%</c:v>
                </c:pt>
                <c:pt idx="5">
                  <c:v>0%</c:v>
                </c:pt>
                <c:pt idx="6">
                  <c:v>75%</c:v>
                </c:pt>
                <c:pt idx="7">
                  <c:v>100%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46%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0.29166666666666669</c:v>
                </c:pt>
                <c:pt idx="4">
                  <c:v>0.375</c:v>
                </c:pt>
                <c:pt idx="5">
                  <c:v>0</c:v>
                </c:pt>
                <c:pt idx="6">
                  <c:v>0.75</c:v>
                </c:pt>
                <c:pt idx="7">
                  <c:v>1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0.45833333333333331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2-43B2-990F-BB361487B35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B2-43B2-990F-BB361487B3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0.47058823529411764</c:v>
                </c:pt>
                <c:pt idx="1">
                  <c:v>0.47058823529411764</c:v>
                </c:pt>
                <c:pt idx="2">
                  <c:v>0.47058823529411764</c:v>
                </c:pt>
                <c:pt idx="3">
                  <c:v>0.47058823529411764</c:v>
                </c:pt>
                <c:pt idx="4">
                  <c:v>0.47058823529411764</c:v>
                </c:pt>
                <c:pt idx="5">
                  <c:v>0.47058823529411764</c:v>
                </c:pt>
                <c:pt idx="6">
                  <c:v>0.47058823529411764</c:v>
                </c:pt>
                <c:pt idx="7">
                  <c:v>0.47058823529411764</c:v>
                </c:pt>
                <c:pt idx="8">
                  <c:v>0.47058823529411764</c:v>
                </c:pt>
                <c:pt idx="9">
                  <c:v>0.47058823529411764</c:v>
                </c:pt>
                <c:pt idx="10">
                  <c:v>0.47058823529411764</c:v>
                </c:pt>
                <c:pt idx="11">
                  <c:v>0.47058823529411764</c:v>
                </c:pt>
                <c:pt idx="12">
                  <c:v>0.47058823529411764</c:v>
                </c:pt>
                <c:pt idx="13">
                  <c:v>0.47058823529411764</c:v>
                </c:pt>
                <c:pt idx="14">
                  <c:v>0.47058823529411764</c:v>
                </c:pt>
                <c:pt idx="15">
                  <c:v>0.47058823529411764</c:v>
                </c:pt>
                <c:pt idx="16">
                  <c:v>0.47058823529411764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B2-43B2-990F-BB361487B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23044</c:v>
                </c:pt>
                <c:pt idx="3">
                  <c:v>1109</c:v>
                </c:pt>
                <c:pt idx="4">
                  <c:v>2816</c:v>
                </c:pt>
                <c:pt idx="5">
                  <c:v>0</c:v>
                </c:pt>
                <c:pt idx="6">
                  <c:v>12384</c:v>
                </c:pt>
                <c:pt idx="7">
                  <c:v>4480</c:v>
                </c:pt>
                <c:pt idx="8">
                  <c:v>3348</c:v>
                </c:pt>
                <c:pt idx="12">
                  <c:v>22172</c:v>
                </c:pt>
                <c:pt idx="13">
                  <c:v>5275</c:v>
                </c:pt>
                <c:pt idx="14">
                  <c:v>20232</c:v>
                </c:pt>
                <c:pt idx="15">
                  <c:v>2090</c:v>
                </c:pt>
                <c:pt idx="16">
                  <c:v>37140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8-4AA2-A8EA-4A60D25396C3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23044</c:v>
                </c:pt>
                <c:pt idx="1">
                  <c:v>3491</c:v>
                </c:pt>
                <c:pt idx="2">
                  <c:v>4411</c:v>
                </c:pt>
                <c:pt idx="3">
                  <c:v>1109</c:v>
                </c:pt>
                <c:pt idx="4">
                  <c:v>2816</c:v>
                </c:pt>
                <c:pt idx="5">
                  <c:v>2816</c:v>
                </c:pt>
                <c:pt idx="6">
                  <c:v>12384</c:v>
                </c:pt>
                <c:pt idx="7">
                  <c:v>4480</c:v>
                </c:pt>
                <c:pt idx="8">
                  <c:v>3348</c:v>
                </c:pt>
                <c:pt idx="9">
                  <c:v>350</c:v>
                </c:pt>
                <c:pt idx="10">
                  <c:v>2824</c:v>
                </c:pt>
                <c:pt idx="11">
                  <c:v>2740</c:v>
                </c:pt>
                <c:pt idx="12">
                  <c:v>22172</c:v>
                </c:pt>
                <c:pt idx="13">
                  <c:v>5275</c:v>
                </c:pt>
                <c:pt idx="14">
                  <c:v>20232</c:v>
                </c:pt>
                <c:pt idx="15">
                  <c:v>2090</c:v>
                </c:pt>
                <c:pt idx="16">
                  <c:v>37140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8-4AA2-A8EA-4A60D2539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29%</c:v>
                </c:pt>
                <c:pt idx="4">
                  <c:v>38%</c:v>
                </c:pt>
                <c:pt idx="5">
                  <c:v>0%</c:v>
                </c:pt>
                <c:pt idx="6">
                  <c:v>75%</c:v>
                </c:pt>
                <c:pt idx="7">
                  <c:v>100%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46%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0.29166666666666669</c:v>
                </c:pt>
                <c:pt idx="4">
                  <c:v>0.375</c:v>
                </c:pt>
                <c:pt idx="5">
                  <c:v>0</c:v>
                </c:pt>
                <c:pt idx="6">
                  <c:v>0.75</c:v>
                </c:pt>
                <c:pt idx="7">
                  <c:v>1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0.45833333333333331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3-4293-AEEC-64FB0A36F56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C3-4293-AEEC-64FB0A36F56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5">
                  <c:v>STOPPER</c:v>
                </c:pt>
                <c:pt idx="6">
                  <c:v>COVER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0.47058823529411764</c:v>
                </c:pt>
                <c:pt idx="1">
                  <c:v>0.47058823529411764</c:v>
                </c:pt>
                <c:pt idx="2">
                  <c:v>0.47058823529411764</c:v>
                </c:pt>
                <c:pt idx="3">
                  <c:v>0.47058823529411764</c:v>
                </c:pt>
                <c:pt idx="4">
                  <c:v>0.47058823529411764</c:v>
                </c:pt>
                <c:pt idx="5">
                  <c:v>0.47058823529411764</c:v>
                </c:pt>
                <c:pt idx="6">
                  <c:v>0.47058823529411764</c:v>
                </c:pt>
                <c:pt idx="7">
                  <c:v>0.47058823529411764</c:v>
                </c:pt>
                <c:pt idx="8">
                  <c:v>0.47058823529411764</c:v>
                </c:pt>
                <c:pt idx="9">
                  <c:v>0.47058823529411764</c:v>
                </c:pt>
                <c:pt idx="10">
                  <c:v>0.47058823529411764</c:v>
                </c:pt>
                <c:pt idx="11">
                  <c:v>0.47058823529411764</c:v>
                </c:pt>
                <c:pt idx="12">
                  <c:v>0.47058823529411764</c:v>
                </c:pt>
                <c:pt idx="13">
                  <c:v>0.47058823529411764</c:v>
                </c:pt>
                <c:pt idx="14">
                  <c:v>0.47058823529411764</c:v>
                </c:pt>
                <c:pt idx="15">
                  <c:v>0.47058823529411764</c:v>
                </c:pt>
                <c:pt idx="16">
                  <c:v>0.47058823529411764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C3-4293-AEEC-64FB0A36F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112-4D77-9869-2D9401750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2-4D77-9869-2D9401750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12-4D77-9869-2D94017501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12-4D77-9869-2D9401750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'27'!$L$6:$L$23</c:f>
              <c:numCache>
                <c:formatCode>_(* #,##0_);_(* \(#,##0\);_(* "-"_);_(@_)</c:formatCode>
                <c:ptCount val="18"/>
                <c:pt idx="3">
                  <c:v>1105</c:v>
                </c:pt>
                <c:pt idx="4">
                  <c:v>878</c:v>
                </c:pt>
                <c:pt idx="5">
                  <c:v>4104</c:v>
                </c:pt>
                <c:pt idx="6">
                  <c:v>18924</c:v>
                </c:pt>
                <c:pt idx="7">
                  <c:v>1316</c:v>
                </c:pt>
                <c:pt idx="8">
                  <c:v>803</c:v>
                </c:pt>
                <c:pt idx="9">
                  <c:v>1858</c:v>
                </c:pt>
                <c:pt idx="13">
                  <c:v>21128</c:v>
                </c:pt>
                <c:pt idx="14">
                  <c:v>8346</c:v>
                </c:pt>
                <c:pt idx="15">
                  <c:v>16256</c:v>
                </c:pt>
                <c:pt idx="16">
                  <c:v>4864</c:v>
                </c:pt>
                <c:pt idx="17">
                  <c:v>73976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6-44BE-B248-6FF507CCE2CD}"/>
            </c:ext>
          </c:extLst>
        </c:ser>
        <c:ser>
          <c:idx val="1"/>
          <c:order val="1"/>
          <c:tx>
            <c:v>계획</c:v>
          </c:tx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'27'!$J$6:$J$23</c:f>
              <c:numCache>
                <c:formatCode>_(* #,##0_);_(* \(#,##0\);_(* "-"_);_(@_)</c:formatCode>
                <c:ptCount val="18"/>
                <c:pt idx="0">
                  <c:v>23044</c:v>
                </c:pt>
                <c:pt idx="1">
                  <c:v>3491</c:v>
                </c:pt>
                <c:pt idx="2">
                  <c:v>4411</c:v>
                </c:pt>
                <c:pt idx="3">
                  <c:v>1105</c:v>
                </c:pt>
                <c:pt idx="4">
                  <c:v>878</c:v>
                </c:pt>
                <c:pt idx="5">
                  <c:v>4104</c:v>
                </c:pt>
                <c:pt idx="6">
                  <c:v>18924</c:v>
                </c:pt>
                <c:pt idx="7">
                  <c:v>1316</c:v>
                </c:pt>
                <c:pt idx="8">
                  <c:v>803</c:v>
                </c:pt>
                <c:pt idx="9">
                  <c:v>1858</c:v>
                </c:pt>
                <c:pt idx="10">
                  <c:v>350</c:v>
                </c:pt>
                <c:pt idx="11">
                  <c:v>2824</c:v>
                </c:pt>
                <c:pt idx="12">
                  <c:v>2740</c:v>
                </c:pt>
                <c:pt idx="13">
                  <c:v>21128</c:v>
                </c:pt>
                <c:pt idx="14">
                  <c:v>8346</c:v>
                </c:pt>
                <c:pt idx="15">
                  <c:v>16256</c:v>
                </c:pt>
                <c:pt idx="16">
                  <c:v>4864</c:v>
                </c:pt>
                <c:pt idx="17">
                  <c:v>73976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6-44BE-B248-6FF507CC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21%</c:v>
                </c:pt>
                <c:pt idx="5">
                  <c:v>92%</c:v>
                </c:pt>
                <c:pt idx="6">
                  <c:v>100%</c:v>
                </c:pt>
                <c:pt idx="7">
                  <c:v>29%</c:v>
                </c:pt>
                <c:pt idx="8">
                  <c:v>21%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92%</c:v>
                </c:pt>
                <c:pt idx="15">
                  <c:v>88%</c:v>
                </c:pt>
                <c:pt idx="16">
                  <c:v>96%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0.20833333333333334</c:v>
                </c:pt>
                <c:pt idx="5">
                  <c:v>0.91666666666666663</c:v>
                </c:pt>
                <c:pt idx="6">
                  <c:v>1</c:v>
                </c:pt>
                <c:pt idx="7">
                  <c:v>0.29166666666666669</c:v>
                </c:pt>
                <c:pt idx="8">
                  <c:v>0.20833333333333334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0.91666666666666663</c:v>
                </c:pt>
                <c:pt idx="15">
                  <c:v>0.875</c:v>
                </c:pt>
                <c:pt idx="16">
                  <c:v>0.95833333333333337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F-42C0-B8C2-383976D3DD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CF-42C0-B8C2-383976D3DD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'27'!$AE$6:$AE$23</c:f>
              <c:numCache>
                <c:formatCode>0%</c:formatCode>
                <c:ptCount val="18"/>
                <c:pt idx="0">
                  <c:v>0.44675925925925924</c:v>
                </c:pt>
                <c:pt idx="1">
                  <c:v>0.44675925925925924</c:v>
                </c:pt>
                <c:pt idx="2">
                  <c:v>0.44675925925925924</c:v>
                </c:pt>
                <c:pt idx="3">
                  <c:v>0.44675925925925924</c:v>
                </c:pt>
                <c:pt idx="4">
                  <c:v>0.44675925925925924</c:v>
                </c:pt>
                <c:pt idx="5">
                  <c:v>0.44675925925925924</c:v>
                </c:pt>
                <c:pt idx="6">
                  <c:v>0.44675925925925924</c:v>
                </c:pt>
                <c:pt idx="7">
                  <c:v>0.44675925925925924</c:v>
                </c:pt>
                <c:pt idx="8">
                  <c:v>0.44675925925925924</c:v>
                </c:pt>
                <c:pt idx="9">
                  <c:v>0.44675925925925924</c:v>
                </c:pt>
                <c:pt idx="10">
                  <c:v>0.44675925925925924</c:v>
                </c:pt>
                <c:pt idx="11">
                  <c:v>0.44675925925925924</c:v>
                </c:pt>
                <c:pt idx="12">
                  <c:v>0.44675925925925924</c:v>
                </c:pt>
                <c:pt idx="13">
                  <c:v>0.44675925925925924</c:v>
                </c:pt>
                <c:pt idx="14">
                  <c:v>0.44675925925925924</c:v>
                </c:pt>
                <c:pt idx="15">
                  <c:v>0.44675925925925924</c:v>
                </c:pt>
                <c:pt idx="16">
                  <c:v>0.44675925925925924</c:v>
                </c:pt>
                <c:pt idx="17">
                  <c:v>0.44675925925925924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F-42C0-B8C2-383976D3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'27'!$L$6:$L$23</c:f>
              <c:numCache>
                <c:formatCode>_(* #,##0_);_(* \(#,##0\);_(* "-"_);_(@_)</c:formatCode>
                <c:ptCount val="18"/>
                <c:pt idx="3">
                  <c:v>1105</c:v>
                </c:pt>
                <c:pt idx="4">
                  <c:v>878</c:v>
                </c:pt>
                <c:pt idx="5">
                  <c:v>4104</c:v>
                </c:pt>
                <c:pt idx="6">
                  <c:v>18924</c:v>
                </c:pt>
                <c:pt idx="7">
                  <c:v>1316</c:v>
                </c:pt>
                <c:pt idx="8">
                  <c:v>803</c:v>
                </c:pt>
                <c:pt idx="9">
                  <c:v>1858</c:v>
                </c:pt>
                <c:pt idx="13">
                  <c:v>21128</c:v>
                </c:pt>
                <c:pt idx="14">
                  <c:v>8346</c:v>
                </c:pt>
                <c:pt idx="15">
                  <c:v>16256</c:v>
                </c:pt>
                <c:pt idx="16">
                  <c:v>4864</c:v>
                </c:pt>
                <c:pt idx="17">
                  <c:v>73976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C-4A23-98E8-AB77BB399D7C}"/>
            </c:ext>
          </c:extLst>
        </c:ser>
        <c:ser>
          <c:idx val="1"/>
          <c:order val="1"/>
          <c:tx>
            <c:v>계획</c:v>
          </c:tx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'27'!$J$6:$J$23</c:f>
              <c:numCache>
                <c:formatCode>_(* #,##0_);_(* \(#,##0\);_(* "-"_);_(@_)</c:formatCode>
                <c:ptCount val="18"/>
                <c:pt idx="0">
                  <c:v>23044</c:v>
                </c:pt>
                <c:pt idx="1">
                  <c:v>3491</c:v>
                </c:pt>
                <c:pt idx="2">
                  <c:v>4411</c:v>
                </c:pt>
                <c:pt idx="3">
                  <c:v>1105</c:v>
                </c:pt>
                <c:pt idx="4">
                  <c:v>878</c:v>
                </c:pt>
                <c:pt idx="5">
                  <c:v>4104</c:v>
                </c:pt>
                <c:pt idx="6">
                  <c:v>18924</c:v>
                </c:pt>
                <c:pt idx="7">
                  <c:v>1316</c:v>
                </c:pt>
                <c:pt idx="8">
                  <c:v>803</c:v>
                </c:pt>
                <c:pt idx="9">
                  <c:v>1858</c:v>
                </c:pt>
                <c:pt idx="10">
                  <c:v>350</c:v>
                </c:pt>
                <c:pt idx="11">
                  <c:v>2824</c:v>
                </c:pt>
                <c:pt idx="12">
                  <c:v>2740</c:v>
                </c:pt>
                <c:pt idx="13">
                  <c:v>21128</c:v>
                </c:pt>
                <c:pt idx="14">
                  <c:v>8346</c:v>
                </c:pt>
                <c:pt idx="15">
                  <c:v>16256</c:v>
                </c:pt>
                <c:pt idx="16">
                  <c:v>4864</c:v>
                </c:pt>
                <c:pt idx="17">
                  <c:v>73976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C-4A23-98E8-AB77BB399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21%</c:v>
                </c:pt>
                <c:pt idx="5">
                  <c:v>92%</c:v>
                </c:pt>
                <c:pt idx="6">
                  <c:v>100%</c:v>
                </c:pt>
                <c:pt idx="7">
                  <c:v>29%</c:v>
                </c:pt>
                <c:pt idx="8">
                  <c:v>21%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92%</c:v>
                </c:pt>
                <c:pt idx="15">
                  <c:v>88%</c:v>
                </c:pt>
                <c:pt idx="16">
                  <c:v>96%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0.20833333333333334</c:v>
                </c:pt>
                <c:pt idx="5">
                  <c:v>0.91666666666666663</c:v>
                </c:pt>
                <c:pt idx="6">
                  <c:v>1</c:v>
                </c:pt>
                <c:pt idx="7">
                  <c:v>0.29166666666666669</c:v>
                </c:pt>
                <c:pt idx="8">
                  <c:v>0.20833333333333334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0.91666666666666663</c:v>
                </c:pt>
                <c:pt idx="15">
                  <c:v>0.875</c:v>
                </c:pt>
                <c:pt idx="16">
                  <c:v>0.95833333333333337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7-4717-8A6C-B034755668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57-4717-8A6C-B034755668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'27'!$AE$6:$AE$23</c:f>
              <c:numCache>
                <c:formatCode>0%</c:formatCode>
                <c:ptCount val="18"/>
                <c:pt idx="0">
                  <c:v>0.44675925925925924</c:v>
                </c:pt>
                <c:pt idx="1">
                  <c:v>0.44675925925925924</c:v>
                </c:pt>
                <c:pt idx="2">
                  <c:v>0.44675925925925924</c:v>
                </c:pt>
                <c:pt idx="3">
                  <c:v>0.44675925925925924</c:v>
                </c:pt>
                <c:pt idx="4">
                  <c:v>0.44675925925925924</c:v>
                </c:pt>
                <c:pt idx="5">
                  <c:v>0.44675925925925924</c:v>
                </c:pt>
                <c:pt idx="6">
                  <c:v>0.44675925925925924</c:v>
                </c:pt>
                <c:pt idx="7">
                  <c:v>0.44675925925925924</c:v>
                </c:pt>
                <c:pt idx="8">
                  <c:v>0.44675925925925924</c:v>
                </c:pt>
                <c:pt idx="9">
                  <c:v>0.44675925925925924</c:v>
                </c:pt>
                <c:pt idx="10">
                  <c:v>0.44675925925925924</c:v>
                </c:pt>
                <c:pt idx="11">
                  <c:v>0.44675925925925924</c:v>
                </c:pt>
                <c:pt idx="12">
                  <c:v>0.44675925925925924</c:v>
                </c:pt>
                <c:pt idx="13">
                  <c:v>0.44675925925925924</c:v>
                </c:pt>
                <c:pt idx="14">
                  <c:v>0.44675925925925924</c:v>
                </c:pt>
                <c:pt idx="15">
                  <c:v>0.44675925925925924</c:v>
                </c:pt>
                <c:pt idx="16">
                  <c:v>0.44675925925925924</c:v>
                </c:pt>
                <c:pt idx="17">
                  <c:v>0.44675925925925924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7-4717-8A6C-B03475566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FF7-467F-BC4C-FF600BD4B2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7-467F-BC4C-FF600BD4B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F7-467F-BC4C-FF600BD4B2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7-467F-BC4C-FF600BD4B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4">
                  <c:v>5378</c:v>
                </c:pt>
                <c:pt idx="5">
                  <c:v>1952</c:v>
                </c:pt>
                <c:pt idx="6">
                  <c:v>10000</c:v>
                </c:pt>
                <c:pt idx="7">
                  <c:v>10146</c:v>
                </c:pt>
                <c:pt idx="8">
                  <c:v>223</c:v>
                </c:pt>
                <c:pt idx="9">
                  <c:v>9762</c:v>
                </c:pt>
                <c:pt idx="13">
                  <c:v>22260</c:v>
                </c:pt>
                <c:pt idx="14">
                  <c:v>9732</c:v>
                </c:pt>
                <c:pt idx="16">
                  <c:v>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9-41FA-9098-DA7A75778212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23044</c:v>
                </c:pt>
                <c:pt idx="1">
                  <c:v>3491</c:v>
                </c:pt>
                <c:pt idx="2">
                  <c:v>4411</c:v>
                </c:pt>
                <c:pt idx="3">
                  <c:v>1105</c:v>
                </c:pt>
                <c:pt idx="4">
                  <c:v>5378</c:v>
                </c:pt>
                <c:pt idx="5">
                  <c:v>1952</c:v>
                </c:pt>
                <c:pt idx="6">
                  <c:v>10000</c:v>
                </c:pt>
                <c:pt idx="7">
                  <c:v>10146</c:v>
                </c:pt>
                <c:pt idx="8">
                  <c:v>223</c:v>
                </c:pt>
                <c:pt idx="9">
                  <c:v>9762</c:v>
                </c:pt>
                <c:pt idx="10">
                  <c:v>350</c:v>
                </c:pt>
                <c:pt idx="11">
                  <c:v>2824</c:v>
                </c:pt>
                <c:pt idx="12">
                  <c:v>2740</c:v>
                </c:pt>
                <c:pt idx="13">
                  <c:v>22260</c:v>
                </c:pt>
                <c:pt idx="14">
                  <c:v>9732</c:v>
                </c:pt>
                <c:pt idx="15">
                  <c:v>16256</c:v>
                </c:pt>
                <c:pt idx="16">
                  <c:v>5654</c:v>
                </c:pt>
                <c:pt idx="17">
                  <c:v>73976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9-41FA-9098-DA7A75778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96%</c:v>
                </c:pt>
                <c:pt idx="5">
                  <c:v>13%</c:v>
                </c:pt>
                <c:pt idx="6">
                  <c:v>17%</c:v>
                </c:pt>
                <c:pt idx="7">
                  <c:v>100%</c:v>
                </c:pt>
                <c:pt idx="8">
                  <c:v>17%</c:v>
                </c:pt>
                <c:pt idx="9">
                  <c:v>67%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0.95833333333333337</c:v>
                </c:pt>
                <c:pt idx="5">
                  <c:v>0.125</c:v>
                </c:pt>
                <c:pt idx="6">
                  <c:v>0.16666666666666666</c:v>
                </c:pt>
                <c:pt idx="7">
                  <c:v>1</c:v>
                </c:pt>
                <c:pt idx="8">
                  <c:v>0.16666666666666666</c:v>
                </c:pt>
                <c:pt idx="9">
                  <c:v>0.66666666666666663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7-4EFA-9F44-FC74C81812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37-4EFA-9F44-FC74C81812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0.33796296296296297</c:v>
                </c:pt>
                <c:pt idx="1">
                  <c:v>0.33796296296296297</c:v>
                </c:pt>
                <c:pt idx="2">
                  <c:v>0.33796296296296297</c:v>
                </c:pt>
                <c:pt idx="3">
                  <c:v>0.33796296296296297</c:v>
                </c:pt>
                <c:pt idx="4">
                  <c:v>0.33796296296296297</c:v>
                </c:pt>
                <c:pt idx="5">
                  <c:v>0.33796296296296297</c:v>
                </c:pt>
                <c:pt idx="6">
                  <c:v>0.33796296296296297</c:v>
                </c:pt>
                <c:pt idx="7">
                  <c:v>0.33796296296296297</c:v>
                </c:pt>
                <c:pt idx="8">
                  <c:v>0.33796296296296297</c:v>
                </c:pt>
                <c:pt idx="9">
                  <c:v>0.33796296296296297</c:v>
                </c:pt>
                <c:pt idx="10">
                  <c:v>0.33796296296296297</c:v>
                </c:pt>
                <c:pt idx="11">
                  <c:v>0.33796296296296297</c:v>
                </c:pt>
                <c:pt idx="12">
                  <c:v>0.33796296296296297</c:v>
                </c:pt>
                <c:pt idx="13">
                  <c:v>0.33796296296296297</c:v>
                </c:pt>
                <c:pt idx="14">
                  <c:v>0.33796296296296297</c:v>
                </c:pt>
                <c:pt idx="15">
                  <c:v>0.33796296296296297</c:v>
                </c:pt>
                <c:pt idx="16">
                  <c:v>0.33796296296296297</c:v>
                </c:pt>
                <c:pt idx="17">
                  <c:v>0.33796296296296297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7-4EFA-9F44-FC74C8181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4">
                  <c:v>5378</c:v>
                </c:pt>
                <c:pt idx="5">
                  <c:v>1952</c:v>
                </c:pt>
                <c:pt idx="6">
                  <c:v>10000</c:v>
                </c:pt>
                <c:pt idx="7">
                  <c:v>10146</c:v>
                </c:pt>
                <c:pt idx="8">
                  <c:v>223</c:v>
                </c:pt>
                <c:pt idx="9">
                  <c:v>9762</c:v>
                </c:pt>
                <c:pt idx="13">
                  <c:v>22260</c:v>
                </c:pt>
                <c:pt idx="14">
                  <c:v>9732</c:v>
                </c:pt>
                <c:pt idx="16">
                  <c:v>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F1F-9A38-6329E923D8BC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23044</c:v>
                </c:pt>
                <c:pt idx="1">
                  <c:v>3491</c:v>
                </c:pt>
                <c:pt idx="2">
                  <c:v>4411</c:v>
                </c:pt>
                <c:pt idx="3">
                  <c:v>1105</c:v>
                </c:pt>
                <c:pt idx="4">
                  <c:v>5378</c:v>
                </c:pt>
                <c:pt idx="5">
                  <c:v>1952</c:v>
                </c:pt>
                <c:pt idx="6">
                  <c:v>10000</c:v>
                </c:pt>
                <c:pt idx="7">
                  <c:v>10146</c:v>
                </c:pt>
                <c:pt idx="8">
                  <c:v>223</c:v>
                </c:pt>
                <c:pt idx="9">
                  <c:v>9762</c:v>
                </c:pt>
                <c:pt idx="10">
                  <c:v>350</c:v>
                </c:pt>
                <c:pt idx="11">
                  <c:v>2824</c:v>
                </c:pt>
                <c:pt idx="12">
                  <c:v>2740</c:v>
                </c:pt>
                <c:pt idx="13">
                  <c:v>22260</c:v>
                </c:pt>
                <c:pt idx="14">
                  <c:v>9732</c:v>
                </c:pt>
                <c:pt idx="15">
                  <c:v>16256</c:v>
                </c:pt>
                <c:pt idx="16">
                  <c:v>5654</c:v>
                </c:pt>
                <c:pt idx="17">
                  <c:v>73976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1-4F1F-9A38-6329E923D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96%</c:v>
                </c:pt>
                <c:pt idx="5">
                  <c:v>13%</c:v>
                </c:pt>
                <c:pt idx="6">
                  <c:v>17%</c:v>
                </c:pt>
                <c:pt idx="7">
                  <c:v>100%</c:v>
                </c:pt>
                <c:pt idx="8">
                  <c:v>17%</c:v>
                </c:pt>
                <c:pt idx="9">
                  <c:v>67%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0.95833333333333337</c:v>
                </c:pt>
                <c:pt idx="5">
                  <c:v>0.125</c:v>
                </c:pt>
                <c:pt idx="6">
                  <c:v>0.16666666666666666</c:v>
                </c:pt>
                <c:pt idx="7">
                  <c:v>1</c:v>
                </c:pt>
                <c:pt idx="8">
                  <c:v>0.16666666666666666</c:v>
                </c:pt>
                <c:pt idx="9">
                  <c:v>0.66666666666666663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2-4066-81B1-C905975AD1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72-4066-81B1-C905975AD1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0.33796296296296297</c:v>
                </c:pt>
                <c:pt idx="1">
                  <c:v>0.33796296296296297</c:v>
                </c:pt>
                <c:pt idx="2">
                  <c:v>0.33796296296296297</c:v>
                </c:pt>
                <c:pt idx="3">
                  <c:v>0.33796296296296297</c:v>
                </c:pt>
                <c:pt idx="4">
                  <c:v>0.33796296296296297</c:v>
                </c:pt>
                <c:pt idx="5">
                  <c:v>0.33796296296296297</c:v>
                </c:pt>
                <c:pt idx="6">
                  <c:v>0.33796296296296297</c:v>
                </c:pt>
                <c:pt idx="7">
                  <c:v>0.33796296296296297</c:v>
                </c:pt>
                <c:pt idx="8">
                  <c:v>0.33796296296296297</c:v>
                </c:pt>
                <c:pt idx="9">
                  <c:v>0.33796296296296297</c:v>
                </c:pt>
                <c:pt idx="10">
                  <c:v>0.33796296296296297</c:v>
                </c:pt>
                <c:pt idx="11">
                  <c:v>0.33796296296296297</c:v>
                </c:pt>
                <c:pt idx="12">
                  <c:v>0.33796296296296297</c:v>
                </c:pt>
                <c:pt idx="13">
                  <c:v>0.33796296296296297</c:v>
                </c:pt>
                <c:pt idx="14">
                  <c:v>0.33796296296296297</c:v>
                </c:pt>
                <c:pt idx="15">
                  <c:v>0.33796296296296297</c:v>
                </c:pt>
                <c:pt idx="16">
                  <c:v>0.33796296296296297</c:v>
                </c:pt>
                <c:pt idx="17">
                  <c:v>0.33796296296296297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72-4066-81B1-C905975AD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2B4-4ABA-8502-9294BC18C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B4-4ABA-8502-9294BC18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B4-4ABA-8502-9294BC18C1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B4-4ABA-8502-9294BC18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1">
                  <c:v>900</c:v>
                </c:pt>
                <c:pt idx="2">
                  <c:v>4301</c:v>
                </c:pt>
                <c:pt idx="4">
                  <c:v>2796</c:v>
                </c:pt>
                <c:pt idx="5">
                  <c:v>790</c:v>
                </c:pt>
                <c:pt idx="6">
                  <c:v>9078</c:v>
                </c:pt>
                <c:pt idx="7">
                  <c:v>15771</c:v>
                </c:pt>
                <c:pt idx="8">
                  <c:v>3004</c:v>
                </c:pt>
                <c:pt idx="11">
                  <c:v>20792</c:v>
                </c:pt>
                <c:pt idx="12">
                  <c:v>8720</c:v>
                </c:pt>
                <c:pt idx="13">
                  <c:v>4353</c:v>
                </c:pt>
                <c:pt idx="14">
                  <c:v>5372</c:v>
                </c:pt>
                <c:pt idx="15">
                  <c:v>32892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9-4AEF-96F0-F98E8D96C0E1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23044</c:v>
                </c:pt>
                <c:pt idx="1">
                  <c:v>900</c:v>
                </c:pt>
                <c:pt idx="2">
                  <c:v>4301</c:v>
                </c:pt>
                <c:pt idx="3">
                  <c:v>1105</c:v>
                </c:pt>
                <c:pt idx="4">
                  <c:v>2796</c:v>
                </c:pt>
                <c:pt idx="5">
                  <c:v>790</c:v>
                </c:pt>
                <c:pt idx="6">
                  <c:v>9078</c:v>
                </c:pt>
                <c:pt idx="7">
                  <c:v>15771</c:v>
                </c:pt>
                <c:pt idx="8">
                  <c:v>3004</c:v>
                </c:pt>
                <c:pt idx="9">
                  <c:v>2824</c:v>
                </c:pt>
                <c:pt idx="10">
                  <c:v>2740</c:v>
                </c:pt>
                <c:pt idx="11">
                  <c:v>20792</c:v>
                </c:pt>
                <c:pt idx="12">
                  <c:v>8720</c:v>
                </c:pt>
                <c:pt idx="13">
                  <c:v>4353</c:v>
                </c:pt>
                <c:pt idx="14">
                  <c:v>5372</c:v>
                </c:pt>
                <c:pt idx="15">
                  <c:v>32892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9-4AEF-96F0-F98E8D96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21%</c:v>
                </c:pt>
                <c:pt idx="2">
                  <c:v>88%</c:v>
                </c:pt>
                <c:pt idx="3">
                  <c:v>0%</c:v>
                </c:pt>
                <c:pt idx="4">
                  <c:v>50%</c:v>
                </c:pt>
                <c:pt idx="5">
                  <c:v>21%</c:v>
                </c:pt>
                <c:pt idx="6">
                  <c:v>100%</c:v>
                </c:pt>
                <c:pt idx="7">
                  <c:v>100%</c:v>
                </c:pt>
                <c:pt idx="8">
                  <c:v>46%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0.20833333333333334</c:v>
                </c:pt>
                <c:pt idx="2">
                  <c:v>0.875</c:v>
                </c:pt>
                <c:pt idx="3">
                  <c:v>0</c:v>
                </c:pt>
                <c:pt idx="4">
                  <c:v>0.5</c:v>
                </c:pt>
                <c:pt idx="5">
                  <c:v>0.20833333333333334</c:v>
                </c:pt>
                <c:pt idx="6">
                  <c:v>1</c:v>
                </c:pt>
                <c:pt idx="7">
                  <c:v>1</c:v>
                </c:pt>
                <c:pt idx="8">
                  <c:v>0.45833333333333331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6-4C62-B849-B26486EAB9F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06-4C62-B849-B26486EAB9F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6-4C62-B849-B26486EAB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1">
                  <c:v>900</c:v>
                </c:pt>
                <c:pt idx="2">
                  <c:v>4301</c:v>
                </c:pt>
                <c:pt idx="4">
                  <c:v>2796</c:v>
                </c:pt>
                <c:pt idx="5">
                  <c:v>790</c:v>
                </c:pt>
                <c:pt idx="6">
                  <c:v>9078</c:v>
                </c:pt>
                <c:pt idx="7">
                  <c:v>15771</c:v>
                </c:pt>
                <c:pt idx="8">
                  <c:v>3004</c:v>
                </c:pt>
                <c:pt idx="11">
                  <c:v>20792</c:v>
                </c:pt>
                <c:pt idx="12">
                  <c:v>8720</c:v>
                </c:pt>
                <c:pt idx="13">
                  <c:v>4353</c:v>
                </c:pt>
                <c:pt idx="14">
                  <c:v>5372</c:v>
                </c:pt>
                <c:pt idx="15">
                  <c:v>32892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C-4DF1-B27D-A52A8135FF11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23044</c:v>
                </c:pt>
                <c:pt idx="1">
                  <c:v>900</c:v>
                </c:pt>
                <c:pt idx="2">
                  <c:v>4301</c:v>
                </c:pt>
                <c:pt idx="3">
                  <c:v>1105</c:v>
                </c:pt>
                <c:pt idx="4">
                  <c:v>2796</c:v>
                </c:pt>
                <c:pt idx="5">
                  <c:v>790</c:v>
                </c:pt>
                <c:pt idx="6">
                  <c:v>9078</c:v>
                </c:pt>
                <c:pt idx="7">
                  <c:v>15771</c:v>
                </c:pt>
                <c:pt idx="8">
                  <c:v>3004</c:v>
                </c:pt>
                <c:pt idx="9">
                  <c:v>2824</c:v>
                </c:pt>
                <c:pt idx="10">
                  <c:v>2740</c:v>
                </c:pt>
                <c:pt idx="11">
                  <c:v>20792</c:v>
                </c:pt>
                <c:pt idx="12">
                  <c:v>8720</c:v>
                </c:pt>
                <c:pt idx="13">
                  <c:v>4353</c:v>
                </c:pt>
                <c:pt idx="14">
                  <c:v>5372</c:v>
                </c:pt>
                <c:pt idx="15">
                  <c:v>32892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FC-4DF1-B27D-A52A8135F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21%</c:v>
                </c:pt>
                <c:pt idx="2">
                  <c:v>88%</c:v>
                </c:pt>
                <c:pt idx="3">
                  <c:v>0%</c:v>
                </c:pt>
                <c:pt idx="4">
                  <c:v>50%</c:v>
                </c:pt>
                <c:pt idx="5">
                  <c:v>21%</c:v>
                </c:pt>
                <c:pt idx="6">
                  <c:v>100%</c:v>
                </c:pt>
                <c:pt idx="7">
                  <c:v>100%</c:v>
                </c:pt>
                <c:pt idx="8">
                  <c:v>46%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0.20833333333333334</c:v>
                </c:pt>
                <c:pt idx="2">
                  <c:v>0.875</c:v>
                </c:pt>
                <c:pt idx="3">
                  <c:v>0</c:v>
                </c:pt>
                <c:pt idx="4">
                  <c:v>0.5</c:v>
                </c:pt>
                <c:pt idx="5">
                  <c:v>0.20833333333333334</c:v>
                </c:pt>
                <c:pt idx="6">
                  <c:v>1</c:v>
                </c:pt>
                <c:pt idx="7">
                  <c:v>1</c:v>
                </c:pt>
                <c:pt idx="8">
                  <c:v>0.45833333333333331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9-4ABF-83A5-CF2703104C7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69-4ABF-83A5-CF2703104C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HOUSING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69-4ABF-83A5-CF2703104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B72-43E6-B1E6-164019598B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72-43E6-B1E6-164019598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72-43E6-B1E6-164019598B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72-43E6-B1E6-164019598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'31'!$L$6:$L$23</c:f>
              <c:numCache>
                <c:formatCode>_(* #,##0_);_(* \(#,##0\);_(* "-"_);_(@_)</c:formatCode>
                <c:ptCount val="18"/>
                <c:pt idx="0">
                  <c:v>1450</c:v>
                </c:pt>
                <c:pt idx="1">
                  <c:v>927</c:v>
                </c:pt>
                <c:pt idx="2">
                  <c:v>1018</c:v>
                </c:pt>
                <c:pt idx="3">
                  <c:v>5543</c:v>
                </c:pt>
                <c:pt idx="4">
                  <c:v>2625</c:v>
                </c:pt>
                <c:pt idx="5">
                  <c:v>3475</c:v>
                </c:pt>
                <c:pt idx="6">
                  <c:v>75900</c:v>
                </c:pt>
                <c:pt idx="7">
                  <c:v>1018</c:v>
                </c:pt>
                <c:pt idx="8">
                  <c:v>523</c:v>
                </c:pt>
                <c:pt idx="9">
                  <c:v>11739</c:v>
                </c:pt>
                <c:pt idx="10">
                  <c:v>3020</c:v>
                </c:pt>
                <c:pt idx="11">
                  <c:v>4830</c:v>
                </c:pt>
                <c:pt idx="13">
                  <c:v>21416</c:v>
                </c:pt>
                <c:pt idx="15">
                  <c:v>4555</c:v>
                </c:pt>
                <c:pt idx="16">
                  <c:v>4913</c:v>
                </c:pt>
                <c:pt idx="17">
                  <c:v>39440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F-403A-BE5B-59EA155DBC1A}"/>
            </c:ext>
          </c:extLst>
        </c:ser>
        <c:ser>
          <c:idx val="1"/>
          <c:order val="1"/>
          <c:tx>
            <c:v>계획</c:v>
          </c:tx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'31'!$J$6:$J$23</c:f>
              <c:numCache>
                <c:formatCode>_(* #,##0_);_(* \(#,##0\);_(* "-"_);_(@_)</c:formatCode>
                <c:ptCount val="18"/>
                <c:pt idx="0">
                  <c:v>1450</c:v>
                </c:pt>
                <c:pt idx="1">
                  <c:v>927</c:v>
                </c:pt>
                <c:pt idx="2">
                  <c:v>1018</c:v>
                </c:pt>
                <c:pt idx="3">
                  <c:v>5543</c:v>
                </c:pt>
                <c:pt idx="4">
                  <c:v>2625</c:v>
                </c:pt>
                <c:pt idx="5">
                  <c:v>3475</c:v>
                </c:pt>
                <c:pt idx="6">
                  <c:v>75900</c:v>
                </c:pt>
                <c:pt idx="7">
                  <c:v>1018</c:v>
                </c:pt>
                <c:pt idx="8">
                  <c:v>523</c:v>
                </c:pt>
                <c:pt idx="9">
                  <c:v>11739</c:v>
                </c:pt>
                <c:pt idx="10">
                  <c:v>3020</c:v>
                </c:pt>
                <c:pt idx="11">
                  <c:v>4830</c:v>
                </c:pt>
                <c:pt idx="12">
                  <c:v>2740</c:v>
                </c:pt>
                <c:pt idx="13">
                  <c:v>21416</c:v>
                </c:pt>
                <c:pt idx="14">
                  <c:v>8720</c:v>
                </c:pt>
                <c:pt idx="15">
                  <c:v>4555</c:v>
                </c:pt>
                <c:pt idx="16">
                  <c:v>4913</c:v>
                </c:pt>
                <c:pt idx="17">
                  <c:v>39440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F-403A-BE5B-59EA155DB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'31'!$AD$6:$AD$23</c:f>
              <c:strCache>
                <c:ptCount val="18"/>
                <c:pt idx="0">
                  <c:v>29%</c:v>
                </c:pt>
                <c:pt idx="1">
                  <c:v>21%</c:v>
                </c:pt>
                <c:pt idx="2">
                  <c:v>21%</c:v>
                </c:pt>
                <c:pt idx="3">
                  <c:v>100%</c:v>
                </c:pt>
                <c:pt idx="4">
                  <c:v>71%</c:v>
                </c:pt>
                <c:pt idx="5">
                  <c:v>79%</c:v>
                </c:pt>
                <c:pt idx="6">
                  <c:v>71%</c:v>
                </c:pt>
                <c:pt idx="7">
                  <c:v>17%</c:v>
                </c:pt>
                <c:pt idx="8">
                  <c:v>17%</c:v>
                </c:pt>
                <c:pt idx="9">
                  <c:v>79%</c:v>
                </c:pt>
                <c:pt idx="10">
                  <c:v>46%</c:v>
                </c:pt>
                <c:pt idx="11">
                  <c:v>21%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'31'!$AD$6:$AD$23</c:f>
              <c:numCache>
                <c:formatCode>0%</c:formatCode>
                <c:ptCount val="18"/>
                <c:pt idx="0">
                  <c:v>0.29166666666666669</c:v>
                </c:pt>
                <c:pt idx="1">
                  <c:v>0.20833333333333334</c:v>
                </c:pt>
                <c:pt idx="2">
                  <c:v>0.20833333333333334</c:v>
                </c:pt>
                <c:pt idx="3">
                  <c:v>1</c:v>
                </c:pt>
                <c:pt idx="4">
                  <c:v>0.70833333333333337</c:v>
                </c:pt>
                <c:pt idx="5">
                  <c:v>0.79166666666666663</c:v>
                </c:pt>
                <c:pt idx="6">
                  <c:v>0.70833333333333337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0.79166666666666663</c:v>
                </c:pt>
                <c:pt idx="10">
                  <c:v>0.45833333333333331</c:v>
                </c:pt>
                <c:pt idx="11">
                  <c:v>0.20833333333333334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8-422C-9F52-C6F794958C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18-422C-9F52-C6F794958C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'31'!$AE$6:$AE$23</c:f>
              <c:numCache>
                <c:formatCode>0%</c:formatCode>
                <c:ptCount val="18"/>
                <c:pt idx="0">
                  <c:v>0.50694444444444442</c:v>
                </c:pt>
                <c:pt idx="1">
                  <c:v>0.50694444444444442</c:v>
                </c:pt>
                <c:pt idx="2">
                  <c:v>0.50694444444444442</c:v>
                </c:pt>
                <c:pt idx="3">
                  <c:v>0.50694444444444442</c:v>
                </c:pt>
                <c:pt idx="4">
                  <c:v>0.50694444444444442</c:v>
                </c:pt>
                <c:pt idx="5">
                  <c:v>0.50694444444444442</c:v>
                </c:pt>
                <c:pt idx="6">
                  <c:v>0.50694444444444442</c:v>
                </c:pt>
                <c:pt idx="7">
                  <c:v>0.50694444444444442</c:v>
                </c:pt>
                <c:pt idx="8">
                  <c:v>0.50694444444444442</c:v>
                </c:pt>
                <c:pt idx="9">
                  <c:v>0.50694444444444442</c:v>
                </c:pt>
                <c:pt idx="10">
                  <c:v>0.50694444444444442</c:v>
                </c:pt>
                <c:pt idx="11">
                  <c:v>0.50694444444444442</c:v>
                </c:pt>
                <c:pt idx="12">
                  <c:v>0.50694444444444442</c:v>
                </c:pt>
                <c:pt idx="13">
                  <c:v>0.50694444444444442</c:v>
                </c:pt>
                <c:pt idx="14">
                  <c:v>0.50694444444444442</c:v>
                </c:pt>
                <c:pt idx="15">
                  <c:v>0.50694444444444442</c:v>
                </c:pt>
                <c:pt idx="16">
                  <c:v>0.50694444444444442</c:v>
                </c:pt>
                <c:pt idx="17">
                  <c:v>0.50694444444444442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18-422C-9F52-C6F794958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'31'!$L$6:$L$23</c:f>
              <c:numCache>
                <c:formatCode>_(* #,##0_);_(* \(#,##0\);_(* "-"_);_(@_)</c:formatCode>
                <c:ptCount val="18"/>
                <c:pt idx="0">
                  <c:v>1450</c:v>
                </c:pt>
                <c:pt idx="1">
                  <c:v>927</c:v>
                </c:pt>
                <c:pt idx="2">
                  <c:v>1018</c:v>
                </c:pt>
                <c:pt idx="3">
                  <c:v>5543</c:v>
                </c:pt>
                <c:pt idx="4">
                  <c:v>2625</c:v>
                </c:pt>
                <c:pt idx="5">
                  <c:v>3475</c:v>
                </c:pt>
                <c:pt idx="6">
                  <c:v>75900</c:v>
                </c:pt>
                <c:pt idx="7">
                  <c:v>1018</c:v>
                </c:pt>
                <c:pt idx="8">
                  <c:v>523</c:v>
                </c:pt>
                <c:pt idx="9">
                  <c:v>11739</c:v>
                </c:pt>
                <c:pt idx="10">
                  <c:v>3020</c:v>
                </c:pt>
                <c:pt idx="11">
                  <c:v>4830</c:v>
                </c:pt>
                <c:pt idx="13">
                  <c:v>21416</c:v>
                </c:pt>
                <c:pt idx="15">
                  <c:v>4555</c:v>
                </c:pt>
                <c:pt idx="16">
                  <c:v>4913</c:v>
                </c:pt>
                <c:pt idx="17">
                  <c:v>39440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0-41A5-B288-09C9B1E4BF82}"/>
            </c:ext>
          </c:extLst>
        </c:ser>
        <c:ser>
          <c:idx val="1"/>
          <c:order val="1"/>
          <c:tx>
            <c:v>계획</c:v>
          </c:tx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'31'!$J$6:$J$23</c:f>
              <c:numCache>
                <c:formatCode>_(* #,##0_);_(* \(#,##0\);_(* "-"_);_(@_)</c:formatCode>
                <c:ptCount val="18"/>
                <c:pt idx="0">
                  <c:v>1450</c:v>
                </c:pt>
                <c:pt idx="1">
                  <c:v>927</c:v>
                </c:pt>
                <c:pt idx="2">
                  <c:v>1018</c:v>
                </c:pt>
                <c:pt idx="3">
                  <c:v>5543</c:v>
                </c:pt>
                <c:pt idx="4">
                  <c:v>2625</c:v>
                </c:pt>
                <c:pt idx="5">
                  <c:v>3475</c:v>
                </c:pt>
                <c:pt idx="6">
                  <c:v>75900</c:v>
                </c:pt>
                <c:pt idx="7">
                  <c:v>1018</c:v>
                </c:pt>
                <c:pt idx="8">
                  <c:v>523</c:v>
                </c:pt>
                <c:pt idx="9">
                  <c:v>11739</c:v>
                </c:pt>
                <c:pt idx="10">
                  <c:v>3020</c:v>
                </c:pt>
                <c:pt idx="11">
                  <c:v>4830</c:v>
                </c:pt>
                <c:pt idx="12">
                  <c:v>2740</c:v>
                </c:pt>
                <c:pt idx="13">
                  <c:v>21416</c:v>
                </c:pt>
                <c:pt idx="14">
                  <c:v>8720</c:v>
                </c:pt>
                <c:pt idx="15">
                  <c:v>4555</c:v>
                </c:pt>
                <c:pt idx="16">
                  <c:v>4913</c:v>
                </c:pt>
                <c:pt idx="17">
                  <c:v>39440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0-41A5-B288-09C9B1E4B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'31'!$AD$6:$AD$23</c:f>
              <c:strCache>
                <c:ptCount val="18"/>
                <c:pt idx="0">
                  <c:v>29%</c:v>
                </c:pt>
                <c:pt idx="1">
                  <c:v>21%</c:v>
                </c:pt>
                <c:pt idx="2">
                  <c:v>21%</c:v>
                </c:pt>
                <c:pt idx="3">
                  <c:v>100%</c:v>
                </c:pt>
                <c:pt idx="4">
                  <c:v>71%</c:v>
                </c:pt>
                <c:pt idx="5">
                  <c:v>79%</c:v>
                </c:pt>
                <c:pt idx="6">
                  <c:v>71%</c:v>
                </c:pt>
                <c:pt idx="7">
                  <c:v>17%</c:v>
                </c:pt>
                <c:pt idx="8">
                  <c:v>17%</c:v>
                </c:pt>
                <c:pt idx="9">
                  <c:v>79%</c:v>
                </c:pt>
                <c:pt idx="10">
                  <c:v>46%</c:v>
                </c:pt>
                <c:pt idx="11">
                  <c:v>21%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'31'!$AD$6:$AD$23</c:f>
              <c:numCache>
                <c:formatCode>0%</c:formatCode>
                <c:ptCount val="18"/>
                <c:pt idx="0">
                  <c:v>0.29166666666666669</c:v>
                </c:pt>
                <c:pt idx="1">
                  <c:v>0.20833333333333334</c:v>
                </c:pt>
                <c:pt idx="2">
                  <c:v>0.20833333333333334</c:v>
                </c:pt>
                <c:pt idx="3">
                  <c:v>1</c:v>
                </c:pt>
                <c:pt idx="4">
                  <c:v>0.70833333333333337</c:v>
                </c:pt>
                <c:pt idx="5">
                  <c:v>0.79166666666666663</c:v>
                </c:pt>
                <c:pt idx="6">
                  <c:v>0.70833333333333337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0.79166666666666663</c:v>
                </c:pt>
                <c:pt idx="10">
                  <c:v>0.45833333333333331</c:v>
                </c:pt>
                <c:pt idx="11">
                  <c:v>0.20833333333333334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5-4ED7-A293-2750ABE0C8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B5-4ED7-A293-2750ABE0C8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'31'!$D$6:$D$23</c:f>
              <c:strCache>
                <c:ptCount val="17"/>
                <c:pt idx="0">
                  <c:v>ADAPTER</c:v>
                </c:pt>
                <c:pt idx="3">
                  <c:v>STOPPER</c:v>
                </c:pt>
                <c:pt idx="4">
                  <c:v>SP-B</c:v>
                </c:pt>
                <c:pt idx="5">
                  <c:v>STOPPER</c:v>
                </c:pt>
                <c:pt idx="6">
                  <c:v>SHAFT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HOUSING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'31'!$AE$6:$AE$23</c:f>
              <c:numCache>
                <c:formatCode>0%</c:formatCode>
                <c:ptCount val="18"/>
                <c:pt idx="0">
                  <c:v>0.50694444444444442</c:v>
                </c:pt>
                <c:pt idx="1">
                  <c:v>0.50694444444444442</c:v>
                </c:pt>
                <c:pt idx="2">
                  <c:v>0.50694444444444442</c:v>
                </c:pt>
                <c:pt idx="3">
                  <c:v>0.50694444444444442</c:v>
                </c:pt>
                <c:pt idx="4">
                  <c:v>0.50694444444444442</c:v>
                </c:pt>
                <c:pt idx="5">
                  <c:v>0.50694444444444442</c:v>
                </c:pt>
                <c:pt idx="6">
                  <c:v>0.50694444444444442</c:v>
                </c:pt>
                <c:pt idx="7">
                  <c:v>0.50694444444444442</c:v>
                </c:pt>
                <c:pt idx="8">
                  <c:v>0.50694444444444442</c:v>
                </c:pt>
                <c:pt idx="9">
                  <c:v>0.50694444444444442</c:v>
                </c:pt>
                <c:pt idx="10">
                  <c:v>0.50694444444444442</c:v>
                </c:pt>
                <c:pt idx="11">
                  <c:v>0.50694444444444442</c:v>
                </c:pt>
                <c:pt idx="12">
                  <c:v>0.50694444444444442</c:v>
                </c:pt>
                <c:pt idx="13">
                  <c:v>0.50694444444444442</c:v>
                </c:pt>
                <c:pt idx="14">
                  <c:v>0.50694444444444442</c:v>
                </c:pt>
                <c:pt idx="15">
                  <c:v>0.50694444444444442</c:v>
                </c:pt>
                <c:pt idx="16">
                  <c:v>0.50694444444444442</c:v>
                </c:pt>
                <c:pt idx="17">
                  <c:v>0.50694444444444442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B5-4ED7-A293-2750ABE0C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A9A-40E6-AB7D-483239C40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A-40E6-AB7D-483239C40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9A-40E6-AB7D-483239C409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9A-40E6-AB7D-483239C40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03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0.55729166666666674</c:v>
                </c:pt>
                <c:pt idx="2">
                  <c:v>0.48842592592592599</c:v>
                </c:pt>
                <c:pt idx="3">
                  <c:v>0.3995098039215686</c:v>
                </c:pt>
                <c:pt idx="4">
                  <c:v>0.45833333333333337</c:v>
                </c:pt>
                <c:pt idx="5">
                  <c:v>0.58796296296296302</c:v>
                </c:pt>
                <c:pt idx="6">
                  <c:v>0.63541666666666674</c:v>
                </c:pt>
                <c:pt idx="7">
                  <c:v>0.26041666666666663</c:v>
                </c:pt>
                <c:pt idx="8">
                  <c:v>0.66126086097946291</c:v>
                </c:pt>
                <c:pt idx="9">
                  <c:v>0.58823529411764719</c:v>
                </c:pt>
                <c:pt idx="10">
                  <c:v>0.50438596491228072</c:v>
                </c:pt>
                <c:pt idx="11">
                  <c:v>0.68382352941176472</c:v>
                </c:pt>
                <c:pt idx="12">
                  <c:v>0.68518518518518523</c:v>
                </c:pt>
                <c:pt idx="13">
                  <c:v>0.58575999132368095</c:v>
                </c:pt>
                <c:pt idx="14">
                  <c:v>0.21093749999999997</c:v>
                </c:pt>
                <c:pt idx="15">
                  <c:v>0.72135416666666674</c:v>
                </c:pt>
                <c:pt idx="16">
                  <c:v>0.7890625</c:v>
                </c:pt>
                <c:pt idx="17">
                  <c:v>0.76302083333333337</c:v>
                </c:pt>
                <c:pt idx="18">
                  <c:v>0.62500000000000011</c:v>
                </c:pt>
                <c:pt idx="19">
                  <c:v>0.71078431372549022</c:v>
                </c:pt>
                <c:pt idx="20">
                  <c:v>0.56140350877192979</c:v>
                </c:pt>
                <c:pt idx="21">
                  <c:v>0.23786046054224155</c:v>
                </c:pt>
                <c:pt idx="22">
                  <c:v>0.49686746891488315</c:v>
                </c:pt>
                <c:pt idx="23">
                  <c:v>0.49509803921568635</c:v>
                </c:pt>
                <c:pt idx="24">
                  <c:v>0.53125</c:v>
                </c:pt>
                <c:pt idx="25">
                  <c:v>0.47058823529411764</c:v>
                </c:pt>
                <c:pt idx="26">
                  <c:v>0.44675925925925924</c:v>
                </c:pt>
                <c:pt idx="27">
                  <c:v>0.33796296296296297</c:v>
                </c:pt>
                <c:pt idx="29">
                  <c:v>0.54166666666666663</c:v>
                </c:pt>
                <c:pt idx="30">
                  <c:v>0.50694444444444442</c:v>
                </c:pt>
                <c:pt idx="31">
                  <c:v>0.50137316812488708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03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0.62096774193548399</c:v>
                </c:pt>
                <c:pt idx="1">
                  <c:v>0.3253337584029975</c:v>
                </c:pt>
                <c:pt idx="2">
                  <c:v>0.70161290322580649</c:v>
                </c:pt>
                <c:pt idx="3">
                  <c:v>0.45161290322580638</c:v>
                </c:pt>
                <c:pt idx="4">
                  <c:v>0.66935483870967749</c:v>
                </c:pt>
                <c:pt idx="5">
                  <c:v>0.70430107526881724</c:v>
                </c:pt>
                <c:pt idx="6">
                  <c:v>0.75314303339814614</c:v>
                </c:pt>
                <c:pt idx="7">
                  <c:v>0.62059398832966717</c:v>
                </c:pt>
                <c:pt idx="8">
                  <c:v>8.7365591397849468E-2</c:v>
                </c:pt>
                <c:pt idx="9">
                  <c:v>0.16935483870967738</c:v>
                </c:pt>
                <c:pt idx="10">
                  <c:v>0.39381720430107525</c:v>
                </c:pt>
                <c:pt idx="11">
                  <c:v>0.84543010752688175</c:v>
                </c:pt>
                <c:pt idx="12">
                  <c:v>0.68134969168832493</c:v>
                </c:pt>
                <c:pt idx="13">
                  <c:v>0.58870967741935487</c:v>
                </c:pt>
                <c:pt idx="14">
                  <c:v>0.63306451612903225</c:v>
                </c:pt>
                <c:pt idx="15">
                  <c:v>0.20564516129032259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7.xml"/><Relationship Id="rId1" Type="http://schemas.openxmlformats.org/officeDocument/2006/relationships/chart" Target="../charts/chart126.xml"/><Relationship Id="rId6" Type="http://schemas.openxmlformats.org/officeDocument/2006/relationships/chart" Target="../charts/chart130.xml"/><Relationship Id="rId5" Type="http://schemas.openxmlformats.org/officeDocument/2006/relationships/chart" Target="../charts/chart129.xml"/><Relationship Id="rId4" Type="http://schemas.openxmlformats.org/officeDocument/2006/relationships/chart" Target="../charts/chart128.xml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2.xml"/><Relationship Id="rId1" Type="http://schemas.openxmlformats.org/officeDocument/2006/relationships/chart" Target="../charts/chart131.xml"/><Relationship Id="rId6" Type="http://schemas.openxmlformats.org/officeDocument/2006/relationships/chart" Target="../charts/chart135.xml"/><Relationship Id="rId5" Type="http://schemas.openxmlformats.org/officeDocument/2006/relationships/chart" Target="../charts/chart134.xml"/><Relationship Id="rId4" Type="http://schemas.openxmlformats.org/officeDocument/2006/relationships/chart" Target="../charts/chart133.xml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7.xml"/><Relationship Id="rId1" Type="http://schemas.openxmlformats.org/officeDocument/2006/relationships/chart" Target="../charts/chart136.xml"/><Relationship Id="rId6" Type="http://schemas.openxmlformats.org/officeDocument/2006/relationships/chart" Target="../charts/chart140.xml"/><Relationship Id="rId5" Type="http://schemas.openxmlformats.org/officeDocument/2006/relationships/chart" Target="../charts/chart139.xml"/><Relationship Id="rId4" Type="http://schemas.openxmlformats.org/officeDocument/2006/relationships/chart" Target="../charts/chart138.xml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2.xml"/><Relationship Id="rId1" Type="http://schemas.openxmlformats.org/officeDocument/2006/relationships/chart" Target="../charts/chart141.xml"/><Relationship Id="rId6" Type="http://schemas.openxmlformats.org/officeDocument/2006/relationships/chart" Target="../charts/chart145.xml"/><Relationship Id="rId5" Type="http://schemas.openxmlformats.org/officeDocument/2006/relationships/chart" Target="../charts/chart144.xml"/><Relationship Id="rId4" Type="http://schemas.openxmlformats.org/officeDocument/2006/relationships/chart" Target="../charts/chart143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7.xml"/><Relationship Id="rId1" Type="http://schemas.openxmlformats.org/officeDocument/2006/relationships/chart" Target="../charts/chart14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7E568BD-5BAD-428C-AFAC-0F5736402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62EC13C-A7F6-418A-A901-B70A2B2B4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1695F9C-8600-40F3-9E3E-32FCA37F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CC52DD0-6A5D-470C-AA01-D1F6F005F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30A381B-0568-422F-AF50-A6F1EED74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DF08665-D6EE-49C8-B1FE-5C194256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9509D22-0986-4692-B736-DC512D4F7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C794EB3-0944-43E6-ABBA-9816EF837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D336805-A773-4D09-AED3-EA377C1C9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C0124C9-A7F5-4B80-ADC5-91F44712D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24D9036-98B4-4CAE-8BAF-8068C6683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FA501BD-B039-4542-852B-32D7C7709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E8FE51D-9975-41C4-B877-A3DDF7D88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E8A29DF-882F-4346-8355-51B2C5B79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77FAA82-1C42-458E-B0D0-186DFEBF7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F4E31F8-93AE-49F0-8DE5-8524F0FDF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34740EB-82DC-4355-9C8B-13188604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F049C3E-C6F6-4DA6-AA64-5ED207376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7AFB33B-F1AA-4213-B663-FFDA7787A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1E27A9B-15F0-4CC3-8E81-79EE66B5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3C4373D-E34E-458E-96BD-5644CAF2E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9A5499-1241-43F1-A40F-EDDE60975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466356E-FE67-449D-84AB-F9E829D38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5C295C2-0D5D-4BB8-830B-E674E66B9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B498EE0-8723-487A-A70D-868E5B2E8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5285B9F-A66D-4E52-969C-EE523BE9E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5904740-93B3-4F78-B248-6ED3C494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B585F70-1213-4341-A75D-405203BAD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E991562-D9DC-45C9-9020-50FD1305C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7801047-EB34-4942-B083-DAF72D74D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B118D63-EF2F-47A8-9ECC-AE5ABA2E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1CD528F-91AA-4E6C-B9FC-DCA73B1A8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684745C-5F99-48DC-982F-295DDDD49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6B109DC-0910-40B4-8238-AF771974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2658EE3-E5D4-44A3-BDE3-319048BFE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16436EC-27DF-4F87-BA23-881B358F9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728E89C-2F8E-44D0-AA78-5C2123EF0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57B15ED-C38E-46D1-AD01-AE3F26D8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F22AEBE-CBF0-445D-B8B1-30F4764DF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60211C0-9C70-4809-B7DD-110EE7F35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B344009-3652-4632-AC70-2B9A4170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9273805-1ABE-4616-9595-CC8F56718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BB5FC29-933C-4132-B0D9-FF9A27FA7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F85CB95-65BE-4D15-BA2B-B18D78A02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CB4486C-1EFF-4045-A7D7-6F9783AB9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AB521B-5DAD-45D2-BD7A-597C9FAE7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6685EB7-C1F7-4084-910A-C3EE185B8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1BEF902-199E-4247-B0EE-80CF88F4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32D1CFF-D006-4B31-BEE1-E5867100C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4F00174-E8CA-43F6-BE88-642D38653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8804FDA-A963-46F3-A5E5-7759AB401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676E8B0-EB74-4952-AB83-E75F0866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3AF4AC8-C66B-45F6-A81E-588969576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105CE2D-5C29-40CB-A1E2-1438B5794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C240615-7627-4EA5-A7D0-B80778F38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B6DFB42-5079-4B39-9142-E7CDFC62C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649F6F-7BD1-4BC3-B294-AD82A26EB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75BCA57-CD1F-42C2-9E25-8A7911E79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D141459-0443-475B-9C19-1FF881528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BB11B30-290B-4268-8617-44820FAE7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F9DF953-2AB7-4497-86E9-5AC987EAA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D91CA3F-6519-40FE-B32C-4B7559610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DDD35AA-976B-4C8A-8866-633DD3C62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8F78E47-31C5-4801-9E34-E5A708230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C72D358-DCD6-4AAB-8DD9-AEA0F5965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F33F6FC-2625-476D-B91D-37582B43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E9E1CCA-7608-4050-A3E7-05AC0F08A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ABC669D-81DB-4110-88D5-45551E7CC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1388315-2FB3-44B4-9E51-F3AC68A6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77E2858-95EC-4613-848A-09B4755E8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7B11059-9276-44A1-B7A2-59B331B01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574B280-B7BA-469F-99A3-3D56BDE07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0E5FBA5-EC45-48B5-B1E2-C52DDF118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65204D4-FE03-4383-82E8-964E74D76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555CFF8-E775-44E2-A0EF-A05FC2AF9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2EA1453-061B-4BBB-A839-79B3DC52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D9FF25D-D00A-47BD-ACF8-409E2566C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C535D50-985E-4029-82B7-3006BFABC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C6D6B64-C19B-48EA-BA0E-BA3D18B14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A977259-C360-4C1E-8885-F1DD8CA25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ACEF75D-3028-4720-B0DD-2DCC2A797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A202CF6-F108-489C-AA59-17DE8AD042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EF43152-52C0-4747-ABEA-0434B92A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C9EA184-B875-4C7C-A1A4-0577C160C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106534-32C4-4049-BA21-224F0ABB6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374E4E4-121D-4F51-8B9F-4199D2151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4EB40DE-01D7-480E-9F15-0A2EFA96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25365DF-FC7E-49C5-A535-76C524E61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6D1D8A5-0F4C-4993-ACC5-260C1F710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7B59212-9B1C-439C-A1B4-898C0F1E2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8764D4-D3AF-463A-BAD2-19DE6EB95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0391561-C5DF-474B-A173-67CB3C2B7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7578119-13D0-4953-8E53-D9AD0A3C7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BFE33D3-2088-4F93-8F7D-A8F18DA1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D095048-3B3D-4B6E-B42B-CE04CD714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6112C7A-21DB-49EA-B687-56FCF3DD5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68ED957-0122-421A-A507-EBA6FA34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0621E85-C18D-4F82-9E4C-AA87FCC9E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B5BEB4-ED0B-4177-929E-A78745FD7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0F858DE-F4B5-4BAB-BBDC-DE8AFD6AF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44FE633-648A-4A91-8C26-F173A8B4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768754A-57AB-4F30-ABB5-250B24F8F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0A4B0D6-B843-47C3-B2E8-66FF5DBB3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5BE90E3-94F3-4815-A08D-6DA8FCDA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4F5F0C1-4504-4334-9D2C-CAB5D034C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EA3D8D4-4DE9-4FE4-A251-850F1E3FA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ED05E2B-C267-4821-9486-9ACF191EA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D92FDCD-B25E-4D18-8335-52E2B32EC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EC16FE3-0C3F-4B92-8D69-D937C2DCC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C73F304-5908-4EB5-AEEF-A3F2C92CD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A4ED9DE-8ED7-4304-8CBB-B50DE6A4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7551B56-1C58-456F-B455-8D38F883B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F612F5C-D229-46ED-B519-5300700DB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F87E285-ED83-4E06-B6F3-356BBD5D4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DC8B260-63D9-4F25-8120-7AC5D1092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0AB975F-28D2-4993-850C-5544121BA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C0CEDE0-3721-4030-8A1D-FBFBF72E0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E923BE5-57CF-4100-97FF-79289286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6BF29F6-7291-49CC-AF30-1121130DC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169E93C-66B0-448B-B306-D072DB12F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FC87851-99C2-47BB-B0A7-205B94EE1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6A1D9E0-1F71-4775-9883-EB3F3E1E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AC5672E-35AB-4A9D-9769-2D02A7702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6AF77C7-619F-469C-B614-AAE983111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C77F892-92CE-43C6-AFDB-5FD93A73F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E455E62-6BD0-469A-8ED8-952F4937C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D03147-3AB3-49FA-9CC3-9E13CDB71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92D9967-CEDE-465F-A82D-5FB6A3114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97CAFC3-53E5-4E80-9931-772807871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FE9F250-CD6F-46D6-BE92-9DF217DE9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F9317D1-A6FF-4037-A7D6-0870C1EA9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A1B3F50-DCFC-4B19-A692-923D5074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04032A6-B8CF-4DB5-9050-082383346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DAF177-32B9-4BE3-9C2C-6A7810F6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E98745-FC70-4B10-848B-60E99ED4F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E2877A4-32C5-4547-880B-6393A76C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4631E9A-6C49-4087-9009-BD20A57A6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E265719-4CBC-42F7-A083-76B4BC609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97704C5-62BE-4529-8B1A-D92DADC20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0F00BDE-B08E-45EF-A980-CD9EDC785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0A3276A-0D8B-406A-8B31-AC6430258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07E2E6C-073C-432A-95CC-815377BDB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DD04297-8B3E-42B8-B91E-3A4BF17B0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B67CE0D-57A6-4CE3-9F7D-511B79F2D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0973366-DB97-4072-8A75-23AAA361D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883C12D-34ED-4876-92AB-85885D5A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7CF40DF-4916-442F-A694-F0600A374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9DCC6DD-3222-472B-86A0-4B377C9C3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5D00C7E-AAF2-4228-9898-E160CD27B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D4D34C1-5995-42BE-B528-142EF613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AAF0652-AF96-4C69-9132-B6E9C24CC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1683B45-3183-4390-99DC-ECFB9C84A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2AC736-5324-43B4-AB8D-53FCA61F9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D453844-88CE-4068-9825-E0A8ACB9C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09D10B1-4B89-4E03-8724-93D3EC3FD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4C23F2F-E7AD-4ED1-A122-B37464862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3494B3C-33ED-43B2-B9BF-A506C877C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9FE1FAD-EF09-4D70-ACFE-A03512B7D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2266689-4C2A-47E5-B67A-E7841F867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821B322-B6FD-476C-9618-98B3B000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2A21EDD-9E55-4D4C-BA5E-5DD09A10F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64F7832-8637-410D-8D35-4E282FD09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6FF07A2-8D68-49E6-8515-693480638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EDF0EDA-E62B-4A55-8343-B4B87D97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6D04D33-7DCF-4F17-BAEF-30C2C9C05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D14474B-1D96-4B5B-89DF-588BE1132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68D40F3-7BA4-405B-B22B-A371714B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C60B4D7-699A-4D92-8722-541E326F5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F62844-F7E5-4765-998E-B89D73DE6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A632CBA-7F59-4C72-9F02-98C8865DE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8711EDF-74D8-43DC-946C-DF5E5C50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79EA843-2615-4D18-AD1D-31056A31E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6EE7A90-6742-46EF-A24D-B9DE571BB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C9C3AE6-D080-4870-BC9F-BD184A92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10E02C8-9FF8-4FD9-924E-92BFA00FD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1F6235-B573-4B07-82CD-F3627150E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DD4A825-6B97-48F9-8DC4-043CE5101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39C60BD-0879-4883-BA7C-3797103B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8759D41-F4C1-4E61-B9F2-E8A5FDD3C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3491D84-FF28-4E86-8463-68704402E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EE0E0DD-21B8-4299-8145-02207462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A79D4D7-2D5C-488E-A2C2-B3B423549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FDFB190-87DF-4B25-9652-E4FE18282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0D24C7F-9C83-4EE7-9CB7-1284FD0A2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4C4B3F3-D28F-40A9-AD02-A50AE20F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42EE04C-FD0E-4213-A727-E12208514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8BF6BCC-817A-4A58-81F5-DA64BA875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3114883-F642-497F-9D01-D3D1CB30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F0F3AD1-7508-4CBF-8582-F8C480167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6331633-1093-4E38-9F73-FA3AFF5F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A7FF1E8-F5AE-4FA2-B6CB-C40A32C58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815383-74CF-4CE6-8688-1BE3E839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BF97CFD-665A-4EF6-8FCB-F8B21FAF6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EB56B34-827C-4D1F-9889-A5658F405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4577DEA-C4C7-4734-BAEC-DF38AA5E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EBB43BC-4694-48D0-9C9B-F8A064754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B246D58-FF53-419B-A348-D96D2F73F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5AA7DB3-20D0-4B6D-A0A1-DAE91CF18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DC083E2-1026-47F1-B209-3574B8CE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86EF088-D196-4D55-B46C-1411EF6DF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B292BBF-E90B-4301-9096-BE2566214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E20FA7F-18F9-4314-B36F-94A0DADFA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FB79C4F-7D46-41BD-A93C-E99D85380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68BE-0DAA-4049-A5EC-83912CAE93C8}">
  <dimension ref="A1:AF87"/>
  <sheetViews>
    <sheetView zoomScale="72" zoomScaleNormal="72" zoomScaleSheetLayoutView="70" workbookViewId="0">
      <selection activeCell="AD6" sqref="AD6:AD2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10.3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163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31" t="s">
        <v>17</v>
      </c>
      <c r="L5" s="131" t="s">
        <v>18</v>
      </c>
      <c r="M5" s="131" t="s">
        <v>19</v>
      </c>
      <c r="N5" s="13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155</v>
      </c>
      <c r="E6" s="53" t="s">
        <v>154</v>
      </c>
      <c r="F6" s="30" t="s">
        <v>143</v>
      </c>
      <c r="G6" s="12">
        <v>1</v>
      </c>
      <c r="H6" s="13">
        <v>24</v>
      </c>
      <c r="I6" s="31">
        <v>13000</v>
      </c>
      <c r="J6" s="5">
        <v>3890</v>
      </c>
      <c r="K6" s="15">
        <f>L6+2910+4825+4128+4461+3890</f>
        <v>20214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4</v>
      </c>
      <c r="R6" s="7"/>
      <c r="S6" s="6"/>
      <c r="T6" s="16"/>
      <c r="U6" s="16"/>
      <c r="V6" s="17"/>
      <c r="W6" s="5">
        <v>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0.55729166666666674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127</v>
      </c>
      <c r="E7" s="53" t="s">
        <v>136</v>
      </c>
      <c r="F7" s="30" t="s">
        <v>132</v>
      </c>
      <c r="G7" s="12">
        <v>2</v>
      </c>
      <c r="H7" s="13">
        <v>28</v>
      </c>
      <c r="I7" s="31">
        <v>11000</v>
      </c>
      <c r="J7" s="5">
        <v>4846</v>
      </c>
      <c r="K7" s="15">
        <f>L7+6818+4846</f>
        <v>11664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0.55729166666666674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3826</v>
      </c>
      <c r="K8" s="15">
        <f>L8+1658+3024</f>
        <v>8508</v>
      </c>
      <c r="L8" s="15">
        <f>1002+2824</f>
        <v>3826</v>
      </c>
      <c r="M8" s="15">
        <f t="shared" si="0"/>
        <v>3826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0.55729166666666674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123</v>
      </c>
      <c r="D9" s="52"/>
      <c r="E9" s="53" t="s">
        <v>161</v>
      </c>
      <c r="F9" s="30" t="s">
        <v>119</v>
      </c>
      <c r="G9" s="33">
        <v>1</v>
      </c>
      <c r="H9" s="35">
        <v>24</v>
      </c>
      <c r="I9" s="7">
        <v>1500</v>
      </c>
      <c r="J9" s="14">
        <v>3705</v>
      </c>
      <c r="K9" s="15">
        <f>L9</f>
        <v>3705</v>
      </c>
      <c r="L9" s="15">
        <f>2012+1693</f>
        <v>3705</v>
      </c>
      <c r="M9" s="15">
        <f t="shared" si="0"/>
        <v>3705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/>
      <c r="T9" s="16"/>
      <c r="U9" s="16"/>
      <c r="V9" s="17"/>
      <c r="W9" s="5">
        <v>4</v>
      </c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0.55729166666666674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20000</v>
      </c>
      <c r="J10" s="5">
        <v>4988</v>
      </c>
      <c r="K10" s="15">
        <f>L10+3006</f>
        <v>7994</v>
      </c>
      <c r="L10" s="15">
        <f>2745+2243</f>
        <v>4988</v>
      </c>
      <c r="M10" s="15">
        <f t="shared" si="0"/>
        <v>4988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0.55729166666666674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120</v>
      </c>
      <c r="D11" s="52" t="s">
        <v>134</v>
      </c>
      <c r="E11" s="53" t="s">
        <v>160</v>
      </c>
      <c r="F11" s="30" t="s">
        <v>135</v>
      </c>
      <c r="G11" s="33">
        <v>16</v>
      </c>
      <c r="H11" s="35">
        <v>24</v>
      </c>
      <c r="I11" s="7">
        <v>180000</v>
      </c>
      <c r="J11" s="5">
        <v>55050</v>
      </c>
      <c r="K11" s="15">
        <f>L11+88832</f>
        <v>143882</v>
      </c>
      <c r="L11" s="15">
        <f>3320*10+2185*10</f>
        <v>55050</v>
      </c>
      <c r="M11" s="15">
        <f t="shared" si="0"/>
        <v>55050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>
        <v>3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>AC11*AB11*(1-O11)</f>
        <v>0.875</v>
      </c>
      <c r="AE11" s="36">
        <f t="shared" si="7"/>
        <v>0.55729166666666674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34000</v>
      </c>
      <c r="J12" s="14">
        <v>4163</v>
      </c>
      <c r="K12" s="15">
        <f>L12+2120+2858</f>
        <v>9141</v>
      </c>
      <c r="L12" s="15">
        <f>2314+1849</f>
        <v>4163</v>
      </c>
      <c r="M12" s="15">
        <f t="shared" si="0"/>
        <v>4163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9">AC12*AB12*(1-O12)</f>
        <v>1</v>
      </c>
      <c r="AE12" s="36">
        <f t="shared" si="7"/>
        <v>0.55729166666666674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126</v>
      </c>
      <c r="F13" s="30" t="s">
        <v>125</v>
      </c>
      <c r="G13" s="33">
        <v>3</v>
      </c>
      <c r="H13" s="35">
        <v>24</v>
      </c>
      <c r="I13" s="7">
        <v>850000</v>
      </c>
      <c r="J13" s="14">
        <v>13828</v>
      </c>
      <c r="K13" s="15">
        <f>L13+20676+20704+882+19912+11748+21560+18812+17048+21840+19920+21784+15116+10164+22344+20496+22064+21048+11316+20640+15348+14500+19708+20564+19264+19416+20408+20716+18988+17692+3636+18152+20008+19500+20576+20648+20164+21012+21240+19348+21776+19532+21784+7263+19344+20640</f>
        <v>833129</v>
      </c>
      <c r="L13" s="15">
        <f>1870*4+1587*4</f>
        <v>13828</v>
      </c>
      <c r="M13" s="15">
        <f t="shared" si="0"/>
        <v>13828</v>
      </c>
      <c r="N13" s="15">
        <v>0</v>
      </c>
      <c r="O13" s="58">
        <f t="shared" si="1"/>
        <v>0</v>
      </c>
      <c r="P13" s="39">
        <f t="shared" si="2"/>
        <v>18</v>
      </c>
      <c r="Q13" s="40">
        <f t="shared" si="3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0.75</v>
      </c>
      <c r="AD13" s="10">
        <f t="shared" si="9"/>
        <v>0.75</v>
      </c>
      <c r="AE13" s="36">
        <f t="shared" si="7"/>
        <v>0.55729166666666674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159</v>
      </c>
      <c r="F14" s="30" t="s">
        <v>145</v>
      </c>
      <c r="G14" s="33">
        <v>1</v>
      </c>
      <c r="H14" s="35">
        <v>24</v>
      </c>
      <c r="I14" s="7">
        <v>300</v>
      </c>
      <c r="J14" s="5">
        <v>562</v>
      </c>
      <c r="K14" s="15">
        <f>L14+562</f>
        <v>562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0.55729166666666674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166</v>
      </c>
      <c r="F15" s="12" t="s">
        <v>124</v>
      </c>
      <c r="G15" s="12">
        <v>1</v>
      </c>
      <c r="H15" s="13">
        <v>24</v>
      </c>
      <c r="I15" s="31">
        <v>5000</v>
      </c>
      <c r="J15" s="14">
        <v>3021</v>
      </c>
      <c r="K15" s="15">
        <f>L15</f>
        <v>3021</v>
      </c>
      <c r="L15" s="15">
        <f>3021</f>
        <v>3021</v>
      </c>
      <c r="M15" s="15">
        <f t="shared" si="0"/>
        <v>3021</v>
      </c>
      <c r="N15" s="15">
        <v>0</v>
      </c>
      <c r="O15" s="58">
        <f t="shared" si="1"/>
        <v>0</v>
      </c>
      <c r="P15" s="39">
        <f t="shared" si="2"/>
        <v>16</v>
      </c>
      <c r="Q15" s="40">
        <f t="shared" si="3"/>
        <v>8</v>
      </c>
      <c r="R15" s="7"/>
      <c r="S15" s="6"/>
      <c r="T15" s="16">
        <v>8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0.66666666666666663</v>
      </c>
      <c r="AD15" s="10">
        <f t="shared" si="6"/>
        <v>0.66666666666666663</v>
      </c>
      <c r="AE15" s="36">
        <f t="shared" si="7"/>
        <v>0.55729166666666674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20000</v>
      </c>
      <c r="J16" s="14">
        <v>3034</v>
      </c>
      <c r="K16" s="15">
        <f>L16+1024</f>
        <v>4058</v>
      </c>
      <c r="L16" s="15">
        <f>3034</f>
        <v>3034</v>
      </c>
      <c r="M16" s="15">
        <f t="shared" si="0"/>
        <v>3034</v>
      </c>
      <c r="N16" s="15">
        <v>0</v>
      </c>
      <c r="O16" s="58">
        <f t="shared" si="1"/>
        <v>0</v>
      </c>
      <c r="P16" s="39">
        <f t="shared" si="2"/>
        <v>16</v>
      </c>
      <c r="Q16" s="40">
        <f t="shared" si="3"/>
        <v>8</v>
      </c>
      <c r="R16" s="7"/>
      <c r="S16" s="6"/>
      <c r="T16" s="16">
        <v>8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6">
        <f t="shared" si="7"/>
        <v>0.55729166666666674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149</v>
      </c>
      <c r="D17" s="52" t="s">
        <v>150</v>
      </c>
      <c r="E17" s="53" t="s">
        <v>148</v>
      </c>
      <c r="F17" s="30" t="s">
        <v>157</v>
      </c>
      <c r="G17" s="33">
        <v>3</v>
      </c>
      <c r="H17" s="35">
        <v>24</v>
      </c>
      <c r="I17" s="7">
        <v>20000</v>
      </c>
      <c r="J17" s="5">
        <v>9663</v>
      </c>
      <c r="K17" s="15">
        <f>L17</f>
        <v>9663</v>
      </c>
      <c r="L17" s="15">
        <f>2937*3+284*3</f>
        <v>9663</v>
      </c>
      <c r="M17" s="15">
        <f t="shared" si="0"/>
        <v>9663</v>
      </c>
      <c r="N17" s="15">
        <v>0</v>
      </c>
      <c r="O17" s="58">
        <f t="shared" si="1"/>
        <v>0</v>
      </c>
      <c r="P17" s="39">
        <f t="shared" si="2"/>
        <v>15</v>
      </c>
      <c r="Q17" s="40">
        <f t="shared" si="3"/>
        <v>9</v>
      </c>
      <c r="R17" s="7"/>
      <c r="S17" s="6">
        <v>9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0.625</v>
      </c>
      <c r="AD17" s="10">
        <f t="shared" si="6"/>
        <v>0.625</v>
      </c>
      <c r="AE17" s="36">
        <f t="shared" si="7"/>
        <v>0.55729166666666674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123</v>
      </c>
      <c r="D18" s="52"/>
      <c r="E18" s="53" t="s">
        <v>162</v>
      </c>
      <c r="F18" s="30" t="s">
        <v>167</v>
      </c>
      <c r="G18" s="12">
        <v>1</v>
      </c>
      <c r="H18" s="13">
        <v>28</v>
      </c>
      <c r="I18" s="31">
        <v>1500</v>
      </c>
      <c r="J18" s="5">
        <v>2303</v>
      </c>
      <c r="K18" s="15">
        <f>L18</f>
        <v>2303</v>
      </c>
      <c r="L18" s="15">
        <f>1546+757</f>
        <v>2303</v>
      </c>
      <c r="M18" s="15">
        <f t="shared" si="0"/>
        <v>2303</v>
      </c>
      <c r="N18" s="15">
        <v>0</v>
      </c>
      <c r="O18" s="58">
        <f t="shared" si="1"/>
        <v>0</v>
      </c>
      <c r="P18" s="39">
        <f t="shared" si="2"/>
        <v>13</v>
      </c>
      <c r="Q18" s="40">
        <f t="shared" si="3"/>
        <v>11</v>
      </c>
      <c r="R18" s="7"/>
      <c r="S18" s="6">
        <v>3</v>
      </c>
      <c r="T18" s="16"/>
      <c r="U18" s="16"/>
      <c r="V18" s="17"/>
      <c r="W18" s="5">
        <v>8</v>
      </c>
      <c r="X18" s="16"/>
      <c r="Y18" s="16"/>
      <c r="Z18" s="16"/>
      <c r="AA18" s="18"/>
      <c r="AB18" s="8">
        <f t="shared" si="4"/>
        <v>1</v>
      </c>
      <c r="AC18" s="9">
        <f t="shared" si="5"/>
        <v>0.54166666666666663</v>
      </c>
      <c r="AD18" s="10">
        <f t="shared" si="6"/>
        <v>0.54166666666666663</v>
      </c>
      <c r="AE18" s="36">
        <f t="shared" si="7"/>
        <v>0.55729166666666674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115</v>
      </c>
      <c r="E19" s="53" t="s">
        <v>153</v>
      </c>
      <c r="F19" s="30" t="s">
        <v>146</v>
      </c>
      <c r="G19" s="33">
        <v>1</v>
      </c>
      <c r="H19" s="35">
        <v>24</v>
      </c>
      <c r="I19" s="7">
        <v>500</v>
      </c>
      <c r="J19" s="5">
        <v>362</v>
      </c>
      <c r="K19" s="15">
        <f>L19</f>
        <v>362</v>
      </c>
      <c r="L19" s="15">
        <f>207+155</f>
        <v>362</v>
      </c>
      <c r="M19" s="15">
        <f t="shared" si="0"/>
        <v>362</v>
      </c>
      <c r="N19" s="15">
        <v>0</v>
      </c>
      <c r="O19" s="58">
        <f t="shared" si="1"/>
        <v>0</v>
      </c>
      <c r="P19" s="39">
        <f t="shared" si="2"/>
        <v>4</v>
      </c>
      <c r="Q19" s="40">
        <f t="shared" si="3"/>
        <v>20</v>
      </c>
      <c r="R19" s="7"/>
      <c r="S19" s="6">
        <v>6</v>
      </c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4"/>
        <v>1</v>
      </c>
      <c r="AC19" s="9">
        <f t="shared" si="5"/>
        <v>0.16666666666666666</v>
      </c>
      <c r="AD19" s="10">
        <f>AC19*AB19*(1-O19)</f>
        <v>0.16666666666666666</v>
      </c>
      <c r="AE19" s="36">
        <f t="shared" si="7"/>
        <v>0.55729166666666674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121</v>
      </c>
      <c r="D20" s="52" t="s">
        <v>128</v>
      </c>
      <c r="E20" s="53" t="s">
        <v>129</v>
      </c>
      <c r="F20" s="30" t="s">
        <v>125</v>
      </c>
      <c r="G20" s="33">
        <v>4</v>
      </c>
      <c r="H20" s="35">
        <v>24</v>
      </c>
      <c r="I20" s="7">
        <v>800000</v>
      </c>
      <c r="J20" s="14">
        <v>20684</v>
      </c>
      <c r="K20" s="15">
        <f>L20+12980+20160+21332+21348+21424+21388+19544+8924+20020+20460+20164+15216+19816+4440+14220+18092+19996+19760+18952+19212+19884+19584+20060+9008+20204+20888+20700+21020+21856+19908+896+15056+21244+21108+20148+20884+21260+20956+21576</f>
        <v>734372</v>
      </c>
      <c r="L20" s="15">
        <f>2818*4+2353*4</f>
        <v>20684</v>
      </c>
      <c r="M20" s="15">
        <f t="shared" si="0"/>
        <v>20684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ref="AD20" si="10">AC20*AB20*(1-O20)</f>
        <v>1</v>
      </c>
      <c r="AE20" s="36">
        <f t="shared" si="7"/>
        <v>0.55729166666666674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30748</v>
      </c>
      <c r="K21" s="15">
        <f>L21+46004+81588+47056+35856+81716+45768+30748</f>
        <v>368736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0.55729166666666674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1">SUM(I6:I21)</f>
        <v>2506800</v>
      </c>
      <c r="J22" s="19">
        <f t="shared" si="11"/>
        <v>164673</v>
      </c>
      <c r="K22" s="20">
        <f t="shared" si="11"/>
        <v>2161314</v>
      </c>
      <c r="L22" s="21">
        <f t="shared" si="11"/>
        <v>124627</v>
      </c>
      <c r="M22" s="20">
        <f t="shared" si="11"/>
        <v>124627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214</v>
      </c>
      <c r="Q22" s="43">
        <f t="shared" si="12"/>
        <v>150</v>
      </c>
      <c r="R22" s="23">
        <f t="shared" si="12"/>
        <v>3</v>
      </c>
      <c r="S22" s="24">
        <f t="shared" si="12"/>
        <v>29</v>
      </c>
      <c r="T22" s="24">
        <f t="shared" si="12"/>
        <v>16</v>
      </c>
      <c r="U22" s="24">
        <f t="shared" si="12"/>
        <v>0</v>
      </c>
      <c r="V22" s="25">
        <f t="shared" si="12"/>
        <v>24</v>
      </c>
      <c r="W22" s="26">
        <f t="shared" si="12"/>
        <v>54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24</v>
      </c>
      <c r="AB22" s="28">
        <f>AVERAGE(AB6:AB21)</f>
        <v>0.75</v>
      </c>
      <c r="AC22" s="4">
        <f t="shared" ref="AC22:AD22" si="13">AVERAGE(AC6:AC21)</f>
        <v>0.55729166666666674</v>
      </c>
      <c r="AD22" s="4">
        <f t="shared" si="13"/>
        <v>0.55729166666666674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168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181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130" t="s">
        <v>46</v>
      </c>
      <c r="D51" s="130" t="s">
        <v>47</v>
      </c>
      <c r="E51" s="130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130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120</v>
      </c>
      <c r="B52" s="527"/>
      <c r="C52" s="127" t="s">
        <v>130</v>
      </c>
      <c r="D52" s="127" t="s">
        <v>128</v>
      </c>
      <c r="E52" s="127" t="s">
        <v>156</v>
      </c>
      <c r="F52" s="528" t="s">
        <v>169</v>
      </c>
      <c r="G52" s="529"/>
      <c r="H52" s="529"/>
      <c r="I52" s="529"/>
      <c r="J52" s="529"/>
      <c r="K52" s="529"/>
      <c r="L52" s="529"/>
      <c r="M52" s="530"/>
      <c r="N52" s="126" t="s">
        <v>184</v>
      </c>
      <c r="O52" s="124" t="s">
        <v>185</v>
      </c>
      <c r="P52" s="540" t="s">
        <v>165</v>
      </c>
      <c r="Q52" s="541"/>
      <c r="R52" s="540" t="s">
        <v>182</v>
      </c>
      <c r="S52" s="542"/>
      <c r="T52" s="542"/>
      <c r="U52" s="541"/>
      <c r="V52" s="510" t="s">
        <v>183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123</v>
      </c>
      <c r="B53" s="527"/>
      <c r="C53" s="127" t="s">
        <v>142</v>
      </c>
      <c r="D53" s="127"/>
      <c r="E53" s="127" t="s">
        <v>170</v>
      </c>
      <c r="F53" s="528" t="s">
        <v>118</v>
      </c>
      <c r="G53" s="529"/>
      <c r="H53" s="529"/>
      <c r="I53" s="529"/>
      <c r="J53" s="529"/>
      <c r="K53" s="529"/>
      <c r="L53" s="529"/>
      <c r="M53" s="530"/>
      <c r="N53" s="126" t="s">
        <v>178</v>
      </c>
      <c r="O53" s="124" t="s">
        <v>185</v>
      </c>
      <c r="P53" s="540" t="s">
        <v>187</v>
      </c>
      <c r="Q53" s="541"/>
      <c r="R53" s="540" t="s">
        <v>186</v>
      </c>
      <c r="S53" s="542"/>
      <c r="T53" s="542"/>
      <c r="U53" s="541"/>
      <c r="V53" s="510" t="s">
        <v>183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123</v>
      </c>
      <c r="B54" s="527"/>
      <c r="C54" s="127" t="s">
        <v>147</v>
      </c>
      <c r="D54" s="127"/>
      <c r="E54" s="127" t="s">
        <v>171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126" t="s">
        <v>189</v>
      </c>
      <c r="O54" s="124" t="s">
        <v>190</v>
      </c>
      <c r="P54" s="540" t="s">
        <v>191</v>
      </c>
      <c r="Q54" s="541"/>
      <c r="R54" s="540" t="s">
        <v>188</v>
      </c>
      <c r="S54" s="542"/>
      <c r="T54" s="542"/>
      <c r="U54" s="541"/>
      <c r="V54" s="510" t="s">
        <v>183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149</v>
      </c>
      <c r="B55" s="527"/>
      <c r="C55" s="127" t="s">
        <v>141</v>
      </c>
      <c r="D55" s="127" t="s">
        <v>150</v>
      </c>
      <c r="E55" s="127" t="s">
        <v>172</v>
      </c>
      <c r="F55" s="528" t="s">
        <v>151</v>
      </c>
      <c r="G55" s="529"/>
      <c r="H55" s="529"/>
      <c r="I55" s="529"/>
      <c r="J55" s="529"/>
      <c r="K55" s="529"/>
      <c r="L55" s="529"/>
      <c r="M55" s="530"/>
      <c r="N55" s="126" t="s">
        <v>193</v>
      </c>
      <c r="O55" s="124" t="s">
        <v>194</v>
      </c>
      <c r="P55" s="540" t="s">
        <v>191</v>
      </c>
      <c r="Q55" s="541"/>
      <c r="R55" s="540" t="s">
        <v>192</v>
      </c>
      <c r="S55" s="542"/>
      <c r="T55" s="542"/>
      <c r="U55" s="541"/>
      <c r="V55" s="510" t="s">
        <v>183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127" t="s">
        <v>174</v>
      </c>
      <c r="D56" s="127" t="s">
        <v>115</v>
      </c>
      <c r="E56" s="127" t="s">
        <v>173</v>
      </c>
      <c r="F56" s="528" t="s">
        <v>151</v>
      </c>
      <c r="G56" s="529"/>
      <c r="H56" s="529"/>
      <c r="I56" s="529"/>
      <c r="J56" s="529"/>
      <c r="K56" s="529"/>
      <c r="L56" s="529"/>
      <c r="M56" s="530"/>
      <c r="N56" s="126"/>
      <c r="O56" s="124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178</v>
      </c>
      <c r="B57" s="527"/>
      <c r="C57" s="127" t="s">
        <v>179</v>
      </c>
      <c r="D57" s="127" t="s">
        <v>115</v>
      </c>
      <c r="E57" s="127" t="s">
        <v>175</v>
      </c>
      <c r="F57" s="528" t="s">
        <v>177</v>
      </c>
      <c r="G57" s="529"/>
      <c r="H57" s="529"/>
      <c r="I57" s="529"/>
      <c r="J57" s="529"/>
      <c r="K57" s="529"/>
      <c r="L57" s="529"/>
      <c r="M57" s="530"/>
      <c r="N57" s="126"/>
      <c r="O57" s="124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120</v>
      </c>
      <c r="B58" s="527"/>
      <c r="C58" s="127" t="s">
        <v>180</v>
      </c>
      <c r="D58" s="127" t="s">
        <v>165</v>
      </c>
      <c r="E58" s="127" t="s">
        <v>176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126"/>
      <c r="O58" s="124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127"/>
      <c r="D59" s="127"/>
      <c r="E59" s="127"/>
      <c r="F59" s="528"/>
      <c r="G59" s="529"/>
      <c r="H59" s="529"/>
      <c r="I59" s="529"/>
      <c r="J59" s="529"/>
      <c r="K59" s="529"/>
      <c r="L59" s="529"/>
      <c r="M59" s="530"/>
      <c r="N59" s="126"/>
      <c r="O59" s="124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127"/>
      <c r="D60" s="127"/>
      <c r="E60" s="127"/>
      <c r="F60" s="528"/>
      <c r="G60" s="529"/>
      <c r="H60" s="529"/>
      <c r="I60" s="529"/>
      <c r="J60" s="529"/>
      <c r="K60" s="529"/>
      <c r="L60" s="529"/>
      <c r="M60" s="530"/>
      <c r="N60" s="126"/>
      <c r="O60" s="124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128"/>
      <c r="D61" s="129"/>
      <c r="E61" s="129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195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125" t="s">
        <v>2</v>
      </c>
      <c r="D63" s="125" t="s">
        <v>37</v>
      </c>
      <c r="E63" s="125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125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121</v>
      </c>
      <c r="D64" s="120"/>
      <c r="E64" s="123" t="s">
        <v>196</v>
      </c>
      <c r="F64" s="513" t="s">
        <v>197</v>
      </c>
      <c r="G64" s="514"/>
      <c r="H64" s="514"/>
      <c r="I64" s="514"/>
      <c r="J64" s="515"/>
      <c r="K64" s="497" t="s">
        <v>198</v>
      </c>
      <c r="L64" s="497"/>
      <c r="M64" s="51" t="s">
        <v>144</v>
      </c>
      <c r="N64" s="511" t="s">
        <v>137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189</v>
      </c>
      <c r="D65" s="120"/>
      <c r="E65" s="123" t="s">
        <v>191</v>
      </c>
      <c r="F65" s="513" t="s">
        <v>199</v>
      </c>
      <c r="G65" s="514"/>
      <c r="H65" s="514"/>
      <c r="I65" s="514"/>
      <c r="J65" s="515"/>
      <c r="K65" s="497">
        <v>7301</v>
      </c>
      <c r="L65" s="497"/>
      <c r="M65" s="51" t="s">
        <v>200</v>
      </c>
      <c r="N65" s="511" t="s">
        <v>201</v>
      </c>
      <c r="O65" s="511"/>
      <c r="P65" s="512">
        <v>50</v>
      </c>
      <c r="Q65" s="512"/>
      <c r="R65" s="510" t="s">
        <v>202</v>
      </c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120"/>
      <c r="E66" s="123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120"/>
      <c r="E67" s="123"/>
      <c r="F67" s="513"/>
      <c r="G67" s="514"/>
      <c r="H67" s="514"/>
      <c r="I67" s="514"/>
      <c r="J67" s="515"/>
      <c r="K67" s="516"/>
      <c r="L67" s="504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120"/>
      <c r="E68" s="123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120"/>
      <c r="E69" s="123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120"/>
      <c r="E70" s="123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120"/>
      <c r="E71" s="123"/>
      <c r="F71" s="505"/>
      <c r="G71" s="497"/>
      <c r="H71" s="497"/>
      <c r="I71" s="497"/>
      <c r="J71" s="497"/>
      <c r="K71" s="497"/>
      <c r="L71" s="497"/>
      <c r="M71" s="51"/>
      <c r="N71" s="506"/>
      <c r="O71" s="507"/>
      <c r="P71" s="508"/>
      <c r="Q71" s="509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6.25" customHeight="1" thickBot="1">
      <c r="A72" s="477" t="s">
        <v>203</v>
      </c>
      <c r="B72" s="477"/>
      <c r="C72" s="477"/>
      <c r="D72" s="477"/>
      <c r="E72" s="47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8" t="s">
        <v>111</v>
      </c>
      <c r="B73" s="479"/>
      <c r="C73" s="122" t="s">
        <v>2</v>
      </c>
      <c r="D73" s="122" t="s">
        <v>37</v>
      </c>
      <c r="E73" s="122" t="s">
        <v>3</v>
      </c>
      <c r="F73" s="479" t="s">
        <v>38</v>
      </c>
      <c r="G73" s="479"/>
      <c r="H73" s="479"/>
      <c r="I73" s="479"/>
      <c r="J73" s="479"/>
      <c r="K73" s="499" t="s">
        <v>58</v>
      </c>
      <c r="L73" s="500"/>
      <c r="M73" s="500"/>
      <c r="N73" s="500"/>
      <c r="O73" s="500"/>
      <c r="P73" s="500"/>
      <c r="Q73" s="500"/>
      <c r="R73" s="500"/>
      <c r="S73" s="501"/>
      <c r="T73" s="479" t="s">
        <v>49</v>
      </c>
      <c r="U73" s="479"/>
      <c r="V73" s="499" t="s">
        <v>50</v>
      </c>
      <c r="W73" s="501"/>
      <c r="X73" s="500" t="s">
        <v>51</v>
      </c>
      <c r="Y73" s="500"/>
      <c r="Z73" s="500"/>
      <c r="AA73" s="500"/>
      <c r="AB73" s="500"/>
      <c r="AC73" s="500"/>
      <c r="AD73" s="502"/>
      <c r="AF73" s="50"/>
    </row>
    <row r="74" spans="1:32" ht="33.75" customHeight="1">
      <c r="A74" s="471">
        <v>1</v>
      </c>
      <c r="B74" s="472"/>
      <c r="C74" s="121" t="s">
        <v>112</v>
      </c>
      <c r="D74" s="121"/>
      <c r="E74" s="65" t="s">
        <v>117</v>
      </c>
      <c r="F74" s="486" t="s">
        <v>116</v>
      </c>
      <c r="G74" s="487"/>
      <c r="H74" s="487"/>
      <c r="I74" s="487"/>
      <c r="J74" s="488"/>
      <c r="K74" s="489" t="s">
        <v>122</v>
      </c>
      <c r="L74" s="490"/>
      <c r="M74" s="490"/>
      <c r="N74" s="490"/>
      <c r="O74" s="490"/>
      <c r="P74" s="490"/>
      <c r="Q74" s="490"/>
      <c r="R74" s="490"/>
      <c r="S74" s="491"/>
      <c r="T74" s="492">
        <v>43675</v>
      </c>
      <c r="U74" s="493"/>
      <c r="V74" s="494"/>
      <c r="W74" s="494"/>
      <c r="X74" s="495"/>
      <c r="Y74" s="495"/>
      <c r="Z74" s="495"/>
      <c r="AA74" s="495"/>
      <c r="AB74" s="495"/>
      <c r="AC74" s="495"/>
      <c r="AD74" s="496"/>
      <c r="AF74" s="50"/>
    </row>
    <row r="75" spans="1:32" ht="30" customHeight="1">
      <c r="A75" s="464">
        <f>A74+1</f>
        <v>2</v>
      </c>
      <c r="B75" s="465"/>
      <c r="C75" s="120"/>
      <c r="D75" s="120"/>
      <c r="E75" s="32"/>
      <c r="F75" s="465"/>
      <c r="G75" s="465"/>
      <c r="H75" s="465"/>
      <c r="I75" s="465"/>
      <c r="J75" s="465"/>
      <c r="K75" s="480"/>
      <c r="L75" s="481"/>
      <c r="M75" s="481"/>
      <c r="N75" s="481"/>
      <c r="O75" s="481"/>
      <c r="P75" s="481"/>
      <c r="Q75" s="481"/>
      <c r="R75" s="481"/>
      <c r="S75" s="482"/>
      <c r="T75" s="483"/>
      <c r="U75" s="483"/>
      <c r="V75" s="483"/>
      <c r="W75" s="483"/>
      <c r="X75" s="484"/>
      <c r="Y75" s="484"/>
      <c r="Z75" s="484"/>
      <c r="AA75" s="484"/>
      <c r="AB75" s="484"/>
      <c r="AC75" s="484"/>
      <c r="AD75" s="485"/>
      <c r="AF75" s="50"/>
    </row>
    <row r="76" spans="1:32" ht="30" customHeight="1">
      <c r="A76" s="464">
        <f t="shared" ref="A76:A82" si="14">A75+1</f>
        <v>3</v>
      </c>
      <c r="B76" s="465"/>
      <c r="C76" s="120"/>
      <c r="D76" s="120"/>
      <c r="E76" s="32"/>
      <c r="F76" s="465"/>
      <c r="G76" s="465"/>
      <c r="H76" s="465"/>
      <c r="I76" s="465"/>
      <c r="J76" s="465"/>
      <c r="K76" s="480"/>
      <c r="L76" s="481"/>
      <c r="M76" s="481"/>
      <c r="N76" s="481"/>
      <c r="O76" s="481"/>
      <c r="P76" s="481"/>
      <c r="Q76" s="481"/>
      <c r="R76" s="481"/>
      <c r="S76" s="482"/>
      <c r="T76" s="483"/>
      <c r="U76" s="483"/>
      <c r="V76" s="483"/>
      <c r="W76" s="483"/>
      <c r="X76" s="484"/>
      <c r="Y76" s="484"/>
      <c r="Z76" s="484"/>
      <c r="AA76" s="484"/>
      <c r="AB76" s="484"/>
      <c r="AC76" s="484"/>
      <c r="AD76" s="485"/>
      <c r="AF76" s="50"/>
    </row>
    <row r="77" spans="1:32" ht="30" customHeight="1">
      <c r="A77" s="464">
        <f t="shared" si="14"/>
        <v>4</v>
      </c>
      <c r="B77" s="465"/>
      <c r="C77" s="120"/>
      <c r="D77" s="120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si="14"/>
        <v>5</v>
      </c>
      <c r="B78" s="465"/>
      <c r="C78" s="120"/>
      <c r="D78" s="120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4"/>
        <v>6</v>
      </c>
      <c r="B79" s="465"/>
      <c r="C79" s="120"/>
      <c r="D79" s="120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4"/>
        <v>7</v>
      </c>
      <c r="B80" s="465"/>
      <c r="C80" s="120"/>
      <c r="D80" s="120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4"/>
        <v>8</v>
      </c>
      <c r="B81" s="465"/>
      <c r="C81" s="120"/>
      <c r="D81" s="120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4"/>
        <v>9</v>
      </c>
      <c r="B82" s="465"/>
      <c r="C82" s="120"/>
      <c r="D82" s="120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232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C2EC-6FB1-4309-9F91-554CC315AE80}">
  <dimension ref="A1:AF89"/>
  <sheetViews>
    <sheetView zoomScale="72" zoomScaleNormal="72" zoomScaleSheetLayoutView="70" workbookViewId="0">
      <selection activeCell="Y13" sqref="Y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204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32" t="s">
        <v>17</v>
      </c>
      <c r="L5" s="132" t="s">
        <v>18</v>
      </c>
      <c r="M5" s="132" t="s">
        <v>19</v>
      </c>
      <c r="N5" s="1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131</v>
      </c>
      <c r="E6" s="53" t="s">
        <v>186</v>
      </c>
      <c r="F6" s="30" t="s">
        <v>205</v>
      </c>
      <c r="G6" s="12">
        <v>4</v>
      </c>
      <c r="H6" s="13">
        <v>24</v>
      </c>
      <c r="I6" s="31">
        <v>20000</v>
      </c>
      <c r="J6" s="5">
        <v>9048</v>
      </c>
      <c r="K6" s="15">
        <f>L6</f>
        <v>9048</v>
      </c>
      <c r="L6" s="15">
        <f>2262*4</f>
        <v>9048</v>
      </c>
      <c r="M6" s="15">
        <f t="shared" ref="M6:M23" si="0">L6-N6</f>
        <v>9048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12</v>
      </c>
      <c r="Q6" s="40">
        <f t="shared" ref="Q6:Q23" si="3">SUM(R6:AA6)</f>
        <v>12</v>
      </c>
      <c r="R6" s="7"/>
      <c r="S6" s="6"/>
      <c r="T6" s="16">
        <v>12</v>
      </c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0.5</v>
      </c>
      <c r="AD6" s="10">
        <f t="shared" ref="AD6:AD23" si="6">AC6*AB6*(1-O6)</f>
        <v>0.5</v>
      </c>
      <c r="AE6" s="36">
        <f t="shared" ref="AE6:AE23" si="7">$AD$24</f>
        <v>0.48842592592592599</v>
      </c>
      <c r="AF6" s="84">
        <f t="shared" ref="AF6:AF23" si="8">A6</f>
        <v>1</v>
      </c>
    </row>
    <row r="7" spans="1:32" ht="27" customHeight="1">
      <c r="A7" s="113">
        <v>1</v>
      </c>
      <c r="B7" s="11" t="s">
        <v>57</v>
      </c>
      <c r="C7" s="34" t="s">
        <v>120</v>
      </c>
      <c r="D7" s="52" t="s">
        <v>165</v>
      </c>
      <c r="E7" s="53" t="s">
        <v>206</v>
      </c>
      <c r="F7" s="30" t="s">
        <v>143</v>
      </c>
      <c r="G7" s="12">
        <v>1</v>
      </c>
      <c r="H7" s="13">
        <v>28</v>
      </c>
      <c r="I7" s="31">
        <v>2000</v>
      </c>
      <c r="J7" s="5">
        <v>2305</v>
      </c>
      <c r="K7" s="15">
        <f>L7</f>
        <v>2305</v>
      </c>
      <c r="L7" s="15">
        <f>2305</f>
        <v>2305</v>
      </c>
      <c r="M7" s="15">
        <f t="shared" ref="M7" si="9">L7-N7</f>
        <v>2305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11</v>
      </c>
      <c r="Q7" s="40">
        <f t="shared" ref="Q7" si="12">SUM(R7:AA7)</f>
        <v>13</v>
      </c>
      <c r="R7" s="7"/>
      <c r="S7" s="6"/>
      <c r="T7" s="16"/>
      <c r="U7" s="16"/>
      <c r="V7" s="17"/>
      <c r="W7" s="5">
        <v>13</v>
      </c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0.45833333333333331</v>
      </c>
      <c r="AD7" s="10">
        <f t="shared" ref="AD7" si="15">AC7*AB7*(1-O7)</f>
        <v>0.45833333333333331</v>
      </c>
      <c r="AE7" s="36">
        <f t="shared" si="7"/>
        <v>0.48842592592592599</v>
      </c>
      <c r="AF7" s="84">
        <f t="shared" ref="AF7" si="16">A7</f>
        <v>1</v>
      </c>
    </row>
    <row r="8" spans="1:32" ht="27" customHeight="1">
      <c r="A8" s="113">
        <v>2</v>
      </c>
      <c r="B8" s="11" t="s">
        <v>57</v>
      </c>
      <c r="C8" s="34" t="s">
        <v>112</v>
      </c>
      <c r="D8" s="52" t="s">
        <v>155</v>
      </c>
      <c r="E8" s="53" t="s">
        <v>207</v>
      </c>
      <c r="F8" s="30" t="s">
        <v>143</v>
      </c>
      <c r="G8" s="12">
        <v>1</v>
      </c>
      <c r="H8" s="13">
        <v>28</v>
      </c>
      <c r="I8" s="31">
        <v>3000</v>
      </c>
      <c r="J8" s="5">
        <v>3089</v>
      </c>
      <c r="K8" s="15">
        <f>L8</f>
        <v>3089</v>
      </c>
      <c r="L8" s="15">
        <v>3089</v>
      </c>
      <c r="M8" s="15">
        <f t="shared" si="0"/>
        <v>3089</v>
      </c>
      <c r="N8" s="15">
        <v>0</v>
      </c>
      <c r="O8" s="58">
        <f t="shared" si="1"/>
        <v>0</v>
      </c>
      <c r="P8" s="39">
        <f t="shared" si="2"/>
        <v>15</v>
      </c>
      <c r="Q8" s="40">
        <f t="shared" si="3"/>
        <v>9</v>
      </c>
      <c r="R8" s="7"/>
      <c r="S8" s="6"/>
      <c r="T8" s="16"/>
      <c r="U8" s="16"/>
      <c r="V8" s="17"/>
      <c r="W8" s="5"/>
      <c r="X8" s="16"/>
      <c r="Y8" s="16"/>
      <c r="Z8" s="16"/>
      <c r="AA8" s="18">
        <v>9</v>
      </c>
      <c r="AB8" s="8">
        <f t="shared" si="4"/>
        <v>1</v>
      </c>
      <c r="AC8" s="9">
        <f t="shared" si="5"/>
        <v>0.625</v>
      </c>
      <c r="AD8" s="10">
        <f t="shared" si="6"/>
        <v>0.625</v>
      </c>
      <c r="AE8" s="36">
        <f t="shared" si="7"/>
        <v>0.48842592592592599</v>
      </c>
      <c r="AF8" s="84">
        <f t="shared" si="8"/>
        <v>2</v>
      </c>
    </row>
    <row r="9" spans="1:32" ht="27" customHeight="1">
      <c r="A9" s="95">
        <v>3</v>
      </c>
      <c r="B9" s="11" t="s">
        <v>57</v>
      </c>
      <c r="C9" s="11" t="s">
        <v>120</v>
      </c>
      <c r="D9" s="52" t="s">
        <v>128</v>
      </c>
      <c r="E9" s="53" t="s">
        <v>156</v>
      </c>
      <c r="F9" s="30" t="s">
        <v>146</v>
      </c>
      <c r="G9" s="33">
        <v>1</v>
      </c>
      <c r="H9" s="35">
        <v>24</v>
      </c>
      <c r="I9" s="7">
        <v>50000</v>
      </c>
      <c r="J9" s="14">
        <v>5621</v>
      </c>
      <c r="K9" s="15">
        <f>L9+1658+3024+3826</f>
        <v>14129</v>
      </c>
      <c r="L9" s="15">
        <f>2751+2870</f>
        <v>5621</v>
      </c>
      <c r="M9" s="15">
        <f t="shared" si="0"/>
        <v>5621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0.48842592592592599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11" t="s">
        <v>123</v>
      </c>
      <c r="D10" s="52"/>
      <c r="E10" s="53" t="s">
        <v>161</v>
      </c>
      <c r="F10" s="30" t="s">
        <v>119</v>
      </c>
      <c r="G10" s="33">
        <v>1</v>
      </c>
      <c r="H10" s="35">
        <v>24</v>
      </c>
      <c r="I10" s="7">
        <v>1500</v>
      </c>
      <c r="J10" s="14">
        <v>3705</v>
      </c>
      <c r="K10" s="15">
        <f>L10+3705</f>
        <v>3705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0.48842592592592599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34" t="s">
        <v>112</v>
      </c>
      <c r="D11" s="52" t="s">
        <v>131</v>
      </c>
      <c r="E11" s="53" t="s">
        <v>158</v>
      </c>
      <c r="F11" s="30" t="s">
        <v>124</v>
      </c>
      <c r="G11" s="33">
        <v>1</v>
      </c>
      <c r="H11" s="35">
        <v>24</v>
      </c>
      <c r="I11" s="7">
        <v>20000</v>
      </c>
      <c r="J11" s="5">
        <v>687</v>
      </c>
      <c r="K11" s="15">
        <f>L11+3006+4988</f>
        <v>8681</v>
      </c>
      <c r="L11" s="15">
        <v>687</v>
      </c>
      <c r="M11" s="15">
        <f t="shared" si="0"/>
        <v>687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>AC11*AB11*(1-O11)</f>
        <v>0.16666666666666666</v>
      </c>
      <c r="AE11" s="36">
        <f t="shared" si="7"/>
        <v>0.48842592592592599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34" t="s">
        <v>120</v>
      </c>
      <c r="D12" s="52" t="s">
        <v>134</v>
      </c>
      <c r="E12" s="53" t="s">
        <v>160</v>
      </c>
      <c r="F12" s="30" t="s">
        <v>135</v>
      </c>
      <c r="G12" s="33">
        <v>16</v>
      </c>
      <c r="H12" s="35">
        <v>24</v>
      </c>
      <c r="I12" s="7">
        <v>180000</v>
      </c>
      <c r="J12" s="5">
        <v>22800</v>
      </c>
      <c r="K12" s="15">
        <f>L12+88832+55050</f>
        <v>166682</v>
      </c>
      <c r="L12" s="15">
        <f>2280*10</f>
        <v>22800</v>
      </c>
      <c r="M12" s="15">
        <f t="shared" si="0"/>
        <v>22800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>
        <v>18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>AC12*AB12*(1-O12)</f>
        <v>0.25</v>
      </c>
      <c r="AE12" s="36">
        <f t="shared" si="7"/>
        <v>0.48842592592592599</v>
      </c>
      <c r="AF12" s="84">
        <f t="shared" si="8"/>
        <v>6</v>
      </c>
    </row>
    <row r="13" spans="1:32" ht="27" customHeight="1">
      <c r="A13" s="96">
        <v>6</v>
      </c>
      <c r="B13" s="11" t="s">
        <v>57</v>
      </c>
      <c r="C13" s="11" t="s">
        <v>112</v>
      </c>
      <c r="D13" s="52" t="s">
        <v>208</v>
      </c>
      <c r="E13" s="53" t="s">
        <v>209</v>
      </c>
      <c r="F13" s="30" t="s">
        <v>210</v>
      </c>
      <c r="G13" s="33">
        <v>1</v>
      </c>
      <c r="H13" s="35">
        <v>24</v>
      </c>
      <c r="I13" s="7">
        <v>6000</v>
      </c>
      <c r="J13" s="14">
        <v>2944</v>
      </c>
      <c r="K13" s="15">
        <f>L13</f>
        <v>2944</v>
      </c>
      <c r="L13" s="15">
        <f>2944</f>
        <v>2944</v>
      </c>
      <c r="M13" s="15">
        <f t="shared" ref="M13" si="17">L13-N13</f>
        <v>2944</v>
      </c>
      <c r="N13" s="15">
        <v>0</v>
      </c>
      <c r="O13" s="58">
        <f t="shared" ref="O13" si="18">IF(L13=0,"0",N13/L13)</f>
        <v>0</v>
      </c>
      <c r="P13" s="39">
        <f t="shared" ref="P13" si="19">IF(L13=0,"0",(24-Q13))</f>
        <v>14</v>
      </c>
      <c r="Q13" s="40">
        <f t="shared" ref="Q13" si="20">SUM(R13:AA13)</f>
        <v>10</v>
      </c>
      <c r="R13" s="7"/>
      <c r="S13" s="6"/>
      <c r="T13" s="16">
        <v>10</v>
      </c>
      <c r="U13" s="16"/>
      <c r="V13" s="17"/>
      <c r="W13" s="5"/>
      <c r="X13" s="16"/>
      <c r="Y13" s="16"/>
      <c r="Z13" s="16"/>
      <c r="AA13" s="18"/>
      <c r="AB13" s="8">
        <f t="shared" ref="AB13" si="21">IF(J13=0,"0",(L13/J13))</f>
        <v>1</v>
      </c>
      <c r="AC13" s="9">
        <f t="shared" ref="AC13" si="22">IF(P13=0,"0",(P13/24))</f>
        <v>0.58333333333333337</v>
      </c>
      <c r="AD13" s="10">
        <f t="shared" ref="AD13" si="23">AC13*AB13*(1-O13)</f>
        <v>0.58333333333333337</v>
      </c>
      <c r="AE13" s="36">
        <f t="shared" si="7"/>
        <v>0.48842592592592599</v>
      </c>
      <c r="AF13" s="84">
        <f t="shared" ref="AF13" si="24">A13</f>
        <v>6</v>
      </c>
    </row>
    <row r="14" spans="1:32" ht="27" customHeight="1">
      <c r="A14" s="96">
        <v>7</v>
      </c>
      <c r="B14" s="11" t="s">
        <v>57</v>
      </c>
      <c r="C14" s="11" t="s">
        <v>112</v>
      </c>
      <c r="D14" s="52" t="s">
        <v>115</v>
      </c>
      <c r="E14" s="53" t="s">
        <v>116</v>
      </c>
      <c r="F14" s="30" t="s">
        <v>119</v>
      </c>
      <c r="G14" s="33">
        <v>1</v>
      </c>
      <c r="H14" s="35">
        <v>24</v>
      </c>
      <c r="I14" s="7">
        <v>34000</v>
      </c>
      <c r="J14" s="14">
        <v>3861</v>
      </c>
      <c r="K14" s="15">
        <f>L14+2120+2858+4163</f>
        <v>13002</v>
      </c>
      <c r="L14" s="15">
        <f>2084+1777</f>
        <v>3861</v>
      </c>
      <c r="M14" s="15">
        <f t="shared" si="0"/>
        <v>3861</v>
      </c>
      <c r="N14" s="15">
        <v>0</v>
      </c>
      <c r="O14" s="58">
        <f t="shared" si="1"/>
        <v>0</v>
      </c>
      <c r="P14" s="39">
        <f t="shared" si="2"/>
        <v>21</v>
      </c>
      <c r="Q14" s="40">
        <f t="shared" si="3"/>
        <v>3</v>
      </c>
      <c r="R14" s="7">
        <v>3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0.875</v>
      </c>
      <c r="AD14" s="10">
        <f t="shared" ref="AD14:AD16" si="25">AC14*AB14*(1-O14)</f>
        <v>0.875</v>
      </c>
      <c r="AE14" s="36">
        <f t="shared" si="7"/>
        <v>0.48842592592592599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11" t="s">
        <v>121</v>
      </c>
      <c r="D15" s="52" t="s">
        <v>115</v>
      </c>
      <c r="E15" s="53" t="s">
        <v>126</v>
      </c>
      <c r="F15" s="30" t="s">
        <v>125</v>
      </c>
      <c r="G15" s="33">
        <v>3</v>
      </c>
      <c r="H15" s="35">
        <v>24</v>
      </c>
      <c r="I15" s="7">
        <v>850000</v>
      </c>
      <c r="J15" s="14">
        <v>2508</v>
      </c>
      <c r="K15" s="15">
        <f>L15+20676+20704+882+19912+11748+21560+18812+17048+21840+19920+21784+15116+10164+22344+20496+22064+21048+11316+20640+15348+14500+19708+20564+19264+19416+20408+20716+18988+17692+3636+18152+20008+19500+20576+20648+20164+21012+21240+19348+21776+19532+21784+7263+19344+20640+13828</f>
        <v>835637</v>
      </c>
      <c r="L15" s="15">
        <f>627*4</f>
        <v>2508</v>
      </c>
      <c r="M15" s="15">
        <f t="shared" si="0"/>
        <v>2508</v>
      </c>
      <c r="N15" s="15">
        <v>0</v>
      </c>
      <c r="O15" s="58">
        <f t="shared" si="1"/>
        <v>0</v>
      </c>
      <c r="P15" s="39">
        <f t="shared" si="2"/>
        <v>4</v>
      </c>
      <c r="Q15" s="40">
        <f t="shared" si="3"/>
        <v>20</v>
      </c>
      <c r="R15" s="7"/>
      <c r="S15" s="6">
        <v>20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0.16666666666666666</v>
      </c>
      <c r="AD15" s="10">
        <f t="shared" si="25"/>
        <v>0.16666666666666666</v>
      </c>
      <c r="AE15" s="36">
        <f t="shared" si="7"/>
        <v>0.48842592592592599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159</v>
      </c>
      <c r="F16" s="30" t="s">
        <v>145</v>
      </c>
      <c r="G16" s="33">
        <v>1</v>
      </c>
      <c r="H16" s="35">
        <v>24</v>
      </c>
      <c r="I16" s="7">
        <v>300</v>
      </c>
      <c r="J16" s="5">
        <v>562</v>
      </c>
      <c r="K16" s="15">
        <f>L16+562</f>
        <v>562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25"/>
        <v>0</v>
      </c>
      <c r="AE16" s="36">
        <f t="shared" si="7"/>
        <v>0.48842592592592599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120</v>
      </c>
      <c r="D17" s="52" t="s">
        <v>165</v>
      </c>
      <c r="E17" s="53" t="s">
        <v>166</v>
      </c>
      <c r="F17" s="12" t="s">
        <v>124</v>
      </c>
      <c r="G17" s="12">
        <v>1</v>
      </c>
      <c r="H17" s="13">
        <v>24</v>
      </c>
      <c r="I17" s="31">
        <v>5000</v>
      </c>
      <c r="J17" s="14">
        <v>3660</v>
      </c>
      <c r="K17" s="15">
        <f>L17+3021</f>
        <v>6681</v>
      </c>
      <c r="L17" s="15">
        <f>2672+988</f>
        <v>3660</v>
      </c>
      <c r="M17" s="15">
        <f t="shared" si="0"/>
        <v>3660</v>
      </c>
      <c r="N17" s="15">
        <v>0</v>
      </c>
      <c r="O17" s="58">
        <f t="shared" si="1"/>
        <v>0</v>
      </c>
      <c r="P17" s="39">
        <f t="shared" si="2"/>
        <v>15</v>
      </c>
      <c r="Q17" s="40">
        <f t="shared" si="3"/>
        <v>9</v>
      </c>
      <c r="R17" s="7"/>
      <c r="S17" s="6"/>
      <c r="T17" s="16"/>
      <c r="U17" s="16"/>
      <c r="V17" s="17"/>
      <c r="W17" s="5">
        <v>9</v>
      </c>
      <c r="X17" s="16"/>
      <c r="Y17" s="16"/>
      <c r="Z17" s="16"/>
      <c r="AA17" s="18"/>
      <c r="AB17" s="8">
        <f t="shared" si="4"/>
        <v>1</v>
      </c>
      <c r="AC17" s="9">
        <f t="shared" si="5"/>
        <v>0.625</v>
      </c>
      <c r="AD17" s="10">
        <f t="shared" si="6"/>
        <v>0.625</v>
      </c>
      <c r="AE17" s="36">
        <f t="shared" si="7"/>
        <v>0.48842592592592599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112</v>
      </c>
      <c r="D18" s="52" t="s">
        <v>117</v>
      </c>
      <c r="E18" s="53" t="s">
        <v>133</v>
      </c>
      <c r="F18" s="30" t="s">
        <v>124</v>
      </c>
      <c r="G18" s="12">
        <v>1</v>
      </c>
      <c r="H18" s="13">
        <v>28</v>
      </c>
      <c r="I18" s="7">
        <v>20000</v>
      </c>
      <c r="J18" s="14">
        <v>3628</v>
      </c>
      <c r="K18" s="15">
        <f>L18+1024+3034</f>
        <v>7686</v>
      </c>
      <c r="L18" s="15">
        <f>2393+1235</f>
        <v>3628</v>
      </c>
      <c r="M18" s="15">
        <f t="shared" si="0"/>
        <v>3628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>
        <v>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6">
        <f t="shared" si="7"/>
        <v>0.48842592592592599</v>
      </c>
      <c r="AF18" s="84">
        <f t="shared" si="8"/>
        <v>11</v>
      </c>
    </row>
    <row r="19" spans="1:32" ht="27" customHeight="1">
      <c r="A19" s="95">
        <v>12</v>
      </c>
      <c r="B19" s="11" t="s">
        <v>57</v>
      </c>
      <c r="C19" s="34" t="s">
        <v>149</v>
      </c>
      <c r="D19" s="52" t="s">
        <v>150</v>
      </c>
      <c r="E19" s="53" t="s">
        <v>148</v>
      </c>
      <c r="F19" s="30" t="s">
        <v>157</v>
      </c>
      <c r="G19" s="33">
        <v>3</v>
      </c>
      <c r="H19" s="35">
        <v>24</v>
      </c>
      <c r="I19" s="7">
        <v>20000</v>
      </c>
      <c r="J19" s="5">
        <v>16134</v>
      </c>
      <c r="K19" s="15">
        <f>L19+9663</f>
        <v>25797</v>
      </c>
      <c r="L19" s="15">
        <f>2629*3+2749*3</f>
        <v>16134</v>
      </c>
      <c r="M19" s="15">
        <f t="shared" si="0"/>
        <v>16134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0.48842592592592599</v>
      </c>
      <c r="AF19" s="84">
        <f t="shared" si="8"/>
        <v>12</v>
      </c>
    </row>
    <row r="20" spans="1:32" ht="27" customHeight="1">
      <c r="A20" s="113">
        <v>13</v>
      </c>
      <c r="B20" s="11" t="s">
        <v>57</v>
      </c>
      <c r="C20" s="34" t="s">
        <v>112</v>
      </c>
      <c r="D20" s="52" t="s">
        <v>115</v>
      </c>
      <c r="E20" s="53" t="s">
        <v>188</v>
      </c>
      <c r="F20" s="30" t="s">
        <v>211</v>
      </c>
      <c r="G20" s="12">
        <v>1</v>
      </c>
      <c r="H20" s="13">
        <v>28</v>
      </c>
      <c r="I20" s="31">
        <v>500</v>
      </c>
      <c r="J20" s="5">
        <v>2654</v>
      </c>
      <c r="K20" s="15">
        <f>L20</f>
        <v>2654</v>
      </c>
      <c r="L20" s="15">
        <f>2314+340</f>
        <v>2654</v>
      </c>
      <c r="M20" s="15">
        <f t="shared" si="0"/>
        <v>2654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8</v>
      </c>
      <c r="AB20" s="8">
        <f t="shared" si="4"/>
        <v>1</v>
      </c>
      <c r="AC20" s="9">
        <f t="shared" si="5"/>
        <v>0.66666666666666663</v>
      </c>
      <c r="AD20" s="10">
        <f t="shared" si="6"/>
        <v>0.66666666666666663</v>
      </c>
      <c r="AE20" s="36">
        <f t="shared" si="7"/>
        <v>0.48842592592592599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193</v>
      </c>
      <c r="D21" s="52" t="s">
        <v>115</v>
      </c>
      <c r="E21" s="53" t="s">
        <v>192</v>
      </c>
      <c r="F21" s="30" t="s">
        <v>212</v>
      </c>
      <c r="G21" s="33">
        <v>1</v>
      </c>
      <c r="H21" s="35">
        <v>24</v>
      </c>
      <c r="I21" s="7">
        <v>50</v>
      </c>
      <c r="J21" s="5">
        <v>55</v>
      </c>
      <c r="K21" s="15">
        <f>L21</f>
        <v>55</v>
      </c>
      <c r="L21" s="15">
        <v>55</v>
      </c>
      <c r="M21" s="15">
        <f t="shared" si="0"/>
        <v>55</v>
      </c>
      <c r="N21" s="15">
        <v>0</v>
      </c>
      <c r="O21" s="58">
        <f t="shared" si="1"/>
        <v>0</v>
      </c>
      <c r="P21" s="39">
        <f t="shared" si="2"/>
        <v>3</v>
      </c>
      <c r="Q21" s="40">
        <f t="shared" si="3"/>
        <v>21</v>
      </c>
      <c r="R21" s="7"/>
      <c r="S21" s="6">
        <v>4</v>
      </c>
      <c r="T21" s="16"/>
      <c r="U21" s="16"/>
      <c r="V21" s="17"/>
      <c r="W21" s="5">
        <v>17</v>
      </c>
      <c r="X21" s="16"/>
      <c r="Y21" s="16"/>
      <c r="Z21" s="16"/>
      <c r="AA21" s="18"/>
      <c r="AB21" s="8">
        <f t="shared" si="4"/>
        <v>1</v>
      </c>
      <c r="AC21" s="9">
        <f t="shared" si="5"/>
        <v>0.125</v>
      </c>
      <c r="AD21" s="10">
        <f>AC21*AB21*(1-O21)</f>
        <v>0.125</v>
      </c>
      <c r="AE21" s="36">
        <f t="shared" si="7"/>
        <v>0.48842592592592599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121</v>
      </c>
      <c r="D22" s="52" t="s">
        <v>128</v>
      </c>
      <c r="E22" s="53" t="s">
        <v>129</v>
      </c>
      <c r="F22" s="30" t="s">
        <v>125</v>
      </c>
      <c r="G22" s="33">
        <v>4</v>
      </c>
      <c r="H22" s="35">
        <v>24</v>
      </c>
      <c r="I22" s="7">
        <v>800000</v>
      </c>
      <c r="J22" s="14">
        <v>20336</v>
      </c>
      <c r="K22" s="15">
        <f>L22+12980+20160+21332+21348+21424+21388+19544+8924+20020+20460+20164+15216+19816+4440+14220+18092+19996+19760+18952+19212+19884+19584+20060+9008+20204+20888+20700+21020+21856+19908+896+15056+21244+21108+20148+20884+21260+20956+21576+20684</f>
        <v>754708</v>
      </c>
      <c r="L22" s="15">
        <f>2552*4+2532*4</f>
        <v>20336</v>
      </c>
      <c r="M22" s="15">
        <f t="shared" si="0"/>
        <v>20336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ref="AD22" si="26">AC22*AB22*(1-O22)</f>
        <v>1</v>
      </c>
      <c r="AE22" s="36">
        <f t="shared" si="7"/>
        <v>0.48842592592592599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152</v>
      </c>
      <c r="F23" s="12" t="s">
        <v>114</v>
      </c>
      <c r="G23" s="12">
        <v>4</v>
      </c>
      <c r="H23" s="35">
        <v>20</v>
      </c>
      <c r="I23" s="7">
        <v>500000</v>
      </c>
      <c r="J23" s="14">
        <v>30748</v>
      </c>
      <c r="K23" s="15">
        <f>L23+46004+81588+47056+35856+81716+45768+30748</f>
        <v>368736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0.48842592592592599</v>
      </c>
      <c r="AF23" s="84">
        <f t="shared" si="8"/>
        <v>16</v>
      </c>
    </row>
    <row r="24" spans="1:32" ht="31.5" customHeight="1" thickBot="1">
      <c r="A24" s="545" t="s">
        <v>34</v>
      </c>
      <c r="B24" s="546"/>
      <c r="C24" s="546"/>
      <c r="D24" s="546"/>
      <c r="E24" s="546"/>
      <c r="F24" s="546"/>
      <c r="G24" s="546"/>
      <c r="H24" s="547"/>
      <c r="I24" s="22">
        <f t="shared" ref="I24:N24" si="27">SUM(I6:I23)</f>
        <v>2512350</v>
      </c>
      <c r="J24" s="19">
        <f t="shared" si="27"/>
        <v>134345</v>
      </c>
      <c r="K24" s="20">
        <f t="shared" si="27"/>
        <v>2226101</v>
      </c>
      <c r="L24" s="21">
        <f t="shared" si="27"/>
        <v>99330</v>
      </c>
      <c r="M24" s="20">
        <f t="shared" si="27"/>
        <v>99330</v>
      </c>
      <c r="N24" s="21">
        <f t="shared" si="27"/>
        <v>0</v>
      </c>
      <c r="O24" s="41">
        <f t="shared" si="1"/>
        <v>0</v>
      </c>
      <c r="P24" s="42">
        <f t="shared" ref="P24:AA24" si="28">SUM(P6:P23)</f>
        <v>211</v>
      </c>
      <c r="Q24" s="43">
        <f t="shared" si="28"/>
        <v>221</v>
      </c>
      <c r="R24" s="23">
        <f t="shared" si="28"/>
        <v>3</v>
      </c>
      <c r="S24" s="24">
        <f t="shared" si="28"/>
        <v>68</v>
      </c>
      <c r="T24" s="24">
        <f t="shared" si="28"/>
        <v>22</v>
      </c>
      <c r="U24" s="24">
        <f t="shared" si="28"/>
        <v>0</v>
      </c>
      <c r="V24" s="25">
        <f t="shared" si="28"/>
        <v>24</v>
      </c>
      <c r="W24" s="26">
        <f t="shared" si="28"/>
        <v>63</v>
      </c>
      <c r="X24" s="27">
        <f t="shared" si="28"/>
        <v>0</v>
      </c>
      <c r="Y24" s="27">
        <f t="shared" si="28"/>
        <v>0</v>
      </c>
      <c r="Z24" s="27">
        <f t="shared" si="28"/>
        <v>0</v>
      </c>
      <c r="AA24" s="27">
        <f t="shared" si="28"/>
        <v>41</v>
      </c>
      <c r="AB24" s="28">
        <f>AVERAGE(AB6:AB23)</f>
        <v>0.83333333333333337</v>
      </c>
      <c r="AC24" s="4">
        <f t="shared" ref="AC24:AD24" si="29">AVERAGE(AC6:AC23)</f>
        <v>0.48842592592592599</v>
      </c>
      <c r="AD24" s="4">
        <f t="shared" si="29"/>
        <v>0.48842592592592599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48" t="s">
        <v>45</v>
      </c>
      <c r="B51" s="548"/>
      <c r="C51" s="548"/>
      <c r="D51" s="548"/>
      <c r="E51" s="5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49" t="s">
        <v>213</v>
      </c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1"/>
      <c r="N52" s="552" t="s">
        <v>219</v>
      </c>
      <c r="O52" s="553"/>
      <c r="P52" s="553"/>
      <c r="Q52" s="553"/>
      <c r="R52" s="553"/>
      <c r="S52" s="553"/>
      <c r="T52" s="553"/>
      <c r="U52" s="553"/>
      <c r="V52" s="553"/>
      <c r="W52" s="553"/>
      <c r="X52" s="553"/>
      <c r="Y52" s="553"/>
      <c r="Z52" s="553"/>
      <c r="AA52" s="553"/>
      <c r="AB52" s="553"/>
      <c r="AC52" s="553"/>
      <c r="AD52" s="554"/>
    </row>
    <row r="53" spans="1:32" ht="27" customHeight="1">
      <c r="A53" s="555" t="s">
        <v>2</v>
      </c>
      <c r="B53" s="556"/>
      <c r="C53" s="133" t="s">
        <v>46</v>
      </c>
      <c r="D53" s="133" t="s">
        <v>47</v>
      </c>
      <c r="E53" s="133" t="s">
        <v>107</v>
      </c>
      <c r="F53" s="557" t="s">
        <v>106</v>
      </c>
      <c r="G53" s="558"/>
      <c r="H53" s="558"/>
      <c r="I53" s="558"/>
      <c r="J53" s="558"/>
      <c r="K53" s="558"/>
      <c r="L53" s="558"/>
      <c r="M53" s="559"/>
      <c r="N53" s="67" t="s">
        <v>110</v>
      </c>
      <c r="O53" s="133" t="s">
        <v>46</v>
      </c>
      <c r="P53" s="557" t="s">
        <v>47</v>
      </c>
      <c r="Q53" s="560"/>
      <c r="R53" s="557" t="s">
        <v>38</v>
      </c>
      <c r="S53" s="558"/>
      <c r="T53" s="558"/>
      <c r="U53" s="560"/>
      <c r="V53" s="557" t="s">
        <v>48</v>
      </c>
      <c r="W53" s="558"/>
      <c r="X53" s="558"/>
      <c r="Y53" s="558"/>
      <c r="Z53" s="558"/>
      <c r="AA53" s="558"/>
      <c r="AB53" s="558"/>
      <c r="AC53" s="558"/>
      <c r="AD53" s="559"/>
    </row>
    <row r="54" spans="1:32" ht="27" customHeight="1">
      <c r="A54" s="526" t="s">
        <v>120</v>
      </c>
      <c r="B54" s="527"/>
      <c r="C54" s="135" t="s">
        <v>185</v>
      </c>
      <c r="D54" s="135" t="s">
        <v>165</v>
      </c>
      <c r="E54" s="135" t="s">
        <v>182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134" t="s">
        <v>112</v>
      </c>
      <c r="O54" s="140" t="s">
        <v>214</v>
      </c>
      <c r="P54" s="540" t="s">
        <v>131</v>
      </c>
      <c r="Q54" s="541"/>
      <c r="R54" s="540" t="s">
        <v>158</v>
      </c>
      <c r="S54" s="542"/>
      <c r="T54" s="542"/>
      <c r="U54" s="541"/>
      <c r="V54" s="510" t="s">
        <v>151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121</v>
      </c>
      <c r="B55" s="527"/>
      <c r="C55" s="135" t="s">
        <v>185</v>
      </c>
      <c r="D55" s="135" t="s">
        <v>131</v>
      </c>
      <c r="E55" s="135" t="s">
        <v>186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134" t="s">
        <v>112</v>
      </c>
      <c r="O55" s="140" t="s">
        <v>174</v>
      </c>
      <c r="P55" s="540" t="s">
        <v>115</v>
      </c>
      <c r="Q55" s="541"/>
      <c r="R55" s="540" t="s">
        <v>220</v>
      </c>
      <c r="S55" s="542"/>
      <c r="T55" s="542"/>
      <c r="U55" s="541"/>
      <c r="V55" s="510" t="s">
        <v>151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135" t="s">
        <v>214</v>
      </c>
      <c r="D56" s="135" t="s">
        <v>131</v>
      </c>
      <c r="E56" s="135" t="s">
        <v>158</v>
      </c>
      <c r="F56" s="528" t="s">
        <v>215</v>
      </c>
      <c r="G56" s="529"/>
      <c r="H56" s="529"/>
      <c r="I56" s="529"/>
      <c r="J56" s="529"/>
      <c r="K56" s="529"/>
      <c r="L56" s="529"/>
      <c r="M56" s="530"/>
      <c r="N56" s="134" t="s">
        <v>112</v>
      </c>
      <c r="O56" s="140" t="s">
        <v>194</v>
      </c>
      <c r="P56" s="540" t="s">
        <v>131</v>
      </c>
      <c r="Q56" s="541"/>
      <c r="R56" s="540" t="s">
        <v>221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135" t="s">
        <v>174</v>
      </c>
      <c r="D57" s="135" t="s">
        <v>115</v>
      </c>
      <c r="E57" s="135" t="s">
        <v>133</v>
      </c>
      <c r="F57" s="528" t="s">
        <v>216</v>
      </c>
      <c r="G57" s="529"/>
      <c r="H57" s="529"/>
      <c r="I57" s="529"/>
      <c r="J57" s="529"/>
      <c r="K57" s="529"/>
      <c r="L57" s="529"/>
      <c r="M57" s="530"/>
      <c r="N57" s="134" t="s">
        <v>112</v>
      </c>
      <c r="O57" s="140" t="s">
        <v>147</v>
      </c>
      <c r="P57" s="540" t="s">
        <v>115</v>
      </c>
      <c r="Q57" s="541"/>
      <c r="R57" s="540" t="s">
        <v>222</v>
      </c>
      <c r="S57" s="542"/>
      <c r="T57" s="542"/>
      <c r="U57" s="541"/>
      <c r="V57" s="510" t="s">
        <v>118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112</v>
      </c>
      <c r="B58" s="527"/>
      <c r="C58" s="135" t="s">
        <v>137</v>
      </c>
      <c r="D58" s="135" t="s">
        <v>217</v>
      </c>
      <c r="E58" s="135" t="s">
        <v>207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134" t="s">
        <v>112</v>
      </c>
      <c r="O58" s="140" t="s">
        <v>223</v>
      </c>
      <c r="P58" s="540" t="s">
        <v>115</v>
      </c>
      <c r="Q58" s="541"/>
      <c r="R58" s="540" t="s">
        <v>224</v>
      </c>
      <c r="S58" s="542"/>
      <c r="T58" s="542"/>
      <c r="U58" s="541"/>
      <c r="V58" s="510" t="s">
        <v>118</v>
      </c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121</v>
      </c>
      <c r="B59" s="527"/>
      <c r="C59" s="135" t="s">
        <v>179</v>
      </c>
      <c r="D59" s="135" t="s">
        <v>115</v>
      </c>
      <c r="E59" s="135" t="s">
        <v>126</v>
      </c>
      <c r="F59" s="528" t="s">
        <v>218</v>
      </c>
      <c r="G59" s="529"/>
      <c r="H59" s="529"/>
      <c r="I59" s="529"/>
      <c r="J59" s="529"/>
      <c r="K59" s="529"/>
      <c r="L59" s="529"/>
      <c r="M59" s="530"/>
      <c r="N59" s="134"/>
      <c r="O59" s="140"/>
      <c r="P59" s="540"/>
      <c r="Q59" s="541"/>
      <c r="R59" s="540"/>
      <c r="S59" s="542"/>
      <c r="T59" s="542"/>
      <c r="U59" s="541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 t="s">
        <v>112</v>
      </c>
      <c r="B60" s="527"/>
      <c r="C60" s="135" t="s">
        <v>147</v>
      </c>
      <c r="D60" s="135" t="s">
        <v>115</v>
      </c>
      <c r="E60" s="135" t="s">
        <v>188</v>
      </c>
      <c r="F60" s="528" t="s">
        <v>118</v>
      </c>
      <c r="G60" s="529"/>
      <c r="H60" s="529"/>
      <c r="I60" s="529"/>
      <c r="J60" s="529"/>
      <c r="K60" s="529"/>
      <c r="L60" s="529"/>
      <c r="M60" s="530"/>
      <c r="N60" s="134"/>
      <c r="O60" s="140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135"/>
      <c r="D61" s="135"/>
      <c r="E61" s="135"/>
      <c r="F61" s="528"/>
      <c r="G61" s="529"/>
      <c r="H61" s="529"/>
      <c r="I61" s="529"/>
      <c r="J61" s="529"/>
      <c r="K61" s="529"/>
      <c r="L61" s="529"/>
      <c r="M61" s="530"/>
      <c r="N61" s="134"/>
      <c r="O61" s="140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/>
      <c r="B62" s="527"/>
      <c r="C62" s="135"/>
      <c r="D62" s="135"/>
      <c r="E62" s="135"/>
      <c r="F62" s="528"/>
      <c r="G62" s="529"/>
      <c r="H62" s="529"/>
      <c r="I62" s="529"/>
      <c r="J62" s="529"/>
      <c r="K62" s="529"/>
      <c r="L62" s="529"/>
      <c r="M62" s="530"/>
      <c r="N62" s="134"/>
      <c r="O62" s="140"/>
      <c r="P62" s="527"/>
      <c r="Q62" s="527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  <c r="AF62" s="84">
        <f>8*3000</f>
        <v>24000</v>
      </c>
    </row>
    <row r="63" spans="1:32" ht="27" customHeight="1" thickBot="1">
      <c r="A63" s="532"/>
      <c r="B63" s="533"/>
      <c r="C63" s="136"/>
      <c r="D63" s="137"/>
      <c r="E63" s="137"/>
      <c r="F63" s="534"/>
      <c r="G63" s="535"/>
      <c r="H63" s="535"/>
      <c r="I63" s="535"/>
      <c r="J63" s="535"/>
      <c r="K63" s="535"/>
      <c r="L63" s="535"/>
      <c r="M63" s="536"/>
      <c r="N63" s="112"/>
      <c r="O63" s="103"/>
      <c r="P63" s="537"/>
      <c r="Q63" s="537"/>
      <c r="R63" s="537"/>
      <c r="S63" s="537"/>
      <c r="T63" s="537"/>
      <c r="U63" s="537"/>
      <c r="V63" s="538"/>
      <c r="W63" s="538"/>
      <c r="X63" s="538"/>
      <c r="Y63" s="538"/>
      <c r="Z63" s="538"/>
      <c r="AA63" s="538"/>
      <c r="AB63" s="538"/>
      <c r="AC63" s="538"/>
      <c r="AD63" s="539"/>
      <c r="AF63" s="84">
        <f>16*3000</f>
        <v>48000</v>
      </c>
    </row>
    <row r="64" spans="1:32" ht="27.75" thickBot="1">
      <c r="A64" s="524" t="s">
        <v>225</v>
      </c>
      <c r="B64" s="524"/>
      <c r="C64" s="524"/>
      <c r="D64" s="524"/>
      <c r="E64" s="52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25" t="s">
        <v>111</v>
      </c>
      <c r="B65" s="520"/>
      <c r="C65" s="138" t="s">
        <v>2</v>
      </c>
      <c r="D65" s="138" t="s">
        <v>37</v>
      </c>
      <c r="E65" s="138" t="s">
        <v>3</v>
      </c>
      <c r="F65" s="520" t="s">
        <v>109</v>
      </c>
      <c r="G65" s="520"/>
      <c r="H65" s="520"/>
      <c r="I65" s="520"/>
      <c r="J65" s="520"/>
      <c r="K65" s="520" t="s">
        <v>39</v>
      </c>
      <c r="L65" s="520"/>
      <c r="M65" s="138" t="s">
        <v>40</v>
      </c>
      <c r="N65" s="520" t="s">
        <v>41</v>
      </c>
      <c r="O65" s="520"/>
      <c r="P65" s="517" t="s">
        <v>42</v>
      </c>
      <c r="Q65" s="519"/>
      <c r="R65" s="517" t="s">
        <v>43</v>
      </c>
      <c r="S65" s="518"/>
      <c r="T65" s="518"/>
      <c r="U65" s="518"/>
      <c r="V65" s="518"/>
      <c r="W65" s="518"/>
      <c r="X65" s="518"/>
      <c r="Y65" s="518"/>
      <c r="Z65" s="518"/>
      <c r="AA65" s="519"/>
      <c r="AB65" s="520" t="s">
        <v>44</v>
      </c>
      <c r="AC65" s="520"/>
      <c r="AD65" s="521"/>
      <c r="AF65" s="84">
        <f>SUM(AF62:AF64)</f>
        <v>96000</v>
      </c>
    </row>
    <row r="66" spans="1:32" ht="25.5" customHeight="1">
      <c r="A66" s="503">
        <v>1</v>
      </c>
      <c r="B66" s="504"/>
      <c r="C66" s="105" t="s">
        <v>121</v>
      </c>
      <c r="D66" s="142"/>
      <c r="E66" s="139" t="s">
        <v>196</v>
      </c>
      <c r="F66" s="513" t="s">
        <v>197</v>
      </c>
      <c r="G66" s="514"/>
      <c r="H66" s="514"/>
      <c r="I66" s="514"/>
      <c r="J66" s="515"/>
      <c r="K66" s="497" t="s">
        <v>198</v>
      </c>
      <c r="L66" s="497"/>
      <c r="M66" s="51" t="s">
        <v>144</v>
      </c>
      <c r="N66" s="511" t="s">
        <v>137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516"/>
      <c r="AC66" s="522"/>
      <c r="AD66" s="523"/>
      <c r="AF66" s="50"/>
    </row>
    <row r="67" spans="1:32" ht="25.5" customHeight="1">
      <c r="A67" s="503">
        <v>2</v>
      </c>
      <c r="B67" s="504"/>
      <c r="C67" s="105" t="s">
        <v>121</v>
      </c>
      <c r="D67" s="142"/>
      <c r="E67" s="139" t="s">
        <v>128</v>
      </c>
      <c r="F67" s="513" t="s">
        <v>226</v>
      </c>
      <c r="G67" s="514"/>
      <c r="H67" s="514"/>
      <c r="I67" s="514"/>
      <c r="J67" s="515"/>
      <c r="K67" s="497" t="s">
        <v>124</v>
      </c>
      <c r="L67" s="497"/>
      <c r="M67" s="51" t="s">
        <v>200</v>
      </c>
      <c r="N67" s="511" t="s">
        <v>147</v>
      </c>
      <c r="O67" s="511"/>
      <c r="P67" s="512">
        <v>100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3</v>
      </c>
      <c r="B68" s="504"/>
      <c r="C68" s="105" t="s">
        <v>121</v>
      </c>
      <c r="D68" s="142"/>
      <c r="E68" s="139"/>
      <c r="F68" s="513" t="s">
        <v>227</v>
      </c>
      <c r="G68" s="514"/>
      <c r="H68" s="514"/>
      <c r="I68" s="514"/>
      <c r="J68" s="515"/>
      <c r="K68" s="497" t="s">
        <v>146</v>
      </c>
      <c r="L68" s="497"/>
      <c r="M68" s="51" t="s">
        <v>144</v>
      </c>
      <c r="N68" s="511" t="s">
        <v>142</v>
      </c>
      <c r="O68" s="511"/>
      <c r="P68" s="512">
        <v>100</v>
      </c>
      <c r="Q68" s="512"/>
      <c r="R68" s="510" t="s">
        <v>228</v>
      </c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4</v>
      </c>
      <c r="B69" s="504"/>
      <c r="C69" s="105" t="s">
        <v>121</v>
      </c>
      <c r="D69" s="142"/>
      <c r="E69" s="139" t="s">
        <v>128</v>
      </c>
      <c r="F69" s="513" t="s">
        <v>229</v>
      </c>
      <c r="G69" s="514"/>
      <c r="H69" s="514"/>
      <c r="I69" s="514"/>
      <c r="J69" s="515"/>
      <c r="K69" s="516" t="s">
        <v>125</v>
      </c>
      <c r="L69" s="504"/>
      <c r="M69" s="51" t="s">
        <v>144</v>
      </c>
      <c r="N69" s="511" t="s">
        <v>147</v>
      </c>
      <c r="O69" s="511"/>
      <c r="P69" s="512">
        <v>100</v>
      </c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5</v>
      </c>
      <c r="B70" s="504"/>
      <c r="C70" s="105"/>
      <c r="D70" s="142"/>
      <c r="E70" s="139"/>
      <c r="F70" s="513"/>
      <c r="G70" s="514"/>
      <c r="H70" s="514"/>
      <c r="I70" s="514"/>
      <c r="J70" s="515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6</v>
      </c>
      <c r="B71" s="504"/>
      <c r="C71" s="105"/>
      <c r="D71" s="142"/>
      <c r="E71" s="139"/>
      <c r="F71" s="513"/>
      <c r="G71" s="514"/>
      <c r="H71" s="514"/>
      <c r="I71" s="514"/>
      <c r="J71" s="515"/>
      <c r="K71" s="516"/>
      <c r="L71" s="504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7</v>
      </c>
      <c r="B72" s="504"/>
      <c r="C72" s="105"/>
      <c r="D72" s="142"/>
      <c r="E72" s="139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8</v>
      </c>
      <c r="B73" s="504"/>
      <c r="C73" s="105"/>
      <c r="D73" s="142"/>
      <c r="E73" s="139"/>
      <c r="F73" s="505"/>
      <c r="G73" s="497"/>
      <c r="H73" s="497"/>
      <c r="I73" s="497"/>
      <c r="J73" s="497"/>
      <c r="K73" s="497"/>
      <c r="L73" s="497"/>
      <c r="M73" s="51"/>
      <c r="N73" s="506"/>
      <c r="O73" s="507"/>
      <c r="P73" s="508"/>
      <c r="Q73" s="509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230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141" t="s">
        <v>2</v>
      </c>
      <c r="D75" s="141" t="s">
        <v>37</v>
      </c>
      <c r="E75" s="141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143" t="s">
        <v>112</v>
      </c>
      <c r="D76" s="143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142"/>
      <c r="D77" s="142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4" si="30">A77+1</f>
        <v>3</v>
      </c>
      <c r="B78" s="465"/>
      <c r="C78" s="142"/>
      <c r="D78" s="142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30"/>
        <v>4</v>
      </c>
      <c r="B79" s="465"/>
      <c r="C79" s="142"/>
      <c r="D79" s="142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30"/>
        <v>5</v>
      </c>
      <c r="B80" s="465"/>
      <c r="C80" s="142"/>
      <c r="D80" s="142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30"/>
        <v>6</v>
      </c>
      <c r="B81" s="465"/>
      <c r="C81" s="142"/>
      <c r="D81" s="142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30"/>
        <v>7</v>
      </c>
      <c r="B82" s="465"/>
      <c r="C82" s="142"/>
      <c r="D82" s="142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30"/>
        <v>8</v>
      </c>
      <c r="B83" s="465"/>
      <c r="C83" s="142"/>
      <c r="D83" s="142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30"/>
        <v>9</v>
      </c>
      <c r="B84" s="465"/>
      <c r="C84" s="142"/>
      <c r="D84" s="142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7" t="s">
        <v>231</v>
      </c>
      <c r="B85" s="477"/>
      <c r="C85" s="477"/>
      <c r="D85" s="477"/>
      <c r="E85" s="47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8" t="s">
        <v>111</v>
      </c>
      <c r="B86" s="479"/>
      <c r="C86" s="469" t="s">
        <v>52</v>
      </c>
      <c r="D86" s="469"/>
      <c r="E86" s="469" t="s">
        <v>53</v>
      </c>
      <c r="F86" s="469"/>
      <c r="G86" s="469"/>
      <c r="H86" s="469"/>
      <c r="I86" s="469"/>
      <c r="J86" s="469"/>
      <c r="K86" s="469" t="s">
        <v>54</v>
      </c>
      <c r="L86" s="469"/>
      <c r="M86" s="469"/>
      <c r="N86" s="469"/>
      <c r="O86" s="469"/>
      <c r="P86" s="469"/>
      <c r="Q86" s="469"/>
      <c r="R86" s="469"/>
      <c r="S86" s="469"/>
      <c r="T86" s="469" t="s">
        <v>55</v>
      </c>
      <c r="U86" s="469"/>
      <c r="V86" s="469" t="s">
        <v>56</v>
      </c>
      <c r="W86" s="469"/>
      <c r="X86" s="469"/>
      <c r="Y86" s="469" t="s">
        <v>51</v>
      </c>
      <c r="Z86" s="469"/>
      <c r="AA86" s="469"/>
      <c r="AB86" s="469"/>
      <c r="AC86" s="469"/>
      <c r="AD86" s="470"/>
      <c r="AF86" s="50"/>
    </row>
    <row r="87" spans="1:32" ht="30.75" customHeight="1">
      <c r="A87" s="471">
        <v>1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4"/>
      <c r="W87" s="474"/>
      <c r="X87" s="474"/>
      <c r="Y87" s="475"/>
      <c r="Z87" s="475"/>
      <c r="AA87" s="475"/>
      <c r="AB87" s="475"/>
      <c r="AC87" s="475"/>
      <c r="AD87" s="476"/>
      <c r="AF87" s="50"/>
    </row>
    <row r="88" spans="1:32" ht="30.75" customHeight="1">
      <c r="A88" s="464">
        <v>2</v>
      </c>
      <c r="B88" s="465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7"/>
      <c r="U88" s="467"/>
      <c r="V88" s="468"/>
      <c r="W88" s="468"/>
      <c r="X88" s="468"/>
      <c r="Y88" s="457"/>
      <c r="Z88" s="457"/>
      <c r="AA88" s="457"/>
      <c r="AB88" s="457"/>
      <c r="AC88" s="457"/>
      <c r="AD88" s="458"/>
      <c r="AF88" s="50"/>
    </row>
    <row r="89" spans="1:32" ht="30.75" customHeight="1" thickBot="1">
      <c r="A89" s="459">
        <v>3</v>
      </c>
      <c r="B89" s="460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  <c r="Y89" s="462"/>
      <c r="Z89" s="462"/>
      <c r="AA89" s="462"/>
      <c r="AB89" s="462"/>
      <c r="AC89" s="462"/>
      <c r="AD89" s="463"/>
      <c r="AF89" s="50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DEF4-2843-4DFD-A61B-9D13B1A829B2}">
  <dimension ref="A1:AF88"/>
  <sheetViews>
    <sheetView zoomScale="72" zoomScaleNormal="72" zoomScaleSheetLayoutView="70" workbookViewId="0">
      <selection activeCell="AC23" sqref="AC23:AD2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233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55" t="s">
        <v>17</v>
      </c>
      <c r="L5" s="155" t="s">
        <v>18</v>
      </c>
      <c r="M5" s="155" t="s">
        <v>19</v>
      </c>
      <c r="N5" s="1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131</v>
      </c>
      <c r="E6" s="53" t="s">
        <v>186</v>
      </c>
      <c r="F6" s="30" t="s">
        <v>205</v>
      </c>
      <c r="G6" s="12">
        <v>4</v>
      </c>
      <c r="H6" s="13">
        <v>24</v>
      </c>
      <c r="I6" s="31">
        <v>20000</v>
      </c>
      <c r="J6" s="5">
        <v>12484</v>
      </c>
      <c r="K6" s="15">
        <f>L6+9048</f>
        <v>21532</v>
      </c>
      <c r="L6" s="15">
        <f>531*4+2590*4</f>
        <v>12484</v>
      </c>
      <c r="M6" s="15">
        <f t="shared" ref="M6:M22" si="0">L6-N6</f>
        <v>12484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15</v>
      </c>
      <c r="Q6" s="40">
        <f t="shared" ref="Q6:Q22" si="3">SUM(R6:AA6)</f>
        <v>9</v>
      </c>
      <c r="R6" s="7"/>
      <c r="S6" s="6"/>
      <c r="T6" s="16"/>
      <c r="U6" s="16"/>
      <c r="V6" s="17"/>
      <c r="W6" s="5">
        <v>9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0.625</v>
      </c>
      <c r="AD6" s="10">
        <f t="shared" ref="AD6:AD22" si="6">AC6*AB6*(1-O6)</f>
        <v>0.625</v>
      </c>
      <c r="AE6" s="36">
        <f t="shared" ref="AE6:AE22" si="7">$AD$23</f>
        <v>0.3995098039215686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155</v>
      </c>
      <c r="E7" s="53" t="s">
        <v>207</v>
      </c>
      <c r="F7" s="30" t="s">
        <v>143</v>
      </c>
      <c r="G7" s="12">
        <v>1</v>
      </c>
      <c r="H7" s="13">
        <v>28</v>
      </c>
      <c r="I7" s="31">
        <v>3000</v>
      </c>
      <c r="J7" s="5">
        <v>1621</v>
      </c>
      <c r="K7" s="15">
        <f>L7+3089</f>
        <v>4710</v>
      </c>
      <c r="L7" s="15">
        <v>1621</v>
      </c>
      <c r="M7" s="15">
        <f t="shared" si="0"/>
        <v>1621</v>
      </c>
      <c r="N7" s="15">
        <v>0</v>
      </c>
      <c r="O7" s="58">
        <f t="shared" si="1"/>
        <v>0</v>
      </c>
      <c r="P7" s="39">
        <f t="shared" si="2"/>
        <v>8</v>
      </c>
      <c r="Q7" s="40">
        <f t="shared" si="3"/>
        <v>16</v>
      </c>
      <c r="R7" s="7"/>
      <c r="S7" s="6"/>
      <c r="T7" s="16"/>
      <c r="U7" s="16"/>
      <c r="V7" s="17"/>
      <c r="W7" s="5">
        <v>16</v>
      </c>
      <c r="X7" s="16"/>
      <c r="Y7" s="16"/>
      <c r="Z7" s="16"/>
      <c r="AA7" s="18"/>
      <c r="AB7" s="8">
        <f t="shared" si="4"/>
        <v>1</v>
      </c>
      <c r="AC7" s="9">
        <f t="shared" si="5"/>
        <v>0.33333333333333331</v>
      </c>
      <c r="AD7" s="10">
        <f t="shared" si="6"/>
        <v>0.33333333333333331</v>
      </c>
      <c r="AE7" s="36">
        <f t="shared" si="7"/>
        <v>0.3995098039215686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5758</v>
      </c>
      <c r="K8" s="15">
        <f>L8+1658+3024+3826+5621</f>
        <v>19887</v>
      </c>
      <c r="L8" s="15">
        <f>2882+2876</f>
        <v>5758</v>
      </c>
      <c r="M8" s="15">
        <f t="shared" si="0"/>
        <v>5758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0.3995098039215686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123</v>
      </c>
      <c r="D9" s="52"/>
      <c r="E9" s="53" t="s">
        <v>161</v>
      </c>
      <c r="F9" s="30" t="s">
        <v>119</v>
      </c>
      <c r="G9" s="33">
        <v>1</v>
      </c>
      <c r="H9" s="35">
        <v>24</v>
      </c>
      <c r="I9" s="7">
        <v>1500</v>
      </c>
      <c r="J9" s="14">
        <v>3705</v>
      </c>
      <c r="K9" s="15">
        <f>L9+3705</f>
        <v>3705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0.3995098039215686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20000</v>
      </c>
      <c r="J10" s="5">
        <v>687</v>
      </c>
      <c r="K10" s="15">
        <f>L10+3006+4988+687</f>
        <v>8681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0.3995098039215686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120</v>
      </c>
      <c r="D11" s="52" t="s">
        <v>134</v>
      </c>
      <c r="E11" s="53" t="s">
        <v>160</v>
      </c>
      <c r="F11" s="30" t="s">
        <v>135</v>
      </c>
      <c r="G11" s="33">
        <v>16</v>
      </c>
      <c r="H11" s="35">
        <v>24</v>
      </c>
      <c r="I11" s="7">
        <v>180000</v>
      </c>
      <c r="J11" s="5">
        <v>22800</v>
      </c>
      <c r="K11" s="15">
        <f>L11+88832+55050+22800</f>
        <v>166682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18</v>
      </c>
      <c r="R11" s="7"/>
      <c r="S11" s="6">
        <v>18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>AC11*AB11*(1-O11)</f>
        <v>0</v>
      </c>
      <c r="AE11" s="36">
        <f t="shared" si="7"/>
        <v>0.3995098039215686</v>
      </c>
      <c r="AF11" s="84">
        <f t="shared" si="8"/>
        <v>6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208</v>
      </c>
      <c r="E12" s="53" t="s">
        <v>209</v>
      </c>
      <c r="F12" s="30" t="s">
        <v>210</v>
      </c>
      <c r="G12" s="33">
        <v>1</v>
      </c>
      <c r="H12" s="35">
        <v>24</v>
      </c>
      <c r="I12" s="7">
        <v>6000</v>
      </c>
      <c r="J12" s="14">
        <v>3599</v>
      </c>
      <c r="K12" s="15">
        <f>L12+2944</f>
        <v>6543</v>
      </c>
      <c r="L12" s="15">
        <f>2915+684</f>
        <v>3599</v>
      </c>
      <c r="M12" s="15">
        <f t="shared" si="0"/>
        <v>3599</v>
      </c>
      <c r="N12" s="15">
        <v>0</v>
      </c>
      <c r="O12" s="58">
        <f t="shared" si="1"/>
        <v>0</v>
      </c>
      <c r="P12" s="39">
        <f t="shared" si="2"/>
        <v>15</v>
      </c>
      <c r="Q12" s="40">
        <f t="shared" si="3"/>
        <v>9</v>
      </c>
      <c r="R12" s="7"/>
      <c r="S12" s="6"/>
      <c r="T12" s="16"/>
      <c r="U12" s="16"/>
      <c r="V12" s="17"/>
      <c r="W12" s="5">
        <v>9</v>
      </c>
      <c r="X12" s="16"/>
      <c r="Y12" s="16"/>
      <c r="Z12" s="16"/>
      <c r="AA12" s="18"/>
      <c r="AB12" s="8">
        <f t="shared" si="4"/>
        <v>1</v>
      </c>
      <c r="AC12" s="9">
        <f t="shared" si="5"/>
        <v>0.625</v>
      </c>
      <c r="AD12" s="10">
        <f t="shared" ref="AD12:AD15" si="9">AC12*AB12*(1-O12)</f>
        <v>0.625</v>
      </c>
      <c r="AE12" s="36">
        <f t="shared" si="7"/>
        <v>0.3995098039215686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112</v>
      </c>
      <c r="D13" s="52" t="s">
        <v>115</v>
      </c>
      <c r="E13" s="53" t="s">
        <v>116</v>
      </c>
      <c r="F13" s="30" t="s">
        <v>119</v>
      </c>
      <c r="G13" s="33">
        <v>1</v>
      </c>
      <c r="H13" s="35">
        <v>24</v>
      </c>
      <c r="I13" s="7">
        <v>34000</v>
      </c>
      <c r="J13" s="14">
        <v>4361</v>
      </c>
      <c r="K13" s="15">
        <f>L13+2120+2858+4163+3861</f>
        <v>17363</v>
      </c>
      <c r="L13" s="15">
        <f>1979+2382</f>
        <v>4361</v>
      </c>
      <c r="M13" s="15">
        <f t="shared" si="0"/>
        <v>4361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0.3995098039215686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121</v>
      </c>
      <c r="D14" s="52" t="s">
        <v>115</v>
      </c>
      <c r="E14" s="53" t="s">
        <v>126</v>
      </c>
      <c r="F14" s="30" t="s">
        <v>125</v>
      </c>
      <c r="G14" s="33">
        <v>3</v>
      </c>
      <c r="H14" s="35">
        <v>24</v>
      </c>
      <c r="I14" s="7">
        <v>850000</v>
      </c>
      <c r="J14" s="14">
        <v>2508</v>
      </c>
      <c r="K14" s="15">
        <f>L14+20676+20704+882+19912+11748+21560+18812+17048+21840+19920+21784+15116+10164+22344+20496+22064+21048+11316+20640+15348+14500+19708+20564+19264+19416+20408+20716+18988+17692+3636+18152+20008+19500+20576+20648+20164+21012+21240+19348+21776+19532+21784+7263+19344+20640+13828+2508</f>
        <v>835637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0.3995098039215686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159</v>
      </c>
      <c r="F15" s="30" t="s">
        <v>145</v>
      </c>
      <c r="G15" s="33">
        <v>1</v>
      </c>
      <c r="H15" s="35">
        <v>24</v>
      </c>
      <c r="I15" s="7">
        <v>300</v>
      </c>
      <c r="J15" s="5">
        <v>562</v>
      </c>
      <c r="K15" s="15">
        <f>L15+562</f>
        <v>562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0.3995098039215686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 t="s">
        <v>165</v>
      </c>
      <c r="E16" s="53" t="s">
        <v>166</v>
      </c>
      <c r="F16" s="12" t="s">
        <v>124</v>
      </c>
      <c r="G16" s="12">
        <v>1</v>
      </c>
      <c r="H16" s="13">
        <v>24</v>
      </c>
      <c r="I16" s="31">
        <v>5000</v>
      </c>
      <c r="J16" s="14">
        <v>3660</v>
      </c>
      <c r="K16" s="15">
        <f>L16+3021+3660</f>
        <v>6681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0.3995098039215686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112</v>
      </c>
      <c r="D17" s="52" t="s">
        <v>117</v>
      </c>
      <c r="E17" s="53" t="s">
        <v>133</v>
      </c>
      <c r="F17" s="30" t="s">
        <v>124</v>
      </c>
      <c r="G17" s="12">
        <v>1</v>
      </c>
      <c r="H17" s="13">
        <v>28</v>
      </c>
      <c r="I17" s="7">
        <v>20000</v>
      </c>
      <c r="J17" s="14">
        <v>4720</v>
      </c>
      <c r="K17" s="15">
        <f>L17+1024+3034+3628</f>
        <v>12406</v>
      </c>
      <c r="L17" s="15">
        <f>2725+1995</f>
        <v>4720</v>
      </c>
      <c r="M17" s="15">
        <f t="shared" si="0"/>
        <v>4720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>
        <v>2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6">
        <f t="shared" si="7"/>
        <v>0.3995098039215686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149</v>
      </c>
      <c r="D18" s="52" t="s">
        <v>150</v>
      </c>
      <c r="E18" s="53" t="s">
        <v>148</v>
      </c>
      <c r="F18" s="30" t="s">
        <v>157</v>
      </c>
      <c r="G18" s="33">
        <v>3</v>
      </c>
      <c r="H18" s="35">
        <v>24</v>
      </c>
      <c r="I18" s="7">
        <v>20000</v>
      </c>
      <c r="J18" s="5">
        <v>16491</v>
      </c>
      <c r="K18" s="15">
        <f>L18+9663+16134</f>
        <v>42288</v>
      </c>
      <c r="L18" s="15">
        <f>2754*3+2743*3</f>
        <v>16491</v>
      </c>
      <c r="M18" s="15">
        <f t="shared" si="0"/>
        <v>16491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0.3995098039215686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112</v>
      </c>
      <c r="D19" s="52" t="s">
        <v>115</v>
      </c>
      <c r="E19" s="53" t="s">
        <v>222</v>
      </c>
      <c r="F19" s="30" t="s">
        <v>211</v>
      </c>
      <c r="G19" s="12">
        <v>1</v>
      </c>
      <c r="H19" s="13">
        <v>28</v>
      </c>
      <c r="I19" s="31">
        <v>200</v>
      </c>
      <c r="J19" s="5">
        <v>1068</v>
      </c>
      <c r="K19" s="15">
        <f>L19</f>
        <v>1068</v>
      </c>
      <c r="L19" s="15">
        <v>1068</v>
      </c>
      <c r="M19" s="15">
        <f t="shared" si="0"/>
        <v>1068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19</v>
      </c>
      <c r="AB19" s="8">
        <f t="shared" si="4"/>
        <v>1</v>
      </c>
      <c r="AC19" s="9">
        <f t="shared" si="5"/>
        <v>0.20833333333333334</v>
      </c>
      <c r="AD19" s="10">
        <f t="shared" si="6"/>
        <v>0.20833333333333334</v>
      </c>
      <c r="AE19" s="36">
        <f t="shared" si="7"/>
        <v>0.3995098039215686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131</v>
      </c>
      <c r="E20" s="53" t="s">
        <v>221</v>
      </c>
      <c r="F20" s="30" t="s">
        <v>210</v>
      </c>
      <c r="G20" s="33">
        <v>2</v>
      </c>
      <c r="H20" s="35">
        <v>24</v>
      </c>
      <c r="I20" s="7">
        <v>500</v>
      </c>
      <c r="J20" s="5">
        <v>1258</v>
      </c>
      <c r="K20" s="15">
        <f>L20</f>
        <v>1258</v>
      </c>
      <c r="L20" s="15">
        <f>629*2</f>
        <v>1258</v>
      </c>
      <c r="M20" s="15">
        <f t="shared" si="0"/>
        <v>1258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>
        <v>17</v>
      </c>
      <c r="AB20" s="8">
        <f t="shared" si="4"/>
        <v>1</v>
      </c>
      <c r="AC20" s="9">
        <f t="shared" si="5"/>
        <v>0.20833333333333334</v>
      </c>
      <c r="AD20" s="10">
        <f>AC20*AB20*(1-O20)</f>
        <v>0.20833333333333334</v>
      </c>
      <c r="AE20" s="36">
        <f t="shared" si="7"/>
        <v>0.3995098039215686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224</v>
      </c>
      <c r="F21" s="30" t="s">
        <v>119</v>
      </c>
      <c r="G21" s="33">
        <v>1</v>
      </c>
      <c r="H21" s="35">
        <v>24</v>
      </c>
      <c r="I21" s="7">
        <v>64000</v>
      </c>
      <c r="J21" s="14">
        <v>4204</v>
      </c>
      <c r="K21" s="15">
        <f>L21</f>
        <v>4204</v>
      </c>
      <c r="L21" s="15">
        <f>1564+2640</f>
        <v>4204</v>
      </c>
      <c r="M21" s="15">
        <f t="shared" si="0"/>
        <v>4204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ref="AD21" si="10">AC21*AB21*(1-O21)</f>
        <v>0.875</v>
      </c>
      <c r="AE21" s="36">
        <f t="shared" si="7"/>
        <v>0.3995098039215686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152</v>
      </c>
      <c r="F22" s="12" t="s">
        <v>114</v>
      </c>
      <c r="G22" s="12">
        <v>4</v>
      </c>
      <c r="H22" s="35">
        <v>20</v>
      </c>
      <c r="I22" s="7">
        <v>500000</v>
      </c>
      <c r="J22" s="14">
        <v>30748</v>
      </c>
      <c r="K22" s="15">
        <f>L22+46004+81588+47056+35856+81716+45768+30748</f>
        <v>368736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0.3995098039215686</v>
      </c>
      <c r="AF22" s="84">
        <f t="shared" si="8"/>
        <v>16</v>
      </c>
    </row>
    <row r="23" spans="1:32" ht="31.5" customHeight="1" thickBot="1">
      <c r="A23" s="545" t="s">
        <v>34</v>
      </c>
      <c r="B23" s="546"/>
      <c r="C23" s="546"/>
      <c r="D23" s="546"/>
      <c r="E23" s="546"/>
      <c r="F23" s="546"/>
      <c r="G23" s="546"/>
      <c r="H23" s="547"/>
      <c r="I23" s="22">
        <f t="shared" ref="I23:N23" si="11">SUM(I6:I22)</f>
        <v>1774500</v>
      </c>
      <c r="J23" s="19">
        <f t="shared" si="11"/>
        <v>120234</v>
      </c>
      <c r="K23" s="20">
        <f t="shared" si="11"/>
        <v>1521943</v>
      </c>
      <c r="L23" s="21">
        <f t="shared" si="11"/>
        <v>55564</v>
      </c>
      <c r="M23" s="20">
        <f t="shared" si="11"/>
        <v>55564</v>
      </c>
      <c r="N23" s="21">
        <f t="shared" si="11"/>
        <v>0</v>
      </c>
      <c r="O23" s="41">
        <f t="shared" si="1"/>
        <v>0</v>
      </c>
      <c r="P23" s="42">
        <f t="shared" ref="P23:AA23" si="12">SUM(P6:P22)</f>
        <v>163</v>
      </c>
      <c r="Q23" s="43">
        <f t="shared" si="12"/>
        <v>239</v>
      </c>
      <c r="R23" s="23">
        <f t="shared" si="12"/>
        <v>0</v>
      </c>
      <c r="S23" s="24">
        <f t="shared" si="12"/>
        <v>73</v>
      </c>
      <c r="T23" s="24">
        <f t="shared" si="12"/>
        <v>0</v>
      </c>
      <c r="U23" s="24">
        <f t="shared" si="12"/>
        <v>0</v>
      </c>
      <c r="V23" s="25">
        <f t="shared" si="12"/>
        <v>24</v>
      </c>
      <c r="W23" s="26">
        <f t="shared" si="12"/>
        <v>58</v>
      </c>
      <c r="X23" s="27">
        <f t="shared" si="12"/>
        <v>0</v>
      </c>
      <c r="Y23" s="27">
        <f t="shared" si="12"/>
        <v>0</v>
      </c>
      <c r="Z23" s="27">
        <f t="shared" si="12"/>
        <v>0</v>
      </c>
      <c r="AA23" s="27">
        <f t="shared" si="12"/>
        <v>84</v>
      </c>
      <c r="AB23" s="28">
        <f>AVERAGE(AB6:AB22)</f>
        <v>0.58823529411764708</v>
      </c>
      <c r="AC23" s="4">
        <f t="shared" ref="AC23:AD23" si="13">AVERAGE(AC6:AC22)</f>
        <v>0.3995098039215686</v>
      </c>
      <c r="AD23" s="4">
        <f t="shared" si="13"/>
        <v>0.3995098039215686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8" t="s">
        <v>45</v>
      </c>
      <c r="B50" s="548"/>
      <c r="C50" s="548"/>
      <c r="D50" s="548"/>
      <c r="E50" s="5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9" t="s">
        <v>234</v>
      </c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1"/>
      <c r="N51" s="552" t="s">
        <v>237</v>
      </c>
      <c r="O51" s="553"/>
      <c r="P51" s="553"/>
      <c r="Q51" s="553"/>
      <c r="R51" s="553"/>
      <c r="S51" s="553"/>
      <c r="T51" s="553"/>
      <c r="U51" s="553"/>
      <c r="V51" s="553"/>
      <c r="W51" s="553"/>
      <c r="X51" s="553"/>
      <c r="Y51" s="553"/>
      <c r="Z51" s="553"/>
      <c r="AA51" s="553"/>
      <c r="AB51" s="553"/>
      <c r="AC51" s="553"/>
      <c r="AD51" s="554"/>
    </row>
    <row r="52" spans="1:32" ht="27" customHeight="1">
      <c r="A52" s="555" t="s">
        <v>2</v>
      </c>
      <c r="B52" s="556"/>
      <c r="C52" s="154" t="s">
        <v>46</v>
      </c>
      <c r="D52" s="154" t="s">
        <v>47</v>
      </c>
      <c r="E52" s="154" t="s">
        <v>107</v>
      </c>
      <c r="F52" s="557" t="s">
        <v>106</v>
      </c>
      <c r="G52" s="558"/>
      <c r="H52" s="558"/>
      <c r="I52" s="558"/>
      <c r="J52" s="558"/>
      <c r="K52" s="558"/>
      <c r="L52" s="558"/>
      <c r="M52" s="559"/>
      <c r="N52" s="67" t="s">
        <v>110</v>
      </c>
      <c r="O52" s="154" t="s">
        <v>46</v>
      </c>
      <c r="P52" s="557" t="s">
        <v>47</v>
      </c>
      <c r="Q52" s="560"/>
      <c r="R52" s="557" t="s">
        <v>38</v>
      </c>
      <c r="S52" s="558"/>
      <c r="T52" s="558"/>
      <c r="U52" s="560"/>
      <c r="V52" s="557" t="s">
        <v>48</v>
      </c>
      <c r="W52" s="558"/>
      <c r="X52" s="558"/>
      <c r="Y52" s="558"/>
      <c r="Z52" s="558"/>
      <c r="AA52" s="558"/>
      <c r="AB52" s="558"/>
      <c r="AC52" s="558"/>
      <c r="AD52" s="559"/>
    </row>
    <row r="53" spans="1:32" ht="27" customHeight="1">
      <c r="A53" s="526" t="s">
        <v>112</v>
      </c>
      <c r="B53" s="527"/>
      <c r="C53" s="151" t="s">
        <v>214</v>
      </c>
      <c r="D53" s="151" t="s">
        <v>131</v>
      </c>
      <c r="E53" s="151" t="s">
        <v>158</v>
      </c>
      <c r="F53" s="528" t="s">
        <v>235</v>
      </c>
      <c r="G53" s="529"/>
      <c r="H53" s="529"/>
      <c r="I53" s="529"/>
      <c r="J53" s="529"/>
      <c r="K53" s="529"/>
      <c r="L53" s="529"/>
      <c r="M53" s="530"/>
      <c r="N53" s="150" t="s">
        <v>112</v>
      </c>
      <c r="O53" s="148" t="s">
        <v>185</v>
      </c>
      <c r="P53" s="540" t="s">
        <v>165</v>
      </c>
      <c r="Q53" s="541"/>
      <c r="R53" s="540" t="s">
        <v>238</v>
      </c>
      <c r="S53" s="542"/>
      <c r="T53" s="542"/>
      <c r="U53" s="541"/>
      <c r="V53" s="510" t="s">
        <v>118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112</v>
      </c>
      <c r="B54" s="527"/>
      <c r="C54" s="151" t="s">
        <v>174</v>
      </c>
      <c r="D54" s="151" t="s">
        <v>115</v>
      </c>
      <c r="E54" s="151"/>
      <c r="F54" s="528"/>
      <c r="G54" s="529"/>
      <c r="H54" s="529"/>
      <c r="I54" s="529"/>
      <c r="J54" s="529"/>
      <c r="K54" s="529"/>
      <c r="L54" s="529"/>
      <c r="M54" s="530"/>
      <c r="N54" s="150" t="s">
        <v>112</v>
      </c>
      <c r="O54" s="148" t="s">
        <v>214</v>
      </c>
      <c r="P54" s="540" t="s">
        <v>131</v>
      </c>
      <c r="Q54" s="541"/>
      <c r="R54" s="540" t="s">
        <v>158</v>
      </c>
      <c r="S54" s="542"/>
      <c r="T54" s="542"/>
      <c r="U54" s="541"/>
      <c r="V54" s="510" t="s">
        <v>151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151" t="s">
        <v>147</v>
      </c>
      <c r="D55" s="151" t="s">
        <v>115</v>
      </c>
      <c r="E55" s="151" t="s">
        <v>222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150" t="s">
        <v>112</v>
      </c>
      <c r="O55" s="148" t="s">
        <v>239</v>
      </c>
      <c r="P55" s="540" t="s">
        <v>115</v>
      </c>
      <c r="Q55" s="541"/>
      <c r="R55" s="540" t="s">
        <v>116</v>
      </c>
      <c r="S55" s="542"/>
      <c r="T55" s="542"/>
      <c r="U55" s="541"/>
      <c r="V55" s="510" t="s">
        <v>177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151" t="s">
        <v>194</v>
      </c>
      <c r="D56" s="151" t="s">
        <v>131</v>
      </c>
      <c r="E56" s="151" t="s">
        <v>221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150" t="s">
        <v>112</v>
      </c>
      <c r="O56" s="148" t="s">
        <v>174</v>
      </c>
      <c r="P56" s="540" t="s">
        <v>115</v>
      </c>
      <c r="Q56" s="541"/>
      <c r="R56" s="540" t="s">
        <v>133</v>
      </c>
      <c r="S56" s="542"/>
      <c r="T56" s="542"/>
      <c r="U56" s="541"/>
      <c r="V56" s="510" t="s">
        <v>151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151" t="s">
        <v>223</v>
      </c>
      <c r="D57" s="151" t="s">
        <v>115</v>
      </c>
      <c r="E57" s="151" t="s">
        <v>224</v>
      </c>
      <c r="F57" s="528" t="s">
        <v>236</v>
      </c>
      <c r="G57" s="529"/>
      <c r="H57" s="529"/>
      <c r="I57" s="529"/>
      <c r="J57" s="529"/>
      <c r="K57" s="529"/>
      <c r="L57" s="529"/>
      <c r="M57" s="530"/>
      <c r="N57" s="150"/>
      <c r="O57" s="148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151"/>
      <c r="D58" s="151"/>
      <c r="E58" s="151"/>
      <c r="F58" s="528"/>
      <c r="G58" s="529"/>
      <c r="H58" s="529"/>
      <c r="I58" s="529"/>
      <c r="J58" s="529"/>
      <c r="K58" s="529"/>
      <c r="L58" s="529"/>
      <c r="M58" s="530"/>
      <c r="N58" s="150"/>
      <c r="O58" s="148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151"/>
      <c r="D59" s="151"/>
      <c r="E59" s="151"/>
      <c r="F59" s="528"/>
      <c r="G59" s="529"/>
      <c r="H59" s="529"/>
      <c r="I59" s="529"/>
      <c r="J59" s="529"/>
      <c r="K59" s="529"/>
      <c r="L59" s="529"/>
      <c r="M59" s="530"/>
      <c r="N59" s="150"/>
      <c r="O59" s="148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151"/>
      <c r="D60" s="151"/>
      <c r="E60" s="151"/>
      <c r="F60" s="528"/>
      <c r="G60" s="529"/>
      <c r="H60" s="529"/>
      <c r="I60" s="529"/>
      <c r="J60" s="529"/>
      <c r="K60" s="529"/>
      <c r="L60" s="529"/>
      <c r="M60" s="530"/>
      <c r="N60" s="150"/>
      <c r="O60" s="148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151"/>
      <c r="D61" s="151"/>
      <c r="E61" s="151"/>
      <c r="F61" s="528"/>
      <c r="G61" s="529"/>
      <c r="H61" s="529"/>
      <c r="I61" s="529"/>
      <c r="J61" s="529"/>
      <c r="K61" s="529"/>
      <c r="L61" s="529"/>
      <c r="M61" s="530"/>
      <c r="N61" s="150"/>
      <c r="O61" s="148"/>
      <c r="P61" s="527"/>
      <c r="Q61" s="527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  <c r="AF61" s="84">
        <f>8*3000</f>
        <v>24000</v>
      </c>
    </row>
    <row r="62" spans="1:32" ht="27" customHeight="1" thickBot="1">
      <c r="A62" s="532"/>
      <c r="B62" s="533"/>
      <c r="C62" s="152"/>
      <c r="D62" s="153"/>
      <c r="E62" s="153"/>
      <c r="F62" s="534"/>
      <c r="G62" s="535"/>
      <c r="H62" s="535"/>
      <c r="I62" s="535"/>
      <c r="J62" s="535"/>
      <c r="K62" s="535"/>
      <c r="L62" s="535"/>
      <c r="M62" s="536"/>
      <c r="N62" s="112"/>
      <c r="O62" s="103"/>
      <c r="P62" s="537"/>
      <c r="Q62" s="537"/>
      <c r="R62" s="537"/>
      <c r="S62" s="537"/>
      <c r="T62" s="537"/>
      <c r="U62" s="537"/>
      <c r="V62" s="538"/>
      <c r="W62" s="538"/>
      <c r="X62" s="538"/>
      <c r="Y62" s="538"/>
      <c r="Z62" s="538"/>
      <c r="AA62" s="538"/>
      <c r="AB62" s="538"/>
      <c r="AC62" s="538"/>
      <c r="AD62" s="539"/>
      <c r="AF62" s="84">
        <f>16*3000</f>
        <v>48000</v>
      </c>
    </row>
    <row r="63" spans="1:32" ht="27.75" thickBot="1">
      <c r="A63" s="524" t="s">
        <v>240</v>
      </c>
      <c r="B63" s="524"/>
      <c r="C63" s="524"/>
      <c r="D63" s="524"/>
      <c r="E63" s="52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25" t="s">
        <v>111</v>
      </c>
      <c r="B64" s="520"/>
      <c r="C64" s="149" t="s">
        <v>2</v>
      </c>
      <c r="D64" s="149" t="s">
        <v>37</v>
      </c>
      <c r="E64" s="149" t="s">
        <v>3</v>
      </c>
      <c r="F64" s="520" t="s">
        <v>109</v>
      </c>
      <c r="G64" s="520"/>
      <c r="H64" s="520"/>
      <c r="I64" s="520"/>
      <c r="J64" s="520"/>
      <c r="K64" s="520" t="s">
        <v>39</v>
      </c>
      <c r="L64" s="520"/>
      <c r="M64" s="149" t="s">
        <v>40</v>
      </c>
      <c r="N64" s="520" t="s">
        <v>41</v>
      </c>
      <c r="O64" s="520"/>
      <c r="P64" s="517" t="s">
        <v>42</v>
      </c>
      <c r="Q64" s="519"/>
      <c r="R64" s="517" t="s">
        <v>43</v>
      </c>
      <c r="S64" s="518"/>
      <c r="T64" s="518"/>
      <c r="U64" s="518"/>
      <c r="V64" s="518"/>
      <c r="W64" s="518"/>
      <c r="X64" s="518"/>
      <c r="Y64" s="518"/>
      <c r="Z64" s="518"/>
      <c r="AA64" s="519"/>
      <c r="AB64" s="520" t="s">
        <v>44</v>
      </c>
      <c r="AC64" s="520"/>
      <c r="AD64" s="521"/>
      <c r="AF64" s="84">
        <f>SUM(AF61:AF63)</f>
        <v>96000</v>
      </c>
    </row>
    <row r="65" spans="1:32" ht="25.5" customHeight="1">
      <c r="A65" s="503">
        <v>1</v>
      </c>
      <c r="B65" s="504"/>
      <c r="C65" s="105" t="s">
        <v>121</v>
      </c>
      <c r="D65" s="144"/>
      <c r="E65" s="147" t="s">
        <v>115</v>
      </c>
      <c r="F65" s="513" t="s">
        <v>241</v>
      </c>
      <c r="G65" s="514"/>
      <c r="H65" s="514"/>
      <c r="I65" s="514"/>
      <c r="J65" s="515"/>
      <c r="K65" s="497" t="s">
        <v>125</v>
      </c>
      <c r="L65" s="497"/>
      <c r="M65" s="51" t="s">
        <v>200</v>
      </c>
      <c r="N65" s="511" t="s">
        <v>147</v>
      </c>
      <c r="O65" s="511"/>
      <c r="P65" s="512">
        <v>100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516"/>
      <c r="AC65" s="522"/>
      <c r="AD65" s="523"/>
      <c r="AF65" s="50"/>
    </row>
    <row r="66" spans="1:32" ht="25.5" customHeight="1">
      <c r="A66" s="503">
        <v>2</v>
      </c>
      <c r="B66" s="504"/>
      <c r="C66" s="105" t="s">
        <v>121</v>
      </c>
      <c r="D66" s="144"/>
      <c r="E66" s="147"/>
      <c r="F66" s="513" t="s">
        <v>227</v>
      </c>
      <c r="G66" s="514"/>
      <c r="H66" s="514"/>
      <c r="I66" s="514"/>
      <c r="J66" s="515"/>
      <c r="K66" s="497" t="s">
        <v>146</v>
      </c>
      <c r="L66" s="497"/>
      <c r="M66" s="51" t="s">
        <v>144</v>
      </c>
      <c r="N66" s="511" t="s">
        <v>142</v>
      </c>
      <c r="O66" s="511"/>
      <c r="P66" s="512">
        <v>500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3</v>
      </c>
      <c r="B67" s="504"/>
      <c r="C67" s="105" t="s">
        <v>120</v>
      </c>
      <c r="D67" s="144"/>
      <c r="E67" s="147" t="s">
        <v>115</v>
      </c>
      <c r="F67" s="513" t="s">
        <v>242</v>
      </c>
      <c r="G67" s="514"/>
      <c r="H67" s="514"/>
      <c r="I67" s="514"/>
      <c r="J67" s="515"/>
      <c r="K67" s="497" t="s">
        <v>119</v>
      </c>
      <c r="L67" s="497"/>
      <c r="M67" s="51" t="s">
        <v>200</v>
      </c>
      <c r="N67" s="511" t="s">
        <v>147</v>
      </c>
      <c r="O67" s="511"/>
      <c r="P67" s="512">
        <v>300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4</v>
      </c>
      <c r="B68" s="504"/>
      <c r="C68" s="105" t="s">
        <v>123</v>
      </c>
      <c r="D68" s="144"/>
      <c r="E68" s="147"/>
      <c r="F68" s="513" t="s">
        <v>243</v>
      </c>
      <c r="G68" s="514"/>
      <c r="H68" s="514"/>
      <c r="I68" s="514"/>
      <c r="J68" s="515"/>
      <c r="K68" s="516" t="s">
        <v>247</v>
      </c>
      <c r="L68" s="504"/>
      <c r="M68" s="51" t="s">
        <v>248</v>
      </c>
      <c r="N68" s="511" t="s">
        <v>180</v>
      </c>
      <c r="O68" s="511"/>
      <c r="P68" s="512">
        <v>50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5</v>
      </c>
      <c r="B69" s="504"/>
      <c r="C69" s="105" t="s">
        <v>123</v>
      </c>
      <c r="D69" s="144"/>
      <c r="E69" s="147"/>
      <c r="F69" s="513" t="s">
        <v>244</v>
      </c>
      <c r="G69" s="514"/>
      <c r="H69" s="514"/>
      <c r="I69" s="514"/>
      <c r="J69" s="515"/>
      <c r="K69" s="516" t="s">
        <v>249</v>
      </c>
      <c r="L69" s="504"/>
      <c r="M69" s="51" t="s">
        <v>248</v>
      </c>
      <c r="N69" s="511" t="s">
        <v>147</v>
      </c>
      <c r="O69" s="511"/>
      <c r="P69" s="512">
        <v>50</v>
      </c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6</v>
      </c>
      <c r="B70" s="504"/>
      <c r="C70" s="105" t="s">
        <v>123</v>
      </c>
      <c r="D70" s="144"/>
      <c r="E70" s="147"/>
      <c r="F70" s="513" t="s">
        <v>245</v>
      </c>
      <c r="G70" s="514"/>
      <c r="H70" s="514"/>
      <c r="I70" s="514"/>
      <c r="J70" s="515"/>
      <c r="K70" s="516" t="s">
        <v>119</v>
      </c>
      <c r="L70" s="504"/>
      <c r="M70" s="51" t="s">
        <v>248</v>
      </c>
      <c r="N70" s="511" t="s">
        <v>194</v>
      </c>
      <c r="O70" s="511"/>
      <c r="P70" s="512"/>
      <c r="Q70" s="512"/>
      <c r="R70" s="510" t="s">
        <v>250</v>
      </c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7</v>
      </c>
      <c r="B71" s="504"/>
      <c r="C71" s="105" t="s">
        <v>123</v>
      </c>
      <c r="D71" s="144"/>
      <c r="E71" s="147"/>
      <c r="F71" s="505" t="s">
        <v>246</v>
      </c>
      <c r="G71" s="497"/>
      <c r="H71" s="497"/>
      <c r="I71" s="497"/>
      <c r="J71" s="497"/>
      <c r="K71" s="516" t="s">
        <v>119</v>
      </c>
      <c r="L71" s="504"/>
      <c r="M71" s="51" t="s">
        <v>248</v>
      </c>
      <c r="N71" s="511" t="s">
        <v>194</v>
      </c>
      <c r="O71" s="511"/>
      <c r="P71" s="512"/>
      <c r="Q71" s="512"/>
      <c r="R71" s="510" t="s">
        <v>251</v>
      </c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8</v>
      </c>
      <c r="B72" s="504"/>
      <c r="C72" s="105"/>
      <c r="D72" s="144"/>
      <c r="E72" s="147"/>
      <c r="F72" s="505"/>
      <c r="G72" s="497"/>
      <c r="H72" s="497"/>
      <c r="I72" s="497"/>
      <c r="J72" s="497"/>
      <c r="K72" s="497"/>
      <c r="L72" s="497"/>
      <c r="M72" s="51"/>
      <c r="N72" s="506"/>
      <c r="O72" s="507"/>
      <c r="P72" s="508"/>
      <c r="Q72" s="509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6.25" customHeight="1" thickBot="1">
      <c r="A73" s="477" t="s">
        <v>252</v>
      </c>
      <c r="B73" s="477"/>
      <c r="C73" s="477"/>
      <c r="D73" s="477"/>
      <c r="E73" s="477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78" t="s">
        <v>111</v>
      </c>
      <c r="B74" s="479"/>
      <c r="C74" s="146" t="s">
        <v>2</v>
      </c>
      <c r="D74" s="146" t="s">
        <v>37</v>
      </c>
      <c r="E74" s="146" t="s">
        <v>3</v>
      </c>
      <c r="F74" s="479" t="s">
        <v>38</v>
      </c>
      <c r="G74" s="479"/>
      <c r="H74" s="479"/>
      <c r="I74" s="479"/>
      <c r="J74" s="479"/>
      <c r="K74" s="499" t="s">
        <v>58</v>
      </c>
      <c r="L74" s="500"/>
      <c r="M74" s="500"/>
      <c r="N74" s="500"/>
      <c r="O74" s="500"/>
      <c r="P74" s="500"/>
      <c r="Q74" s="500"/>
      <c r="R74" s="500"/>
      <c r="S74" s="501"/>
      <c r="T74" s="479" t="s">
        <v>49</v>
      </c>
      <c r="U74" s="479"/>
      <c r="V74" s="499" t="s">
        <v>50</v>
      </c>
      <c r="W74" s="501"/>
      <c r="X74" s="500" t="s">
        <v>51</v>
      </c>
      <c r="Y74" s="500"/>
      <c r="Z74" s="500"/>
      <c r="AA74" s="500"/>
      <c r="AB74" s="500"/>
      <c r="AC74" s="500"/>
      <c r="AD74" s="502"/>
      <c r="AF74" s="50"/>
    </row>
    <row r="75" spans="1:32" ht="33.75" customHeight="1">
      <c r="A75" s="471">
        <v>1</v>
      </c>
      <c r="B75" s="472"/>
      <c r="C75" s="145" t="s">
        <v>112</v>
      </c>
      <c r="D75" s="145"/>
      <c r="E75" s="65" t="s">
        <v>117</v>
      </c>
      <c r="F75" s="486" t="s">
        <v>116</v>
      </c>
      <c r="G75" s="487"/>
      <c r="H75" s="487"/>
      <c r="I75" s="487"/>
      <c r="J75" s="488"/>
      <c r="K75" s="489" t="s">
        <v>122</v>
      </c>
      <c r="L75" s="490"/>
      <c r="M75" s="490"/>
      <c r="N75" s="490"/>
      <c r="O75" s="490"/>
      <c r="P75" s="490"/>
      <c r="Q75" s="490"/>
      <c r="R75" s="490"/>
      <c r="S75" s="491"/>
      <c r="T75" s="492">
        <v>43675</v>
      </c>
      <c r="U75" s="493"/>
      <c r="V75" s="494"/>
      <c r="W75" s="494"/>
      <c r="X75" s="495"/>
      <c r="Y75" s="495"/>
      <c r="Z75" s="495"/>
      <c r="AA75" s="495"/>
      <c r="AB75" s="495"/>
      <c r="AC75" s="495"/>
      <c r="AD75" s="496"/>
      <c r="AF75" s="50"/>
    </row>
    <row r="76" spans="1:32" ht="30" customHeight="1">
      <c r="A76" s="464">
        <f>A75+1</f>
        <v>2</v>
      </c>
      <c r="B76" s="465"/>
      <c r="C76" s="144"/>
      <c r="D76" s="144"/>
      <c r="E76" s="32"/>
      <c r="F76" s="465"/>
      <c r="G76" s="465"/>
      <c r="H76" s="465"/>
      <c r="I76" s="465"/>
      <c r="J76" s="465"/>
      <c r="K76" s="480"/>
      <c r="L76" s="481"/>
      <c r="M76" s="481"/>
      <c r="N76" s="481"/>
      <c r="O76" s="481"/>
      <c r="P76" s="481"/>
      <c r="Q76" s="481"/>
      <c r="R76" s="481"/>
      <c r="S76" s="482"/>
      <c r="T76" s="483"/>
      <c r="U76" s="483"/>
      <c r="V76" s="483"/>
      <c r="W76" s="483"/>
      <c r="X76" s="484"/>
      <c r="Y76" s="484"/>
      <c r="Z76" s="484"/>
      <c r="AA76" s="484"/>
      <c r="AB76" s="484"/>
      <c r="AC76" s="484"/>
      <c r="AD76" s="485"/>
      <c r="AF76" s="50"/>
    </row>
    <row r="77" spans="1:32" ht="30" customHeight="1">
      <c r="A77" s="464">
        <f t="shared" ref="A77:A83" si="14">A76+1</f>
        <v>3</v>
      </c>
      <c r="B77" s="465"/>
      <c r="C77" s="144"/>
      <c r="D77" s="144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si="14"/>
        <v>4</v>
      </c>
      <c r="B78" s="465"/>
      <c r="C78" s="144"/>
      <c r="D78" s="144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4"/>
        <v>5</v>
      </c>
      <c r="B79" s="465"/>
      <c r="C79" s="144"/>
      <c r="D79" s="144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4"/>
        <v>6</v>
      </c>
      <c r="B80" s="465"/>
      <c r="C80" s="144"/>
      <c r="D80" s="144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4"/>
        <v>7</v>
      </c>
      <c r="B81" s="465"/>
      <c r="C81" s="144"/>
      <c r="D81" s="144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4"/>
        <v>8</v>
      </c>
      <c r="B82" s="465"/>
      <c r="C82" s="144"/>
      <c r="D82" s="144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14"/>
        <v>9</v>
      </c>
      <c r="B83" s="465"/>
      <c r="C83" s="144"/>
      <c r="D83" s="144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7" t="s">
        <v>253</v>
      </c>
      <c r="B84" s="477"/>
      <c r="C84" s="477"/>
      <c r="D84" s="477"/>
      <c r="E84" s="47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8" t="s">
        <v>111</v>
      </c>
      <c r="B85" s="479"/>
      <c r="C85" s="469" t="s">
        <v>52</v>
      </c>
      <c r="D85" s="469"/>
      <c r="E85" s="469" t="s">
        <v>53</v>
      </c>
      <c r="F85" s="469"/>
      <c r="G85" s="469"/>
      <c r="H85" s="469"/>
      <c r="I85" s="469"/>
      <c r="J85" s="469"/>
      <c r="K85" s="469" t="s">
        <v>54</v>
      </c>
      <c r="L85" s="469"/>
      <c r="M85" s="469"/>
      <c r="N85" s="469"/>
      <c r="O85" s="469"/>
      <c r="P85" s="469"/>
      <c r="Q85" s="469"/>
      <c r="R85" s="469"/>
      <c r="S85" s="469"/>
      <c r="T85" s="469" t="s">
        <v>55</v>
      </c>
      <c r="U85" s="469"/>
      <c r="V85" s="469" t="s">
        <v>56</v>
      </c>
      <c r="W85" s="469"/>
      <c r="X85" s="469"/>
      <c r="Y85" s="469" t="s">
        <v>51</v>
      </c>
      <c r="Z85" s="469"/>
      <c r="AA85" s="469"/>
      <c r="AB85" s="469"/>
      <c r="AC85" s="469"/>
      <c r="AD85" s="470"/>
      <c r="AF85" s="50"/>
    </row>
    <row r="86" spans="1:32" ht="30.75" customHeight="1">
      <c r="A86" s="471">
        <v>1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4"/>
      <c r="W86" s="474"/>
      <c r="X86" s="474"/>
      <c r="Y86" s="475"/>
      <c r="Z86" s="475"/>
      <c r="AA86" s="475"/>
      <c r="AB86" s="475"/>
      <c r="AC86" s="475"/>
      <c r="AD86" s="476"/>
      <c r="AF86" s="50"/>
    </row>
    <row r="87" spans="1:32" ht="30.75" customHeight="1">
      <c r="A87" s="464">
        <v>2</v>
      </c>
      <c r="B87" s="465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7"/>
      <c r="U87" s="467"/>
      <c r="V87" s="468"/>
      <c r="W87" s="468"/>
      <c r="X87" s="468"/>
      <c r="Y87" s="457"/>
      <c r="Z87" s="457"/>
      <c r="AA87" s="457"/>
      <c r="AB87" s="457"/>
      <c r="AC87" s="457"/>
      <c r="AD87" s="458"/>
      <c r="AF87" s="50"/>
    </row>
    <row r="88" spans="1:32" ht="30.75" customHeight="1" thickBot="1">
      <c r="A88" s="459">
        <v>3</v>
      </c>
      <c r="B88" s="460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2"/>
      <c r="Z88" s="462"/>
      <c r="AA88" s="462"/>
      <c r="AB88" s="462"/>
      <c r="AC88" s="462"/>
      <c r="AD88" s="463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CCDB-CE7F-4DF0-AF77-18403543DA20}">
  <dimension ref="A1:AF87"/>
  <sheetViews>
    <sheetView topLeftCell="A10" zoomScale="72" zoomScaleNormal="72" zoomScaleSheetLayoutView="70" workbookViewId="0">
      <selection activeCell="AC22" sqref="AC22:AD2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254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56" t="s">
        <v>17</v>
      </c>
      <c r="L5" s="156" t="s">
        <v>18</v>
      </c>
      <c r="M5" s="156" t="s">
        <v>19</v>
      </c>
      <c r="N5" s="1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5567</v>
      </c>
      <c r="K6" s="15">
        <f>L6</f>
        <v>5567</v>
      </c>
      <c r="L6" s="15">
        <f>3045+2522</f>
        <v>5567</v>
      </c>
      <c r="M6" s="15">
        <f t="shared" ref="M6:M21" si="0">L6-N6</f>
        <v>5567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0.45833333333333337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155</v>
      </c>
      <c r="E7" s="53" t="s">
        <v>207</v>
      </c>
      <c r="F7" s="30" t="s">
        <v>143</v>
      </c>
      <c r="G7" s="12">
        <v>1</v>
      </c>
      <c r="H7" s="13">
        <v>28</v>
      </c>
      <c r="I7" s="31">
        <v>3000</v>
      </c>
      <c r="J7" s="5">
        <v>1621</v>
      </c>
      <c r="K7" s="15">
        <f>L7+3089+1621</f>
        <v>4710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0.45833333333333337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5746</v>
      </c>
      <c r="K8" s="15">
        <f>L8+1658+3024+3826+5621+5758</f>
        <v>25633</v>
      </c>
      <c r="L8" s="15">
        <f>2859+2887</f>
        <v>5746</v>
      </c>
      <c r="M8" s="15">
        <f t="shared" si="0"/>
        <v>5746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0.45833333333333337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255</v>
      </c>
      <c r="F9" s="30" t="s">
        <v>256</v>
      </c>
      <c r="G9" s="33">
        <v>1</v>
      </c>
      <c r="H9" s="35">
        <v>24</v>
      </c>
      <c r="I9" s="7">
        <v>15000</v>
      </c>
      <c r="J9" s="14">
        <v>3705</v>
      </c>
      <c r="K9" s="15">
        <f>L9</f>
        <v>0</v>
      </c>
      <c r="L9" s="15">
        <f>0</f>
        <v>0</v>
      </c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0.45833333333333337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20000</v>
      </c>
      <c r="J10" s="5">
        <v>4584</v>
      </c>
      <c r="K10" s="15">
        <f>L10+3006+4988+687</f>
        <v>13265</v>
      </c>
      <c r="L10" s="15">
        <f>2727+1857</f>
        <v>4584</v>
      </c>
      <c r="M10" s="15">
        <f t="shared" si="0"/>
        <v>4584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>AC10*AB10*(1-O10)</f>
        <v>0.91666666666666663</v>
      </c>
      <c r="AE10" s="36">
        <f t="shared" si="7"/>
        <v>0.45833333333333337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4668</v>
      </c>
      <c r="K11" s="15">
        <f>L11</f>
        <v>4668</v>
      </c>
      <c r="L11" s="15">
        <f>2931+1737</f>
        <v>4668</v>
      </c>
      <c r="M11" s="15">
        <f t="shared" si="0"/>
        <v>4668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>AC11*AB11*(1-O11)</f>
        <v>0.91666666666666663</v>
      </c>
      <c r="AE11" s="36">
        <f t="shared" si="7"/>
        <v>0.45833333333333337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34000</v>
      </c>
      <c r="J12" s="14">
        <v>2294</v>
      </c>
      <c r="K12" s="15">
        <f>L12+2120+2858+4163+3861+4361</f>
        <v>19657</v>
      </c>
      <c r="L12" s="15">
        <f>2294</f>
        <v>2294</v>
      </c>
      <c r="M12" s="15">
        <f t="shared" si="0"/>
        <v>2294</v>
      </c>
      <c r="N12" s="15">
        <v>0</v>
      </c>
      <c r="O12" s="58">
        <f t="shared" si="1"/>
        <v>0</v>
      </c>
      <c r="P12" s="39">
        <f t="shared" si="2"/>
        <v>13</v>
      </c>
      <c r="Q12" s="40">
        <f t="shared" si="3"/>
        <v>11</v>
      </c>
      <c r="R12" s="7"/>
      <c r="S12" s="6">
        <v>11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0.54166666666666663</v>
      </c>
      <c r="AD12" s="10">
        <f t="shared" ref="AD12:AD14" si="9">AC12*AB12*(1-O12)</f>
        <v>0.54166666666666663</v>
      </c>
      <c r="AE12" s="36">
        <f t="shared" si="7"/>
        <v>0.45833333333333337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126</v>
      </c>
      <c r="F13" s="30" t="s">
        <v>125</v>
      </c>
      <c r="G13" s="33">
        <v>3</v>
      </c>
      <c r="H13" s="35">
        <v>24</v>
      </c>
      <c r="I13" s="7">
        <v>850000</v>
      </c>
      <c r="J13" s="14">
        <v>7941</v>
      </c>
      <c r="K13" s="15">
        <f>L13+20676+20704+882+19912+11748+21560+18812+17048+21840+19920+21784+15116+10164+22344+20496+22064+21048+11316+20640+15348+14500+19708+20564+19264+19416+20408+20716+18988+17692+3636+18152+20008+19500+20576+20648+20164+21012+21240+19348+21776+19532+21784+7263+19344+20640+13828+2508</f>
        <v>843578</v>
      </c>
      <c r="L13" s="15">
        <f>2647*3</f>
        <v>7941</v>
      </c>
      <c r="M13" s="15">
        <f t="shared" si="0"/>
        <v>7941</v>
      </c>
      <c r="N13" s="15">
        <v>0</v>
      </c>
      <c r="O13" s="58">
        <f t="shared" si="1"/>
        <v>0</v>
      </c>
      <c r="P13" s="39">
        <f t="shared" si="2"/>
        <v>13</v>
      </c>
      <c r="Q13" s="40">
        <f t="shared" si="3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0.54166666666666663</v>
      </c>
      <c r="AD13" s="10">
        <f t="shared" si="9"/>
        <v>0.54166666666666663</v>
      </c>
      <c r="AE13" s="36">
        <f t="shared" si="7"/>
        <v>0.45833333333333337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159</v>
      </c>
      <c r="F14" s="30" t="s">
        <v>145</v>
      </c>
      <c r="G14" s="33">
        <v>1</v>
      </c>
      <c r="H14" s="35">
        <v>24</v>
      </c>
      <c r="I14" s="7">
        <v>300</v>
      </c>
      <c r="J14" s="5">
        <v>562</v>
      </c>
      <c r="K14" s="15">
        <f>L14+562</f>
        <v>562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0.45833333333333337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166</v>
      </c>
      <c r="F15" s="12" t="s">
        <v>124</v>
      </c>
      <c r="G15" s="12">
        <v>1</v>
      </c>
      <c r="H15" s="13">
        <v>24</v>
      </c>
      <c r="I15" s="31">
        <v>5000</v>
      </c>
      <c r="J15" s="14">
        <v>3660</v>
      </c>
      <c r="K15" s="15">
        <f>L15+3021+3660</f>
        <v>6681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0.45833333333333337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20000</v>
      </c>
      <c r="J16" s="14">
        <v>4720</v>
      </c>
      <c r="K16" s="15">
        <f>L16+1024+3034+3628+4720</f>
        <v>12406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0.45833333333333337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149</v>
      </c>
      <c r="D17" s="52" t="s">
        <v>150</v>
      </c>
      <c r="E17" s="53" t="s">
        <v>148</v>
      </c>
      <c r="F17" s="30" t="s">
        <v>157</v>
      </c>
      <c r="G17" s="33">
        <v>3</v>
      </c>
      <c r="H17" s="35">
        <v>24</v>
      </c>
      <c r="I17" s="7">
        <v>20000</v>
      </c>
      <c r="J17" s="5">
        <v>16374</v>
      </c>
      <c r="K17" s="15">
        <f>L17+9663+16134+16491</f>
        <v>58662</v>
      </c>
      <c r="L17" s="15">
        <f>2719*3+2739*3</f>
        <v>16374</v>
      </c>
      <c r="M17" s="15">
        <f t="shared" si="0"/>
        <v>16374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0.45833333333333337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193</v>
      </c>
      <c r="D18" s="52" t="s">
        <v>115</v>
      </c>
      <c r="E18" s="53" t="s">
        <v>259</v>
      </c>
      <c r="F18" s="30" t="s">
        <v>211</v>
      </c>
      <c r="G18" s="12">
        <v>1</v>
      </c>
      <c r="H18" s="13">
        <v>28</v>
      </c>
      <c r="I18" s="31">
        <v>300</v>
      </c>
      <c r="J18" s="5">
        <v>1609</v>
      </c>
      <c r="K18" s="15">
        <f>L18</f>
        <v>1609</v>
      </c>
      <c r="L18" s="15">
        <f>1051+558</f>
        <v>1609</v>
      </c>
      <c r="M18" s="15">
        <f t="shared" si="0"/>
        <v>1609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0.45833333333333337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131</v>
      </c>
      <c r="E19" s="53" t="s">
        <v>221</v>
      </c>
      <c r="F19" s="30" t="s">
        <v>210</v>
      </c>
      <c r="G19" s="33">
        <v>2</v>
      </c>
      <c r="H19" s="35">
        <v>24</v>
      </c>
      <c r="I19" s="7">
        <v>500</v>
      </c>
      <c r="J19" s="5">
        <v>1258</v>
      </c>
      <c r="K19" s="15">
        <f>L19+1258</f>
        <v>1258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>AC19*AB19*(1-O19)</f>
        <v>0</v>
      </c>
      <c r="AE19" s="36">
        <f t="shared" si="7"/>
        <v>0.45833333333333337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224</v>
      </c>
      <c r="F20" s="30" t="s">
        <v>119</v>
      </c>
      <c r="G20" s="33">
        <v>1</v>
      </c>
      <c r="H20" s="35">
        <v>24</v>
      </c>
      <c r="I20" s="7">
        <v>64000</v>
      </c>
      <c r="J20" s="14">
        <v>5394</v>
      </c>
      <c r="K20" s="15">
        <f>L20+4204</f>
        <v>9598</v>
      </c>
      <c r="L20" s="15">
        <f>2749+2645</f>
        <v>5394</v>
      </c>
      <c r="M20" s="15">
        <f t="shared" si="0"/>
        <v>5394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ref="AD20" si="10">AC20*AB20*(1-O20)</f>
        <v>1</v>
      </c>
      <c r="AE20" s="36">
        <f t="shared" si="7"/>
        <v>0.45833333333333337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30748</v>
      </c>
      <c r="K21" s="15">
        <f>L21+46004+81588+47056+35856+81716+45768+30748</f>
        <v>368736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0.45833333333333337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1">SUM(I6:I21)</f>
        <v>1710100</v>
      </c>
      <c r="J22" s="19">
        <f t="shared" si="11"/>
        <v>100451</v>
      </c>
      <c r="K22" s="20">
        <f t="shared" si="11"/>
        <v>1376590</v>
      </c>
      <c r="L22" s="21">
        <f t="shared" si="11"/>
        <v>54177</v>
      </c>
      <c r="M22" s="20">
        <f t="shared" si="11"/>
        <v>54177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176</v>
      </c>
      <c r="Q22" s="43">
        <f t="shared" si="12"/>
        <v>208</v>
      </c>
      <c r="R22" s="23">
        <f t="shared" si="12"/>
        <v>0</v>
      </c>
      <c r="S22" s="24">
        <f t="shared" si="12"/>
        <v>72</v>
      </c>
      <c r="T22" s="24">
        <f t="shared" si="12"/>
        <v>2</v>
      </c>
      <c r="U22" s="24">
        <f t="shared" si="12"/>
        <v>0</v>
      </c>
      <c r="V22" s="25">
        <f t="shared" si="12"/>
        <v>24</v>
      </c>
      <c r="W22" s="26">
        <f t="shared" si="12"/>
        <v>38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72</v>
      </c>
      <c r="AB22" s="28">
        <f>AVERAGE(AB6:AB21)</f>
        <v>0.5625</v>
      </c>
      <c r="AC22" s="28">
        <f t="shared" ref="AC22:AD22" si="13">AVERAGE(AC6:AC21)</f>
        <v>0.45833333333333337</v>
      </c>
      <c r="AD22" s="28">
        <f t="shared" si="13"/>
        <v>0.45833333333333337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266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265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157" t="s">
        <v>46</v>
      </c>
      <c r="D51" s="157" t="s">
        <v>47</v>
      </c>
      <c r="E51" s="157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157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112</v>
      </c>
      <c r="B52" s="527"/>
      <c r="C52" s="159" t="s">
        <v>185</v>
      </c>
      <c r="D52" s="159" t="s">
        <v>165</v>
      </c>
      <c r="E52" s="159" t="s">
        <v>260</v>
      </c>
      <c r="F52" s="528" t="s">
        <v>118</v>
      </c>
      <c r="G52" s="529"/>
      <c r="H52" s="529"/>
      <c r="I52" s="529"/>
      <c r="J52" s="529"/>
      <c r="K52" s="529"/>
      <c r="L52" s="529"/>
      <c r="M52" s="530"/>
      <c r="N52" s="158" t="s">
        <v>120</v>
      </c>
      <c r="O52" s="164" t="s">
        <v>142</v>
      </c>
      <c r="P52" s="540" t="s">
        <v>196</v>
      </c>
      <c r="Q52" s="541"/>
      <c r="R52" s="540" t="s">
        <v>255</v>
      </c>
      <c r="S52" s="542"/>
      <c r="T52" s="542"/>
      <c r="U52" s="541"/>
      <c r="V52" s="510" t="s">
        <v>118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112</v>
      </c>
      <c r="B53" s="527"/>
      <c r="C53" s="159" t="s">
        <v>261</v>
      </c>
      <c r="D53" s="159" t="s">
        <v>257</v>
      </c>
      <c r="E53" s="159" t="s">
        <v>262</v>
      </c>
      <c r="F53" s="528" t="s">
        <v>118</v>
      </c>
      <c r="G53" s="529"/>
      <c r="H53" s="529"/>
      <c r="I53" s="529"/>
      <c r="J53" s="529"/>
      <c r="K53" s="529"/>
      <c r="L53" s="529"/>
      <c r="M53" s="530"/>
      <c r="N53" s="158" t="s">
        <v>112</v>
      </c>
      <c r="O53" s="164" t="s">
        <v>174</v>
      </c>
      <c r="P53" s="540" t="s">
        <v>115</v>
      </c>
      <c r="Q53" s="541"/>
      <c r="R53" s="540" t="s">
        <v>133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112</v>
      </c>
      <c r="B54" s="527"/>
      <c r="C54" s="159" t="s">
        <v>214</v>
      </c>
      <c r="D54" s="159" t="s">
        <v>131</v>
      </c>
      <c r="E54" s="159" t="s">
        <v>158</v>
      </c>
      <c r="F54" s="528" t="s">
        <v>151</v>
      </c>
      <c r="G54" s="529"/>
      <c r="H54" s="529"/>
      <c r="I54" s="529"/>
      <c r="J54" s="529"/>
      <c r="K54" s="529"/>
      <c r="L54" s="529"/>
      <c r="M54" s="530"/>
      <c r="N54" s="158" t="s">
        <v>193</v>
      </c>
      <c r="O54" s="164" t="s">
        <v>201</v>
      </c>
      <c r="P54" s="540" t="s">
        <v>115</v>
      </c>
      <c r="Q54" s="541"/>
      <c r="R54" s="540" t="s">
        <v>267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159" t="s">
        <v>239</v>
      </c>
      <c r="D55" s="159" t="s">
        <v>115</v>
      </c>
      <c r="E55" s="159" t="s">
        <v>116</v>
      </c>
      <c r="F55" s="528" t="s">
        <v>177</v>
      </c>
      <c r="G55" s="529"/>
      <c r="H55" s="529"/>
      <c r="I55" s="529"/>
      <c r="J55" s="529"/>
      <c r="K55" s="529"/>
      <c r="L55" s="529"/>
      <c r="M55" s="530"/>
      <c r="N55" s="158" t="s">
        <v>112</v>
      </c>
      <c r="O55" s="164" t="s">
        <v>147</v>
      </c>
      <c r="P55" s="540" t="s">
        <v>128</v>
      </c>
      <c r="Q55" s="541"/>
      <c r="R55" s="540" t="s">
        <v>268</v>
      </c>
      <c r="S55" s="542"/>
      <c r="T55" s="542"/>
      <c r="U55" s="541"/>
      <c r="V55" s="510" t="s">
        <v>269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193</v>
      </c>
      <c r="B56" s="527"/>
      <c r="C56" s="159" t="s">
        <v>147</v>
      </c>
      <c r="D56" s="159" t="s">
        <v>115</v>
      </c>
      <c r="E56" s="159" t="s">
        <v>259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158" t="s">
        <v>112</v>
      </c>
      <c r="O56" s="164" t="s">
        <v>194</v>
      </c>
      <c r="P56" s="540" t="s">
        <v>115</v>
      </c>
      <c r="Q56" s="541"/>
      <c r="R56" s="540" t="s">
        <v>153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121</v>
      </c>
      <c r="B57" s="527"/>
      <c r="C57" s="159" t="s">
        <v>179</v>
      </c>
      <c r="D57" s="159" t="s">
        <v>115</v>
      </c>
      <c r="E57" s="159" t="s">
        <v>263</v>
      </c>
      <c r="F57" s="528" t="s">
        <v>264</v>
      </c>
      <c r="G57" s="529"/>
      <c r="H57" s="529"/>
      <c r="I57" s="529"/>
      <c r="J57" s="529"/>
      <c r="K57" s="529"/>
      <c r="L57" s="529"/>
      <c r="M57" s="530"/>
      <c r="N57" s="158"/>
      <c r="O57" s="164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159"/>
      <c r="D58" s="159"/>
      <c r="E58" s="159"/>
      <c r="F58" s="528"/>
      <c r="G58" s="529"/>
      <c r="H58" s="529"/>
      <c r="I58" s="529"/>
      <c r="J58" s="529"/>
      <c r="K58" s="529"/>
      <c r="L58" s="529"/>
      <c r="M58" s="530"/>
      <c r="N58" s="158"/>
      <c r="O58" s="164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159"/>
      <c r="D59" s="159"/>
      <c r="E59" s="159"/>
      <c r="F59" s="528"/>
      <c r="G59" s="529"/>
      <c r="H59" s="529"/>
      <c r="I59" s="529"/>
      <c r="J59" s="529"/>
      <c r="K59" s="529"/>
      <c r="L59" s="529"/>
      <c r="M59" s="530"/>
      <c r="N59" s="158"/>
      <c r="O59" s="164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159"/>
      <c r="D60" s="159"/>
      <c r="E60" s="159"/>
      <c r="F60" s="528"/>
      <c r="G60" s="529"/>
      <c r="H60" s="529"/>
      <c r="I60" s="529"/>
      <c r="J60" s="529"/>
      <c r="K60" s="529"/>
      <c r="L60" s="529"/>
      <c r="M60" s="530"/>
      <c r="N60" s="158"/>
      <c r="O60" s="164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160"/>
      <c r="D61" s="161"/>
      <c r="E61" s="161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270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162" t="s">
        <v>2</v>
      </c>
      <c r="D63" s="162" t="s">
        <v>37</v>
      </c>
      <c r="E63" s="162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162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120</v>
      </c>
      <c r="D64" s="166"/>
      <c r="E64" s="163" t="s">
        <v>165</v>
      </c>
      <c r="F64" s="513" t="s">
        <v>271</v>
      </c>
      <c r="G64" s="514"/>
      <c r="H64" s="514"/>
      <c r="I64" s="514"/>
      <c r="J64" s="515"/>
      <c r="K64" s="497" t="s">
        <v>143</v>
      </c>
      <c r="L64" s="497"/>
      <c r="M64" s="51" t="s">
        <v>200</v>
      </c>
      <c r="N64" s="511" t="s">
        <v>137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123</v>
      </c>
      <c r="D65" s="166"/>
      <c r="E65" s="163"/>
      <c r="F65" s="513" t="s">
        <v>272</v>
      </c>
      <c r="G65" s="514"/>
      <c r="H65" s="514"/>
      <c r="I65" s="514"/>
      <c r="J65" s="515"/>
      <c r="K65" s="497" t="s">
        <v>125</v>
      </c>
      <c r="L65" s="497"/>
      <c r="M65" s="51" t="s">
        <v>248</v>
      </c>
      <c r="N65" s="511" t="s">
        <v>194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 t="s">
        <v>123</v>
      </c>
      <c r="D66" s="166"/>
      <c r="E66" s="163"/>
      <c r="F66" s="513" t="s">
        <v>273</v>
      </c>
      <c r="G66" s="514"/>
      <c r="H66" s="514"/>
      <c r="I66" s="514"/>
      <c r="J66" s="515"/>
      <c r="K66" s="497" t="s">
        <v>247</v>
      </c>
      <c r="L66" s="497"/>
      <c r="M66" s="51" t="s">
        <v>200</v>
      </c>
      <c r="N66" s="511" t="s">
        <v>180</v>
      </c>
      <c r="O66" s="511"/>
      <c r="P66" s="512">
        <v>200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 t="s">
        <v>121</v>
      </c>
      <c r="D67" s="166"/>
      <c r="E67" s="163" t="s">
        <v>115</v>
      </c>
      <c r="F67" s="513" t="s">
        <v>241</v>
      </c>
      <c r="G67" s="514"/>
      <c r="H67" s="514"/>
      <c r="I67" s="514"/>
      <c r="J67" s="515"/>
      <c r="K67" s="516" t="s">
        <v>125</v>
      </c>
      <c r="L67" s="504"/>
      <c r="M67" s="51" t="s">
        <v>200</v>
      </c>
      <c r="N67" s="511" t="s">
        <v>194</v>
      </c>
      <c r="O67" s="511"/>
      <c r="P67" s="512">
        <v>100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166"/>
      <c r="E68" s="163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166"/>
      <c r="E69" s="163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166"/>
      <c r="E70" s="163"/>
      <c r="F70" s="505"/>
      <c r="G70" s="497"/>
      <c r="H70" s="497"/>
      <c r="I70" s="497"/>
      <c r="J70" s="497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166"/>
      <c r="E71" s="163"/>
      <c r="F71" s="505"/>
      <c r="G71" s="497"/>
      <c r="H71" s="497"/>
      <c r="I71" s="497"/>
      <c r="J71" s="497"/>
      <c r="K71" s="497"/>
      <c r="L71" s="497"/>
      <c r="M71" s="51"/>
      <c r="N71" s="506"/>
      <c r="O71" s="507"/>
      <c r="P71" s="508"/>
      <c r="Q71" s="509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6.25" customHeight="1" thickBot="1">
      <c r="A72" s="477" t="s">
        <v>274</v>
      </c>
      <c r="B72" s="477"/>
      <c r="C72" s="477"/>
      <c r="D72" s="477"/>
      <c r="E72" s="47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8" t="s">
        <v>111</v>
      </c>
      <c r="B73" s="479"/>
      <c r="C73" s="165" t="s">
        <v>2</v>
      </c>
      <c r="D73" s="165" t="s">
        <v>37</v>
      </c>
      <c r="E73" s="165" t="s">
        <v>3</v>
      </c>
      <c r="F73" s="479" t="s">
        <v>38</v>
      </c>
      <c r="G73" s="479"/>
      <c r="H73" s="479"/>
      <c r="I73" s="479"/>
      <c r="J73" s="479"/>
      <c r="K73" s="499" t="s">
        <v>58</v>
      </c>
      <c r="L73" s="500"/>
      <c r="M73" s="500"/>
      <c r="N73" s="500"/>
      <c r="O73" s="500"/>
      <c r="P73" s="500"/>
      <c r="Q73" s="500"/>
      <c r="R73" s="500"/>
      <c r="S73" s="501"/>
      <c r="T73" s="479" t="s">
        <v>49</v>
      </c>
      <c r="U73" s="479"/>
      <c r="V73" s="499" t="s">
        <v>50</v>
      </c>
      <c r="W73" s="501"/>
      <c r="X73" s="500" t="s">
        <v>51</v>
      </c>
      <c r="Y73" s="500"/>
      <c r="Z73" s="500"/>
      <c r="AA73" s="500"/>
      <c r="AB73" s="500"/>
      <c r="AC73" s="500"/>
      <c r="AD73" s="502"/>
      <c r="AF73" s="50"/>
    </row>
    <row r="74" spans="1:32" ht="33.75" customHeight="1">
      <c r="A74" s="471">
        <v>1</v>
      </c>
      <c r="B74" s="472"/>
      <c r="C74" s="167" t="s">
        <v>112</v>
      </c>
      <c r="D74" s="167"/>
      <c r="E74" s="65" t="s">
        <v>117</v>
      </c>
      <c r="F74" s="486" t="s">
        <v>116</v>
      </c>
      <c r="G74" s="487"/>
      <c r="H74" s="487"/>
      <c r="I74" s="487"/>
      <c r="J74" s="488"/>
      <c r="K74" s="489" t="s">
        <v>122</v>
      </c>
      <c r="L74" s="490"/>
      <c r="M74" s="490"/>
      <c r="N74" s="490"/>
      <c r="O74" s="490"/>
      <c r="P74" s="490"/>
      <c r="Q74" s="490"/>
      <c r="R74" s="490"/>
      <c r="S74" s="491"/>
      <c r="T74" s="492">
        <v>43675</v>
      </c>
      <c r="U74" s="493"/>
      <c r="V74" s="494"/>
      <c r="W74" s="494"/>
      <c r="X74" s="495"/>
      <c r="Y74" s="495"/>
      <c r="Z74" s="495"/>
      <c r="AA74" s="495"/>
      <c r="AB74" s="495"/>
      <c r="AC74" s="495"/>
      <c r="AD74" s="496"/>
      <c r="AF74" s="50"/>
    </row>
    <row r="75" spans="1:32" ht="30" customHeight="1">
      <c r="A75" s="464">
        <f>A74+1</f>
        <v>2</v>
      </c>
      <c r="B75" s="465"/>
      <c r="C75" s="166"/>
      <c r="D75" s="166"/>
      <c r="E75" s="32"/>
      <c r="F75" s="465"/>
      <c r="G75" s="465"/>
      <c r="H75" s="465"/>
      <c r="I75" s="465"/>
      <c r="J75" s="465"/>
      <c r="K75" s="480"/>
      <c r="L75" s="481"/>
      <c r="M75" s="481"/>
      <c r="N75" s="481"/>
      <c r="O75" s="481"/>
      <c r="P75" s="481"/>
      <c r="Q75" s="481"/>
      <c r="R75" s="481"/>
      <c r="S75" s="482"/>
      <c r="T75" s="483"/>
      <c r="U75" s="483"/>
      <c r="V75" s="483"/>
      <c r="W75" s="483"/>
      <c r="X75" s="484"/>
      <c r="Y75" s="484"/>
      <c r="Z75" s="484"/>
      <c r="AA75" s="484"/>
      <c r="AB75" s="484"/>
      <c r="AC75" s="484"/>
      <c r="AD75" s="485"/>
      <c r="AF75" s="50"/>
    </row>
    <row r="76" spans="1:32" ht="30" customHeight="1">
      <c r="A76" s="464">
        <f t="shared" ref="A76:A82" si="14">A75+1</f>
        <v>3</v>
      </c>
      <c r="B76" s="465"/>
      <c r="C76" s="166"/>
      <c r="D76" s="166"/>
      <c r="E76" s="32"/>
      <c r="F76" s="465"/>
      <c r="G76" s="465"/>
      <c r="H76" s="465"/>
      <c r="I76" s="465"/>
      <c r="J76" s="465"/>
      <c r="K76" s="480"/>
      <c r="L76" s="481"/>
      <c r="M76" s="481"/>
      <c r="N76" s="481"/>
      <c r="O76" s="481"/>
      <c r="P76" s="481"/>
      <c r="Q76" s="481"/>
      <c r="R76" s="481"/>
      <c r="S76" s="482"/>
      <c r="T76" s="483"/>
      <c r="U76" s="483"/>
      <c r="V76" s="483"/>
      <c r="W76" s="483"/>
      <c r="X76" s="484"/>
      <c r="Y76" s="484"/>
      <c r="Z76" s="484"/>
      <c r="AA76" s="484"/>
      <c r="AB76" s="484"/>
      <c r="AC76" s="484"/>
      <c r="AD76" s="485"/>
      <c r="AF76" s="50"/>
    </row>
    <row r="77" spans="1:32" ht="30" customHeight="1">
      <c r="A77" s="464">
        <f t="shared" si="14"/>
        <v>4</v>
      </c>
      <c r="B77" s="465"/>
      <c r="C77" s="166"/>
      <c r="D77" s="166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si="14"/>
        <v>5</v>
      </c>
      <c r="B78" s="465"/>
      <c r="C78" s="166"/>
      <c r="D78" s="166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4"/>
        <v>6</v>
      </c>
      <c r="B79" s="465"/>
      <c r="C79" s="166"/>
      <c r="D79" s="166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4"/>
        <v>7</v>
      </c>
      <c r="B80" s="465"/>
      <c r="C80" s="166"/>
      <c r="D80" s="166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4"/>
        <v>8</v>
      </c>
      <c r="B81" s="465"/>
      <c r="C81" s="166"/>
      <c r="D81" s="166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4"/>
        <v>9</v>
      </c>
      <c r="B82" s="465"/>
      <c r="C82" s="166"/>
      <c r="D82" s="166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275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DA5D-7596-49BF-8230-51C206DCE256}">
  <dimension ref="A1:AF89"/>
  <sheetViews>
    <sheetView topLeftCell="A4" zoomScale="72" zoomScaleNormal="72" zoomScaleSheetLayoutView="70" workbookViewId="0">
      <selection activeCell="AC24" sqref="AC24:AD2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276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56" t="s">
        <v>17</v>
      </c>
      <c r="L5" s="156" t="s">
        <v>18</v>
      </c>
      <c r="M5" s="156" t="s">
        <v>19</v>
      </c>
      <c r="N5" s="1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6177</v>
      </c>
      <c r="K6" s="15">
        <f>L6+5567</f>
        <v>11744</v>
      </c>
      <c r="L6" s="15">
        <f>3189+2988</f>
        <v>6177</v>
      </c>
      <c r="M6" s="15">
        <f t="shared" ref="M6:M23" si="0">L6-N6</f>
        <v>6177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24</v>
      </c>
      <c r="Q6" s="40">
        <f t="shared" ref="Q6:Q23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1</v>
      </c>
      <c r="AD6" s="10">
        <f t="shared" ref="AD6:AD23" si="6">AC6*AB6*(1-O6)</f>
        <v>1</v>
      </c>
      <c r="AE6" s="36">
        <f t="shared" ref="AE6:AE23" si="7">$AD$24</f>
        <v>0.58796296296296302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155</v>
      </c>
      <c r="E7" s="53" t="s">
        <v>207</v>
      </c>
      <c r="F7" s="30" t="s">
        <v>143</v>
      </c>
      <c r="G7" s="12">
        <v>1</v>
      </c>
      <c r="H7" s="13">
        <v>28</v>
      </c>
      <c r="I7" s="31">
        <v>3000</v>
      </c>
      <c r="J7" s="5">
        <v>1621</v>
      </c>
      <c r="K7" s="15">
        <f>L7+3089+1621</f>
        <v>4710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0.58796296296296302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5871</v>
      </c>
      <c r="K8" s="15">
        <f>L8+1658+3024+3826+5621+5758+5746</f>
        <v>31504</v>
      </c>
      <c r="L8" s="15">
        <f>3029+2842</f>
        <v>5871</v>
      </c>
      <c r="M8" s="15">
        <f t="shared" si="0"/>
        <v>5871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0.58796296296296302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255</v>
      </c>
      <c r="F9" s="30" t="s">
        <v>256</v>
      </c>
      <c r="G9" s="33">
        <v>1</v>
      </c>
      <c r="H9" s="35">
        <v>24</v>
      </c>
      <c r="I9" s="7">
        <v>15000</v>
      </c>
      <c r="J9" s="14">
        <v>5167</v>
      </c>
      <c r="K9" s="15">
        <f>L9</f>
        <v>5167</v>
      </c>
      <c r="L9" s="15">
        <f>2833+2334</f>
        <v>5167</v>
      </c>
      <c r="M9" s="15">
        <f t="shared" si="0"/>
        <v>5167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0.58796296296296302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43000</v>
      </c>
      <c r="J10" s="5">
        <v>5534</v>
      </c>
      <c r="K10" s="15">
        <f>L10+3006+4988+687+4584</f>
        <v>18799</v>
      </c>
      <c r="L10" s="15">
        <f>3000+2534</f>
        <v>5534</v>
      </c>
      <c r="M10" s="15">
        <f t="shared" si="0"/>
        <v>5534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0.58796296296296302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4429</v>
      </c>
      <c r="K11" s="15">
        <f>L11+4668</f>
        <v>9097</v>
      </c>
      <c r="L11" s="15">
        <f>2377+2052</f>
        <v>4429</v>
      </c>
      <c r="M11" s="15">
        <f t="shared" si="0"/>
        <v>4429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>AC11*AB11*(1-O11)</f>
        <v>0.875</v>
      </c>
      <c r="AE11" s="36">
        <f t="shared" si="7"/>
        <v>0.58796296296296302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34000</v>
      </c>
      <c r="J12" s="14">
        <v>4491</v>
      </c>
      <c r="K12" s="15">
        <f>L12+2120+2858+4163+3861+4361+2294</f>
        <v>24148</v>
      </c>
      <c r="L12" s="15">
        <f>2317+2174</f>
        <v>4491</v>
      </c>
      <c r="M12" s="15">
        <f t="shared" si="0"/>
        <v>4491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9">AC12*AB12*(1-O12)</f>
        <v>1</v>
      </c>
      <c r="AE12" s="36">
        <f t="shared" si="7"/>
        <v>0.58796296296296302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126</v>
      </c>
      <c r="F13" s="30" t="s">
        <v>125</v>
      </c>
      <c r="G13" s="33">
        <v>3</v>
      </c>
      <c r="H13" s="35">
        <v>24</v>
      </c>
      <c r="I13" s="7">
        <v>850000</v>
      </c>
      <c r="J13" s="14">
        <v>15726</v>
      </c>
      <c r="K13" s="15">
        <f>L13+20676+20704+882+19912+11748+21560+18812+17048+21840+19920+21784+15116+10164+22344+20496+22064+21048+11316+20640+15348+14500+19708+20564+19264+19416+20408+20716+18988+17692+3636+18152+20008+19500+20576+20648+20164+21012+21240+19348+21776+19532+21784+7263+19344+20640+13828+2508+7941</f>
        <v>859304</v>
      </c>
      <c r="L13" s="15">
        <f>2877*3+2365*3</f>
        <v>15726</v>
      </c>
      <c r="M13" s="15">
        <f t="shared" si="0"/>
        <v>15726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>
        <v>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9"/>
        <v>0.95833333333333337</v>
      </c>
      <c r="AE13" s="36">
        <f t="shared" si="7"/>
        <v>0.58796296296296302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193</v>
      </c>
      <c r="D14" s="52" t="s">
        <v>115</v>
      </c>
      <c r="E14" s="53" t="s">
        <v>267</v>
      </c>
      <c r="F14" s="30" t="s">
        <v>277</v>
      </c>
      <c r="G14" s="33">
        <v>1</v>
      </c>
      <c r="H14" s="35">
        <v>24</v>
      </c>
      <c r="I14" s="7">
        <v>100</v>
      </c>
      <c r="J14" s="5">
        <v>112</v>
      </c>
      <c r="K14" s="15">
        <f>L14</f>
        <v>112</v>
      </c>
      <c r="L14" s="15">
        <v>112</v>
      </c>
      <c r="M14" s="15">
        <f t="shared" si="0"/>
        <v>112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9"/>
        <v>0.16666666666666666</v>
      </c>
      <c r="AE14" s="36">
        <f t="shared" si="7"/>
        <v>0.58796296296296302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193</v>
      </c>
      <c r="D15" s="52" t="s">
        <v>165</v>
      </c>
      <c r="E15" s="53" t="s">
        <v>278</v>
      </c>
      <c r="F15" s="12" t="s">
        <v>143</v>
      </c>
      <c r="G15" s="12">
        <v>1</v>
      </c>
      <c r="H15" s="13">
        <v>24</v>
      </c>
      <c r="I15" s="31">
        <v>200</v>
      </c>
      <c r="J15" s="14">
        <v>755</v>
      </c>
      <c r="K15" s="15">
        <f>L15</f>
        <v>755</v>
      </c>
      <c r="L15" s="15">
        <f>755</f>
        <v>755</v>
      </c>
      <c r="M15" s="15">
        <f t="shared" si="0"/>
        <v>755</v>
      </c>
      <c r="N15" s="15">
        <v>0</v>
      </c>
      <c r="O15" s="58">
        <f t="shared" si="1"/>
        <v>0</v>
      </c>
      <c r="P15" s="39">
        <f t="shared" si="2"/>
        <v>4</v>
      </c>
      <c r="Q15" s="40">
        <f t="shared" si="3"/>
        <v>20</v>
      </c>
      <c r="R15" s="7"/>
      <c r="S15" s="6"/>
      <c r="T15" s="16"/>
      <c r="U15" s="16"/>
      <c r="V15" s="17"/>
      <c r="W15" s="5">
        <v>20</v>
      </c>
      <c r="X15" s="16"/>
      <c r="Y15" s="16"/>
      <c r="Z15" s="16"/>
      <c r="AA15" s="18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6">
        <f t="shared" si="7"/>
        <v>0.58796296296296302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20000</v>
      </c>
      <c r="J16" s="14">
        <v>4720</v>
      </c>
      <c r="K16" s="15">
        <f>L16+1024+3034+3628+4720</f>
        <v>12406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0.58796296296296302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149</v>
      </c>
      <c r="D17" s="52" t="s">
        <v>150</v>
      </c>
      <c r="E17" s="53" t="s">
        <v>148</v>
      </c>
      <c r="F17" s="30" t="s">
        <v>157</v>
      </c>
      <c r="G17" s="33">
        <v>3</v>
      </c>
      <c r="H17" s="35">
        <v>24</v>
      </c>
      <c r="I17" s="7">
        <v>20000</v>
      </c>
      <c r="J17" s="5">
        <v>5730</v>
      </c>
      <c r="K17" s="15">
        <f>L17+9663+16134+16491+16374</f>
        <v>64392</v>
      </c>
      <c r="L17" s="15">
        <f>1910*3</f>
        <v>5730</v>
      </c>
      <c r="M17" s="15">
        <f t="shared" si="0"/>
        <v>5730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/>
      <c r="T17" s="16"/>
      <c r="U17" s="16"/>
      <c r="V17" s="17"/>
      <c r="W17" s="5">
        <v>18</v>
      </c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7"/>
        <v>0.58796296296296302</v>
      </c>
      <c r="AF17" s="84">
        <f t="shared" si="8"/>
        <v>12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196</v>
      </c>
      <c r="E18" s="53" t="s">
        <v>279</v>
      </c>
      <c r="F18" s="30" t="s">
        <v>132</v>
      </c>
      <c r="G18" s="33">
        <v>2</v>
      </c>
      <c r="H18" s="35">
        <v>24</v>
      </c>
      <c r="I18" s="7">
        <v>20000</v>
      </c>
      <c r="J18" s="5">
        <v>7038</v>
      </c>
      <c r="K18" s="15">
        <f>L18</f>
        <v>7038</v>
      </c>
      <c r="L18" s="15">
        <f>459*2+3060*2</f>
        <v>7038</v>
      </c>
      <c r="M18" s="15">
        <f t="shared" ref="M18" si="10">L18-N18</f>
        <v>7038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16</v>
      </c>
      <c r="Q18" s="40">
        <f t="shared" ref="Q18" si="13">SUM(R18:AA18)</f>
        <v>8</v>
      </c>
      <c r="R18" s="7"/>
      <c r="S18" s="6"/>
      <c r="T18" s="16">
        <v>8</v>
      </c>
      <c r="U18" s="16"/>
      <c r="V18" s="17"/>
      <c r="W18" s="5"/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0.66666666666666663</v>
      </c>
      <c r="AD18" s="10">
        <f t="shared" ref="AD18" si="16">AC18*AB18*(1-O18)</f>
        <v>0.66666666666666663</v>
      </c>
      <c r="AE18" s="36">
        <f t="shared" si="7"/>
        <v>0.58796296296296302</v>
      </c>
      <c r="AF18" s="84">
        <f t="shared" ref="AF18" si="17">A18</f>
        <v>12</v>
      </c>
    </row>
    <row r="19" spans="1:32" ht="27" customHeight="1">
      <c r="A19" s="113">
        <v>13</v>
      </c>
      <c r="B19" s="11" t="s">
        <v>57</v>
      </c>
      <c r="C19" s="34" t="s">
        <v>112</v>
      </c>
      <c r="D19" s="52" t="s">
        <v>128</v>
      </c>
      <c r="E19" s="53" t="s">
        <v>268</v>
      </c>
      <c r="F19" s="30" t="s">
        <v>146</v>
      </c>
      <c r="G19" s="12">
        <v>1</v>
      </c>
      <c r="H19" s="13">
        <v>28</v>
      </c>
      <c r="I19" s="31">
        <v>30000</v>
      </c>
      <c r="J19" s="5">
        <v>3274</v>
      </c>
      <c r="K19" s="15">
        <f>L19</f>
        <v>3274</v>
      </c>
      <c r="L19" s="15">
        <f>3274</f>
        <v>3274</v>
      </c>
      <c r="M19" s="15">
        <f t="shared" si="0"/>
        <v>3274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7"/>
        <v>0.58796296296296302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146</v>
      </c>
      <c r="G20" s="33">
        <v>1</v>
      </c>
      <c r="H20" s="35">
        <v>24</v>
      </c>
      <c r="I20" s="7">
        <v>500</v>
      </c>
      <c r="J20" s="5">
        <v>515</v>
      </c>
      <c r="K20" s="15">
        <f>L20</f>
        <v>515</v>
      </c>
      <c r="L20" s="15">
        <v>515</v>
      </c>
      <c r="M20" s="15">
        <f t="shared" si="0"/>
        <v>515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/>
      <c r="T20" s="16"/>
      <c r="U20" s="16"/>
      <c r="V20" s="17"/>
      <c r="W20" s="5">
        <v>18</v>
      </c>
      <c r="X20" s="16"/>
      <c r="Y20" s="16"/>
      <c r="Z20" s="16"/>
      <c r="AA20" s="18"/>
      <c r="AB20" s="8">
        <f t="shared" si="4"/>
        <v>1</v>
      </c>
      <c r="AC20" s="9">
        <f t="shared" si="5"/>
        <v>0.25</v>
      </c>
      <c r="AD20" s="10">
        <f>AC20*AB20*(1-O20)</f>
        <v>0.25</v>
      </c>
      <c r="AE20" s="36">
        <f t="shared" si="7"/>
        <v>0.58796296296296302</v>
      </c>
      <c r="AF20" s="84">
        <f t="shared" si="8"/>
        <v>14</v>
      </c>
    </row>
    <row r="21" spans="1:32" ht="27" customHeight="1">
      <c r="A21" s="96">
        <v>14</v>
      </c>
      <c r="B21" s="11" t="s">
        <v>57</v>
      </c>
      <c r="C21" s="34" t="s">
        <v>121</v>
      </c>
      <c r="D21" s="52" t="s">
        <v>128</v>
      </c>
      <c r="E21" s="53" t="s">
        <v>226</v>
      </c>
      <c r="F21" s="30" t="s">
        <v>124</v>
      </c>
      <c r="G21" s="33">
        <v>1</v>
      </c>
      <c r="H21" s="35">
        <v>24</v>
      </c>
      <c r="I21" s="7">
        <v>20000</v>
      </c>
      <c r="J21" s="5">
        <v>7102</v>
      </c>
      <c r="K21" s="15">
        <f>L21</f>
        <v>7102</v>
      </c>
      <c r="L21" s="15">
        <f>527*2+3024*2</f>
        <v>7102</v>
      </c>
      <c r="M21" s="15">
        <f t="shared" ref="M21" si="18">L21-N21</f>
        <v>7102</v>
      </c>
      <c r="N21" s="15">
        <v>0</v>
      </c>
      <c r="O21" s="58">
        <f t="shared" ref="O21" si="19">IF(L21=0,"0",N21/L21)</f>
        <v>0</v>
      </c>
      <c r="P21" s="39">
        <f t="shared" ref="P21" si="20">IF(L21=0,"0",(24-Q21))</f>
        <v>16</v>
      </c>
      <c r="Q21" s="40">
        <f t="shared" ref="Q21" si="21">SUM(R21:AA21)</f>
        <v>8</v>
      </c>
      <c r="R21" s="7"/>
      <c r="S21" s="6"/>
      <c r="T21" s="16">
        <v>8</v>
      </c>
      <c r="U21" s="16"/>
      <c r="V21" s="17"/>
      <c r="W21" s="5"/>
      <c r="X21" s="16"/>
      <c r="Y21" s="16"/>
      <c r="Z21" s="16"/>
      <c r="AA21" s="18"/>
      <c r="AB21" s="8">
        <f t="shared" ref="AB21" si="22">IF(J21=0,"0",(L21/J21))</f>
        <v>1</v>
      </c>
      <c r="AC21" s="9">
        <f t="shared" ref="AC21" si="23">IF(P21=0,"0",(P21/24))</f>
        <v>0.66666666666666663</v>
      </c>
      <c r="AD21" s="10">
        <f>AC21*AB21*(1-O21)</f>
        <v>0.66666666666666663</v>
      </c>
      <c r="AE21" s="36">
        <f t="shared" si="7"/>
        <v>0.58796296296296302</v>
      </c>
      <c r="AF21" s="84">
        <f t="shared" ref="AF21" si="24">A21</f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224</v>
      </c>
      <c r="F22" s="30" t="s">
        <v>119</v>
      </c>
      <c r="G22" s="33">
        <v>1</v>
      </c>
      <c r="H22" s="35">
        <v>24</v>
      </c>
      <c r="I22" s="7">
        <v>64000</v>
      </c>
      <c r="J22" s="14">
        <v>5278</v>
      </c>
      <c r="K22" s="15">
        <f>L22+4204+5394</f>
        <v>14876</v>
      </c>
      <c r="L22" s="15">
        <f>2651+2627</f>
        <v>5278</v>
      </c>
      <c r="M22" s="15">
        <f t="shared" si="0"/>
        <v>5278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ref="AD22" si="25">AC22*AB22*(1-O22)</f>
        <v>1</v>
      </c>
      <c r="AE22" s="36">
        <f t="shared" si="7"/>
        <v>0.58796296296296302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152</v>
      </c>
      <c r="F23" s="12" t="s">
        <v>114</v>
      </c>
      <c r="G23" s="12">
        <v>4</v>
      </c>
      <c r="H23" s="35">
        <v>20</v>
      </c>
      <c r="I23" s="7">
        <v>500000</v>
      </c>
      <c r="J23" s="14">
        <v>30748</v>
      </c>
      <c r="K23" s="15">
        <f>L23+46004+81588+47056+35856+81716+45768+30748</f>
        <v>368736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0.58796296296296302</v>
      </c>
      <c r="AF23" s="84">
        <f t="shared" si="8"/>
        <v>16</v>
      </c>
    </row>
    <row r="24" spans="1:32" ht="31.5" customHeight="1" thickBot="1">
      <c r="A24" s="545" t="s">
        <v>34</v>
      </c>
      <c r="B24" s="546"/>
      <c r="C24" s="546"/>
      <c r="D24" s="546"/>
      <c r="E24" s="546"/>
      <c r="F24" s="546"/>
      <c r="G24" s="546"/>
      <c r="H24" s="547"/>
      <c r="I24" s="22">
        <f t="shared" ref="I24:N24" si="26">SUM(I6:I23)</f>
        <v>1797800</v>
      </c>
      <c r="J24" s="19">
        <f t="shared" si="26"/>
        <v>114288</v>
      </c>
      <c r="K24" s="20">
        <f t="shared" si="26"/>
        <v>1443679</v>
      </c>
      <c r="L24" s="21">
        <f t="shared" si="26"/>
        <v>77199</v>
      </c>
      <c r="M24" s="20">
        <f t="shared" si="26"/>
        <v>77199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254</v>
      </c>
      <c r="Q24" s="43">
        <f t="shared" si="27"/>
        <v>178</v>
      </c>
      <c r="R24" s="23">
        <f t="shared" si="27"/>
        <v>0</v>
      </c>
      <c r="S24" s="24">
        <f t="shared" si="27"/>
        <v>38</v>
      </c>
      <c r="T24" s="24">
        <f t="shared" si="27"/>
        <v>16</v>
      </c>
      <c r="U24" s="24">
        <f t="shared" si="27"/>
        <v>0</v>
      </c>
      <c r="V24" s="25">
        <f t="shared" si="27"/>
        <v>24</v>
      </c>
      <c r="W24" s="26">
        <f t="shared" si="27"/>
        <v>76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24</v>
      </c>
      <c r="AB24" s="28">
        <f>AVERAGE(AB6:AB23)</f>
        <v>0.83333333333333337</v>
      </c>
      <c r="AC24" s="28">
        <f t="shared" ref="AC24:AD24" si="28">AVERAGE(AC6:AC23)</f>
        <v>0.58796296296296302</v>
      </c>
      <c r="AD24" s="28">
        <f t="shared" si="28"/>
        <v>0.58796296296296302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48" t="s">
        <v>45</v>
      </c>
      <c r="B51" s="548"/>
      <c r="C51" s="548"/>
      <c r="D51" s="548"/>
      <c r="E51" s="5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49" t="s">
        <v>280</v>
      </c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1"/>
      <c r="N52" s="552" t="s">
        <v>293</v>
      </c>
      <c r="O52" s="553"/>
      <c r="P52" s="553"/>
      <c r="Q52" s="553"/>
      <c r="R52" s="553"/>
      <c r="S52" s="553"/>
      <c r="T52" s="553"/>
      <c r="U52" s="553"/>
      <c r="V52" s="553"/>
      <c r="W52" s="553"/>
      <c r="X52" s="553"/>
      <c r="Y52" s="553"/>
      <c r="Z52" s="553"/>
      <c r="AA52" s="553"/>
      <c r="AB52" s="553"/>
      <c r="AC52" s="553"/>
      <c r="AD52" s="554"/>
    </row>
    <row r="53" spans="1:32" ht="27" customHeight="1">
      <c r="A53" s="555" t="s">
        <v>2</v>
      </c>
      <c r="B53" s="556"/>
      <c r="C53" s="157" t="s">
        <v>46</v>
      </c>
      <c r="D53" s="157" t="s">
        <v>47</v>
      </c>
      <c r="E53" s="157" t="s">
        <v>107</v>
      </c>
      <c r="F53" s="557" t="s">
        <v>106</v>
      </c>
      <c r="G53" s="558"/>
      <c r="H53" s="558"/>
      <c r="I53" s="558"/>
      <c r="J53" s="558"/>
      <c r="K53" s="558"/>
      <c r="L53" s="558"/>
      <c r="M53" s="559"/>
      <c r="N53" s="67" t="s">
        <v>110</v>
      </c>
      <c r="O53" s="157" t="s">
        <v>46</v>
      </c>
      <c r="P53" s="557" t="s">
        <v>47</v>
      </c>
      <c r="Q53" s="560"/>
      <c r="R53" s="557" t="s">
        <v>38</v>
      </c>
      <c r="S53" s="558"/>
      <c r="T53" s="558"/>
      <c r="U53" s="560"/>
      <c r="V53" s="557" t="s">
        <v>48</v>
      </c>
      <c r="W53" s="558"/>
      <c r="X53" s="558"/>
      <c r="Y53" s="558"/>
      <c r="Z53" s="558"/>
      <c r="AA53" s="558"/>
      <c r="AB53" s="558"/>
      <c r="AC53" s="558"/>
      <c r="AD53" s="559"/>
    </row>
    <row r="54" spans="1:32" ht="27" customHeight="1">
      <c r="A54" s="526" t="s">
        <v>120</v>
      </c>
      <c r="B54" s="527"/>
      <c r="C54" s="159" t="s">
        <v>142</v>
      </c>
      <c r="D54" s="159" t="s">
        <v>196</v>
      </c>
      <c r="E54" s="159" t="s">
        <v>255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158" t="s">
        <v>120</v>
      </c>
      <c r="O54" s="164" t="s">
        <v>137</v>
      </c>
      <c r="P54" s="540" t="s">
        <v>165</v>
      </c>
      <c r="Q54" s="541"/>
      <c r="R54" s="540" t="s">
        <v>271</v>
      </c>
      <c r="S54" s="542"/>
      <c r="T54" s="542"/>
      <c r="U54" s="541"/>
      <c r="V54" s="510" t="s">
        <v>294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159" t="s">
        <v>261</v>
      </c>
      <c r="D55" s="159" t="s">
        <v>257</v>
      </c>
      <c r="E55" s="159" t="s">
        <v>262</v>
      </c>
      <c r="F55" s="528" t="s">
        <v>281</v>
      </c>
      <c r="G55" s="529"/>
      <c r="H55" s="529"/>
      <c r="I55" s="529"/>
      <c r="J55" s="529"/>
      <c r="K55" s="529"/>
      <c r="L55" s="529"/>
      <c r="M55" s="530"/>
      <c r="N55" s="158" t="s">
        <v>297</v>
      </c>
      <c r="O55" s="164" t="s">
        <v>298</v>
      </c>
      <c r="P55" s="540" t="s">
        <v>299</v>
      </c>
      <c r="Q55" s="541"/>
      <c r="R55" s="540" t="s">
        <v>295</v>
      </c>
      <c r="S55" s="542"/>
      <c r="T55" s="542"/>
      <c r="U55" s="541"/>
      <c r="V55" s="510" t="s">
        <v>296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121</v>
      </c>
      <c r="B56" s="527"/>
      <c r="C56" s="168" t="s">
        <v>179</v>
      </c>
      <c r="D56" s="168" t="s">
        <v>115</v>
      </c>
      <c r="E56" s="168" t="s">
        <v>263</v>
      </c>
      <c r="F56" s="528" t="s">
        <v>282</v>
      </c>
      <c r="G56" s="529"/>
      <c r="H56" s="529"/>
      <c r="I56" s="529"/>
      <c r="J56" s="529"/>
      <c r="K56" s="529"/>
      <c r="L56" s="529"/>
      <c r="M56" s="530"/>
      <c r="N56" s="158"/>
      <c r="O56" s="164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283</v>
      </c>
      <c r="B57" s="527"/>
      <c r="C57" s="159" t="s">
        <v>284</v>
      </c>
      <c r="D57" s="159" t="s">
        <v>115</v>
      </c>
      <c r="E57" s="159" t="s">
        <v>285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158"/>
      <c r="O57" s="164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193</v>
      </c>
      <c r="B58" s="527"/>
      <c r="C58" s="159" t="s">
        <v>180</v>
      </c>
      <c r="D58" s="159" t="s">
        <v>165</v>
      </c>
      <c r="E58" s="159" t="s">
        <v>278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158"/>
      <c r="O58" s="164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121</v>
      </c>
      <c r="B59" s="527"/>
      <c r="C59" s="159" t="s">
        <v>141</v>
      </c>
      <c r="D59" s="159" t="s">
        <v>196</v>
      </c>
      <c r="E59" s="159" t="s">
        <v>286</v>
      </c>
      <c r="F59" s="528" t="s">
        <v>118</v>
      </c>
      <c r="G59" s="529"/>
      <c r="H59" s="529"/>
      <c r="I59" s="529"/>
      <c r="J59" s="529"/>
      <c r="K59" s="529"/>
      <c r="L59" s="529"/>
      <c r="M59" s="530"/>
      <c r="N59" s="158"/>
      <c r="O59" s="164"/>
      <c r="P59" s="540"/>
      <c r="Q59" s="541"/>
      <c r="R59" s="540"/>
      <c r="S59" s="542"/>
      <c r="T59" s="542"/>
      <c r="U59" s="541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 t="s">
        <v>112</v>
      </c>
      <c r="B60" s="527"/>
      <c r="C60" s="159" t="s">
        <v>287</v>
      </c>
      <c r="D60" s="159" t="s">
        <v>288</v>
      </c>
      <c r="E60" s="159" t="s">
        <v>289</v>
      </c>
      <c r="F60" s="528" t="s">
        <v>118</v>
      </c>
      <c r="G60" s="529"/>
      <c r="H60" s="529"/>
      <c r="I60" s="529"/>
      <c r="J60" s="529"/>
      <c r="K60" s="529"/>
      <c r="L60" s="529"/>
      <c r="M60" s="530"/>
      <c r="N60" s="158"/>
      <c r="O60" s="164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 t="s">
        <v>112</v>
      </c>
      <c r="B61" s="527"/>
      <c r="C61" s="159" t="s">
        <v>290</v>
      </c>
      <c r="D61" s="159" t="s">
        <v>115</v>
      </c>
      <c r="E61" s="159" t="s">
        <v>291</v>
      </c>
      <c r="F61" s="528" t="s">
        <v>118</v>
      </c>
      <c r="G61" s="529"/>
      <c r="H61" s="529"/>
      <c r="I61" s="529"/>
      <c r="J61" s="529"/>
      <c r="K61" s="529"/>
      <c r="L61" s="529"/>
      <c r="M61" s="530"/>
      <c r="N61" s="158"/>
      <c r="O61" s="164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 t="s">
        <v>121</v>
      </c>
      <c r="B62" s="527"/>
      <c r="C62" s="159" t="s">
        <v>290</v>
      </c>
      <c r="D62" s="159" t="s">
        <v>288</v>
      </c>
      <c r="E62" s="159" t="s">
        <v>292</v>
      </c>
      <c r="F62" s="528" t="s">
        <v>118</v>
      </c>
      <c r="G62" s="529"/>
      <c r="H62" s="529"/>
      <c r="I62" s="529"/>
      <c r="J62" s="529"/>
      <c r="K62" s="529"/>
      <c r="L62" s="529"/>
      <c r="M62" s="530"/>
      <c r="N62" s="158"/>
      <c r="O62" s="164"/>
      <c r="P62" s="527"/>
      <c r="Q62" s="527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  <c r="AF62" s="84">
        <f>8*3000</f>
        <v>24000</v>
      </c>
    </row>
    <row r="63" spans="1:32" ht="27" customHeight="1" thickBot="1">
      <c r="A63" s="532"/>
      <c r="B63" s="533"/>
      <c r="C63" s="160"/>
      <c r="D63" s="161"/>
      <c r="E63" s="161"/>
      <c r="F63" s="534"/>
      <c r="G63" s="535"/>
      <c r="H63" s="535"/>
      <c r="I63" s="535"/>
      <c r="J63" s="535"/>
      <c r="K63" s="535"/>
      <c r="L63" s="535"/>
      <c r="M63" s="536"/>
      <c r="N63" s="112"/>
      <c r="O63" s="103"/>
      <c r="P63" s="537"/>
      <c r="Q63" s="537"/>
      <c r="R63" s="537"/>
      <c r="S63" s="537"/>
      <c r="T63" s="537"/>
      <c r="U63" s="537"/>
      <c r="V63" s="538"/>
      <c r="W63" s="538"/>
      <c r="X63" s="538"/>
      <c r="Y63" s="538"/>
      <c r="Z63" s="538"/>
      <c r="AA63" s="538"/>
      <c r="AB63" s="538"/>
      <c r="AC63" s="538"/>
      <c r="AD63" s="539"/>
      <c r="AF63" s="84">
        <f>16*3000</f>
        <v>48000</v>
      </c>
    </row>
    <row r="64" spans="1:32" ht="27.75" thickBot="1">
      <c r="A64" s="524" t="s">
        <v>300</v>
      </c>
      <c r="B64" s="524"/>
      <c r="C64" s="524"/>
      <c r="D64" s="524"/>
      <c r="E64" s="52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25" t="s">
        <v>111</v>
      </c>
      <c r="B65" s="520"/>
      <c r="C65" s="162" t="s">
        <v>2</v>
      </c>
      <c r="D65" s="162" t="s">
        <v>37</v>
      </c>
      <c r="E65" s="162" t="s">
        <v>3</v>
      </c>
      <c r="F65" s="520" t="s">
        <v>109</v>
      </c>
      <c r="G65" s="520"/>
      <c r="H65" s="520"/>
      <c r="I65" s="520"/>
      <c r="J65" s="520"/>
      <c r="K65" s="520" t="s">
        <v>39</v>
      </c>
      <c r="L65" s="520"/>
      <c r="M65" s="162" t="s">
        <v>40</v>
      </c>
      <c r="N65" s="520" t="s">
        <v>41</v>
      </c>
      <c r="O65" s="520"/>
      <c r="P65" s="517" t="s">
        <v>42</v>
      </c>
      <c r="Q65" s="519"/>
      <c r="R65" s="517" t="s">
        <v>43</v>
      </c>
      <c r="S65" s="518"/>
      <c r="T65" s="518"/>
      <c r="U65" s="518"/>
      <c r="V65" s="518"/>
      <c r="W65" s="518"/>
      <c r="X65" s="518"/>
      <c r="Y65" s="518"/>
      <c r="Z65" s="518"/>
      <c r="AA65" s="519"/>
      <c r="AB65" s="520" t="s">
        <v>44</v>
      </c>
      <c r="AC65" s="520"/>
      <c r="AD65" s="521"/>
      <c r="AF65" s="84">
        <f>SUM(AF62:AF64)</f>
        <v>96000</v>
      </c>
    </row>
    <row r="66" spans="1:32" ht="25.5" customHeight="1">
      <c r="A66" s="503">
        <v>1</v>
      </c>
      <c r="B66" s="504"/>
      <c r="C66" s="105" t="s">
        <v>112</v>
      </c>
      <c r="D66" s="166"/>
      <c r="E66" s="163" t="s">
        <v>128</v>
      </c>
      <c r="F66" s="513" t="s">
        <v>268</v>
      </c>
      <c r="G66" s="514"/>
      <c r="H66" s="514"/>
      <c r="I66" s="514"/>
      <c r="J66" s="515"/>
      <c r="K66" s="497" t="s">
        <v>146</v>
      </c>
      <c r="L66" s="497"/>
      <c r="M66" s="51" t="s">
        <v>200</v>
      </c>
      <c r="N66" s="511" t="s">
        <v>147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516"/>
      <c r="AC66" s="522"/>
      <c r="AD66" s="523"/>
      <c r="AF66" s="50"/>
    </row>
    <row r="67" spans="1:32" ht="25.5" customHeight="1">
      <c r="A67" s="503">
        <v>2</v>
      </c>
      <c r="B67" s="504"/>
      <c r="C67" s="105"/>
      <c r="D67" s="166"/>
      <c r="E67" s="163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3</v>
      </c>
      <c r="B68" s="504"/>
      <c r="C68" s="105"/>
      <c r="D68" s="166"/>
      <c r="E68" s="163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4</v>
      </c>
      <c r="B69" s="504"/>
      <c r="C69" s="105"/>
      <c r="D69" s="166"/>
      <c r="E69" s="163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5</v>
      </c>
      <c r="B70" s="504"/>
      <c r="C70" s="105"/>
      <c r="D70" s="166"/>
      <c r="E70" s="163"/>
      <c r="F70" s="513"/>
      <c r="G70" s="514"/>
      <c r="H70" s="514"/>
      <c r="I70" s="514"/>
      <c r="J70" s="515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6</v>
      </c>
      <c r="B71" s="504"/>
      <c r="C71" s="105"/>
      <c r="D71" s="166"/>
      <c r="E71" s="163"/>
      <c r="F71" s="513"/>
      <c r="G71" s="514"/>
      <c r="H71" s="514"/>
      <c r="I71" s="514"/>
      <c r="J71" s="515"/>
      <c r="K71" s="516"/>
      <c r="L71" s="504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7</v>
      </c>
      <c r="B72" s="504"/>
      <c r="C72" s="105"/>
      <c r="D72" s="166"/>
      <c r="E72" s="163"/>
      <c r="F72" s="505"/>
      <c r="G72" s="497"/>
      <c r="H72" s="497"/>
      <c r="I72" s="497"/>
      <c r="J72" s="497"/>
      <c r="K72" s="516"/>
      <c r="L72" s="504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8</v>
      </c>
      <c r="B73" s="504"/>
      <c r="C73" s="105"/>
      <c r="D73" s="166"/>
      <c r="E73" s="163"/>
      <c r="F73" s="505"/>
      <c r="G73" s="497"/>
      <c r="H73" s="497"/>
      <c r="I73" s="497"/>
      <c r="J73" s="497"/>
      <c r="K73" s="497"/>
      <c r="L73" s="497"/>
      <c r="M73" s="51"/>
      <c r="N73" s="506"/>
      <c r="O73" s="507"/>
      <c r="P73" s="508"/>
      <c r="Q73" s="509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301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165" t="s">
        <v>2</v>
      </c>
      <c r="D75" s="165" t="s">
        <v>37</v>
      </c>
      <c r="E75" s="165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167" t="s">
        <v>112</v>
      </c>
      <c r="D76" s="167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166"/>
      <c r="D77" s="166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4" si="29">A77+1</f>
        <v>3</v>
      </c>
      <c r="B78" s="465"/>
      <c r="C78" s="166"/>
      <c r="D78" s="166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29"/>
        <v>4</v>
      </c>
      <c r="B79" s="465"/>
      <c r="C79" s="166"/>
      <c r="D79" s="166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29"/>
        <v>5</v>
      </c>
      <c r="B80" s="465"/>
      <c r="C80" s="166"/>
      <c r="D80" s="166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9"/>
        <v>6</v>
      </c>
      <c r="B81" s="465"/>
      <c r="C81" s="166"/>
      <c r="D81" s="166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9"/>
        <v>7</v>
      </c>
      <c r="B82" s="465"/>
      <c r="C82" s="166"/>
      <c r="D82" s="166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9"/>
        <v>8</v>
      </c>
      <c r="B83" s="465"/>
      <c r="C83" s="166"/>
      <c r="D83" s="166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29"/>
        <v>9</v>
      </c>
      <c r="B84" s="465"/>
      <c r="C84" s="166"/>
      <c r="D84" s="166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7" t="s">
        <v>302</v>
      </c>
      <c r="B85" s="477"/>
      <c r="C85" s="477"/>
      <c r="D85" s="477"/>
      <c r="E85" s="47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8" t="s">
        <v>111</v>
      </c>
      <c r="B86" s="479"/>
      <c r="C86" s="469" t="s">
        <v>52</v>
      </c>
      <c r="D86" s="469"/>
      <c r="E86" s="469" t="s">
        <v>53</v>
      </c>
      <c r="F86" s="469"/>
      <c r="G86" s="469"/>
      <c r="H86" s="469"/>
      <c r="I86" s="469"/>
      <c r="J86" s="469"/>
      <c r="K86" s="469" t="s">
        <v>54</v>
      </c>
      <c r="L86" s="469"/>
      <c r="M86" s="469"/>
      <c r="N86" s="469"/>
      <c r="O86" s="469"/>
      <c r="P86" s="469"/>
      <c r="Q86" s="469"/>
      <c r="R86" s="469"/>
      <c r="S86" s="469"/>
      <c r="T86" s="469" t="s">
        <v>55</v>
      </c>
      <c r="U86" s="469"/>
      <c r="V86" s="469" t="s">
        <v>56</v>
      </c>
      <c r="W86" s="469"/>
      <c r="X86" s="469"/>
      <c r="Y86" s="469" t="s">
        <v>51</v>
      </c>
      <c r="Z86" s="469"/>
      <c r="AA86" s="469"/>
      <c r="AB86" s="469"/>
      <c r="AC86" s="469"/>
      <c r="AD86" s="470"/>
      <c r="AF86" s="50"/>
    </row>
    <row r="87" spans="1:32" ht="30.75" customHeight="1">
      <c r="A87" s="471">
        <v>1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4"/>
      <c r="W87" s="474"/>
      <c r="X87" s="474"/>
      <c r="Y87" s="475"/>
      <c r="Z87" s="475"/>
      <c r="AA87" s="475"/>
      <c r="AB87" s="475"/>
      <c r="AC87" s="475"/>
      <c r="AD87" s="476"/>
      <c r="AF87" s="50"/>
    </row>
    <row r="88" spans="1:32" ht="30.75" customHeight="1">
      <c r="A88" s="464">
        <v>2</v>
      </c>
      <c r="B88" s="465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7"/>
      <c r="U88" s="467"/>
      <c r="V88" s="468"/>
      <c r="W88" s="468"/>
      <c r="X88" s="468"/>
      <c r="Y88" s="457"/>
      <c r="Z88" s="457"/>
      <c r="AA88" s="457"/>
      <c r="AB88" s="457"/>
      <c r="AC88" s="457"/>
      <c r="AD88" s="458"/>
      <c r="AF88" s="50"/>
    </row>
    <row r="89" spans="1:32" ht="30.75" customHeight="1" thickBot="1">
      <c r="A89" s="459">
        <v>3</v>
      </c>
      <c r="B89" s="460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  <c r="Y89" s="462"/>
      <c r="Z89" s="462"/>
      <c r="AA89" s="462"/>
      <c r="AB89" s="462"/>
      <c r="AC89" s="462"/>
      <c r="AD89" s="463"/>
      <c r="AF89" s="50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2C88-BC48-47B7-B0AF-29695679D0B8}">
  <dimension ref="A1:AF87"/>
  <sheetViews>
    <sheetView topLeftCell="A7" zoomScale="72" zoomScaleNormal="72" zoomScaleSheetLayoutView="70" workbookViewId="0">
      <selection activeCell="AC22" sqref="AC22:AD2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303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5956</v>
      </c>
      <c r="K6" s="15">
        <f>L6+5567+6177</f>
        <v>17700</v>
      </c>
      <c r="L6" s="15">
        <f>2761+3195</f>
        <v>5956</v>
      </c>
      <c r="M6" s="15">
        <f t="shared" ref="M6:M21" si="0">L6-N6</f>
        <v>5956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0.63541666666666674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155</v>
      </c>
      <c r="E7" s="53" t="s">
        <v>207</v>
      </c>
      <c r="F7" s="30" t="s">
        <v>143</v>
      </c>
      <c r="G7" s="12">
        <v>1</v>
      </c>
      <c r="H7" s="13">
        <v>28</v>
      </c>
      <c r="I7" s="31">
        <v>3000</v>
      </c>
      <c r="J7" s="5">
        <v>1621</v>
      </c>
      <c r="K7" s="15">
        <f>L7+3089+1621</f>
        <v>4710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0.63541666666666674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5666</v>
      </c>
      <c r="K8" s="15">
        <f>L8+1658+3024+3826+5621+5758+5746+5871</f>
        <v>37170</v>
      </c>
      <c r="L8" s="15">
        <f>3036+2630</f>
        <v>5666</v>
      </c>
      <c r="M8" s="15">
        <f t="shared" si="0"/>
        <v>5666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0.63541666666666674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255</v>
      </c>
      <c r="F9" s="30" t="s">
        <v>256</v>
      </c>
      <c r="G9" s="33">
        <v>1</v>
      </c>
      <c r="H9" s="35">
        <v>24</v>
      </c>
      <c r="I9" s="7">
        <v>15000</v>
      </c>
      <c r="J9" s="14">
        <v>5301</v>
      </c>
      <c r="K9" s="15">
        <f>L9+5167</f>
        <v>10468</v>
      </c>
      <c r="L9" s="15">
        <f>2834+2467</f>
        <v>5301</v>
      </c>
      <c r="M9" s="15">
        <f t="shared" si="0"/>
        <v>5301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0.63541666666666674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5337</v>
      </c>
      <c r="K10" s="15">
        <f>L10+3006+4988+687+4584+5534</f>
        <v>24136</v>
      </c>
      <c r="L10" s="15">
        <f>2861+2476</f>
        <v>5337</v>
      </c>
      <c r="M10" s="15">
        <f t="shared" si="0"/>
        <v>5337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0.63541666666666674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5671</v>
      </c>
      <c r="K11" s="15">
        <f>L11+4668+4429</f>
        <v>14768</v>
      </c>
      <c r="L11" s="15">
        <f>3003+2668</f>
        <v>5671</v>
      </c>
      <c r="M11" s="15">
        <f t="shared" si="0"/>
        <v>5671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0.63541666666666674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45000</v>
      </c>
      <c r="J12" s="14">
        <v>3957</v>
      </c>
      <c r="K12" s="15">
        <f>L12+2120+2858+4163+3861+4361+2294+4491</f>
        <v>28105</v>
      </c>
      <c r="L12" s="15">
        <f>2331+1626</f>
        <v>3957</v>
      </c>
      <c r="M12" s="15">
        <f t="shared" si="0"/>
        <v>3957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ref="AD12:AD14" si="9">AC12*AB12*(1-O12)</f>
        <v>0.91666666666666663</v>
      </c>
      <c r="AE12" s="36">
        <f t="shared" si="7"/>
        <v>0.63541666666666674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126</v>
      </c>
      <c r="F13" s="30" t="s">
        <v>125</v>
      </c>
      <c r="G13" s="33">
        <v>3</v>
      </c>
      <c r="H13" s="35">
        <v>24</v>
      </c>
      <c r="I13" s="7">
        <v>850000</v>
      </c>
      <c r="J13" s="14">
        <v>14871</v>
      </c>
      <c r="K13" s="15">
        <f>L13+20676+20704+882+19912+11748+21560+18812+17048+21840+19920+21784+15116+10164+22344+20496+22064+21048+11316+20640+15348+14500+19708+20564+19264+19416+20408+20716+18988+17692+3636+18152+20008+19500+20576+20648+20164+21012+21240+19348+21776+19532+21784+7263+19344+20640+13828+2508+7941+15726</f>
        <v>874175</v>
      </c>
      <c r="L13" s="15">
        <f>2218*3+2739*3</f>
        <v>14871</v>
      </c>
      <c r="M13" s="15">
        <f t="shared" si="0"/>
        <v>14871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>
        <v>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9"/>
        <v>0.95833333333333337</v>
      </c>
      <c r="AE13" s="36">
        <f t="shared" si="7"/>
        <v>0.63541666666666674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193</v>
      </c>
      <c r="D14" s="52" t="s">
        <v>115</v>
      </c>
      <c r="E14" s="53" t="s">
        <v>267</v>
      </c>
      <c r="F14" s="30" t="s">
        <v>277</v>
      </c>
      <c r="G14" s="33">
        <v>1</v>
      </c>
      <c r="H14" s="35">
        <v>24</v>
      </c>
      <c r="I14" s="7">
        <v>100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0.63541666666666674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193</v>
      </c>
      <c r="D15" s="52" t="s">
        <v>165</v>
      </c>
      <c r="E15" s="53" t="s">
        <v>278</v>
      </c>
      <c r="F15" s="12" t="s">
        <v>143</v>
      </c>
      <c r="G15" s="12">
        <v>1</v>
      </c>
      <c r="H15" s="13">
        <v>24</v>
      </c>
      <c r="I15" s="31">
        <v>200</v>
      </c>
      <c r="J15" s="14">
        <v>755</v>
      </c>
      <c r="K15" s="15">
        <f>L15+755</f>
        <v>755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0.63541666666666674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4720</v>
      </c>
      <c r="K16" s="15">
        <f>L16+1024+3034+3628+4720</f>
        <v>12406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0.63541666666666674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196</v>
      </c>
      <c r="E17" s="53" t="s">
        <v>279</v>
      </c>
      <c r="F17" s="30" t="s">
        <v>132</v>
      </c>
      <c r="G17" s="33">
        <v>2</v>
      </c>
      <c r="H17" s="35">
        <v>24</v>
      </c>
      <c r="I17" s="7">
        <v>20000</v>
      </c>
      <c r="J17" s="5">
        <v>11438</v>
      </c>
      <c r="K17" s="15">
        <f>L17+7038</f>
        <v>18476</v>
      </c>
      <c r="L17" s="15">
        <f>2649*2+3070*2</f>
        <v>11438</v>
      </c>
      <c r="M17" s="15">
        <f t="shared" si="0"/>
        <v>11438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0.63541666666666674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112</v>
      </c>
      <c r="D18" s="52" t="s">
        <v>128</v>
      </c>
      <c r="E18" s="53" t="s">
        <v>268</v>
      </c>
      <c r="F18" s="30" t="s">
        <v>146</v>
      </c>
      <c r="G18" s="12">
        <v>1</v>
      </c>
      <c r="H18" s="13">
        <v>28</v>
      </c>
      <c r="I18" s="31">
        <v>30000</v>
      </c>
      <c r="J18" s="5">
        <v>5285</v>
      </c>
      <c r="K18" s="15">
        <f>L18+3274</f>
        <v>8559</v>
      </c>
      <c r="L18" s="15">
        <f>2762+2523</f>
        <v>5285</v>
      </c>
      <c r="M18" s="15">
        <f t="shared" si="0"/>
        <v>5285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>
        <v>1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0.63541666666666674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128</v>
      </c>
      <c r="E19" s="53" t="s">
        <v>226</v>
      </c>
      <c r="F19" s="30" t="s">
        <v>124</v>
      </c>
      <c r="G19" s="33">
        <v>1</v>
      </c>
      <c r="H19" s="35">
        <v>24</v>
      </c>
      <c r="I19" s="7">
        <v>20000</v>
      </c>
      <c r="J19" s="5">
        <v>11330</v>
      </c>
      <c r="K19" s="15">
        <f>L19+7102</f>
        <v>18432</v>
      </c>
      <c r="L19" s="15">
        <f>3036*2+2629*2</f>
        <v>11330</v>
      </c>
      <c r="M19" s="15">
        <f t="shared" si="0"/>
        <v>11330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0.63541666666666674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224</v>
      </c>
      <c r="F20" s="30" t="s">
        <v>119</v>
      </c>
      <c r="G20" s="33">
        <v>1</v>
      </c>
      <c r="H20" s="35">
        <v>24</v>
      </c>
      <c r="I20" s="7">
        <v>64000</v>
      </c>
      <c r="J20" s="14">
        <v>1522</v>
      </c>
      <c r="K20" s="15">
        <f>L20+4204+5394+5278</f>
        <v>16398</v>
      </c>
      <c r="L20" s="15">
        <v>1522</v>
      </c>
      <c r="M20" s="15">
        <f t="shared" si="0"/>
        <v>1522</v>
      </c>
      <c r="N20" s="15">
        <v>0</v>
      </c>
      <c r="O20" s="58">
        <f t="shared" si="1"/>
        <v>0</v>
      </c>
      <c r="P20" s="39">
        <f t="shared" si="2"/>
        <v>8</v>
      </c>
      <c r="Q20" s="40">
        <f t="shared" si="3"/>
        <v>16</v>
      </c>
      <c r="R20" s="7"/>
      <c r="S20" s="6">
        <v>16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0.33333333333333331</v>
      </c>
      <c r="AD20" s="10">
        <f t="shared" ref="AD20" si="10">AC20*AB20*(1-O20)</f>
        <v>0.33333333333333331</v>
      </c>
      <c r="AE20" s="36">
        <f t="shared" si="7"/>
        <v>0.63541666666666674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30748</v>
      </c>
      <c r="K21" s="15">
        <f>L21+46004+81588+47056+35856+81716+45768+30748</f>
        <v>368736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0.63541666666666674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1">SUM(I6:I21)</f>
        <v>1815300</v>
      </c>
      <c r="J22" s="19">
        <f t="shared" si="11"/>
        <v>114290</v>
      </c>
      <c r="K22" s="20">
        <f t="shared" si="11"/>
        <v>1455106</v>
      </c>
      <c r="L22" s="21">
        <f t="shared" si="11"/>
        <v>76334</v>
      </c>
      <c r="M22" s="20">
        <f t="shared" si="11"/>
        <v>76334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244</v>
      </c>
      <c r="Q22" s="43">
        <f t="shared" si="12"/>
        <v>140</v>
      </c>
      <c r="R22" s="23">
        <f t="shared" si="12"/>
        <v>0</v>
      </c>
      <c r="S22" s="24">
        <f t="shared" si="12"/>
        <v>44</v>
      </c>
      <c r="T22" s="24">
        <f t="shared" si="12"/>
        <v>0</v>
      </c>
      <c r="U22" s="24">
        <f t="shared" si="12"/>
        <v>0</v>
      </c>
      <c r="V22" s="25">
        <f t="shared" si="12"/>
        <v>24</v>
      </c>
      <c r="W22" s="26">
        <f t="shared" si="12"/>
        <v>48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24</v>
      </c>
      <c r="AB22" s="28">
        <f>AVERAGE(AB6:AB21)</f>
        <v>0.6875</v>
      </c>
      <c r="AC22" s="28">
        <f t="shared" ref="AC22:AD22" si="13">AVERAGE(AC6:AC21)</f>
        <v>0.63541666666666674</v>
      </c>
      <c r="AD22" s="28">
        <f t="shared" si="13"/>
        <v>0.63541666666666674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304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309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170" t="s">
        <v>46</v>
      </c>
      <c r="D51" s="170" t="s">
        <v>47</v>
      </c>
      <c r="E51" s="170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170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112</v>
      </c>
      <c r="B52" s="527"/>
      <c r="C52" s="172" t="s">
        <v>239</v>
      </c>
      <c r="D52" s="172" t="s">
        <v>115</v>
      </c>
      <c r="E52" s="172" t="s">
        <v>116</v>
      </c>
      <c r="F52" s="528" t="s">
        <v>305</v>
      </c>
      <c r="G52" s="529"/>
      <c r="H52" s="529"/>
      <c r="I52" s="529"/>
      <c r="J52" s="529"/>
      <c r="K52" s="529"/>
      <c r="L52" s="529"/>
      <c r="M52" s="530"/>
      <c r="N52" s="171" t="s">
        <v>112</v>
      </c>
      <c r="O52" s="177" t="s">
        <v>174</v>
      </c>
      <c r="P52" s="540" t="s">
        <v>115</v>
      </c>
      <c r="Q52" s="541"/>
      <c r="R52" s="540" t="s">
        <v>133</v>
      </c>
      <c r="S52" s="542"/>
      <c r="T52" s="542"/>
      <c r="U52" s="541"/>
      <c r="V52" s="510" t="s">
        <v>151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121</v>
      </c>
      <c r="B53" s="527"/>
      <c r="C53" s="172" t="s">
        <v>179</v>
      </c>
      <c r="D53" s="172" t="s">
        <v>115</v>
      </c>
      <c r="E53" s="172" t="s">
        <v>263</v>
      </c>
      <c r="F53" s="528" t="s">
        <v>306</v>
      </c>
      <c r="G53" s="529"/>
      <c r="H53" s="529"/>
      <c r="I53" s="529"/>
      <c r="J53" s="529"/>
      <c r="K53" s="529"/>
      <c r="L53" s="529"/>
      <c r="M53" s="530"/>
      <c r="N53" s="171" t="s">
        <v>112</v>
      </c>
      <c r="O53" s="177" t="s">
        <v>223</v>
      </c>
      <c r="P53" s="540" t="s">
        <v>115</v>
      </c>
      <c r="Q53" s="541"/>
      <c r="R53" s="540" t="s">
        <v>224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112</v>
      </c>
      <c r="B54" s="527"/>
      <c r="C54" s="172" t="s">
        <v>223</v>
      </c>
      <c r="D54" s="172" t="s">
        <v>115</v>
      </c>
      <c r="E54" s="172" t="s">
        <v>224</v>
      </c>
      <c r="F54" s="528" t="s">
        <v>307</v>
      </c>
      <c r="G54" s="529"/>
      <c r="H54" s="529"/>
      <c r="I54" s="529"/>
      <c r="J54" s="529"/>
      <c r="K54" s="529"/>
      <c r="L54" s="529"/>
      <c r="M54" s="530"/>
      <c r="N54" s="171" t="s">
        <v>121</v>
      </c>
      <c r="O54" s="177" t="s">
        <v>179</v>
      </c>
      <c r="P54" s="540" t="s">
        <v>115</v>
      </c>
      <c r="Q54" s="541"/>
      <c r="R54" s="540" t="s">
        <v>241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172" t="s">
        <v>174</v>
      </c>
      <c r="D55" s="172" t="s">
        <v>115</v>
      </c>
      <c r="E55" s="172" t="s">
        <v>133</v>
      </c>
      <c r="F55" s="528" t="s">
        <v>308</v>
      </c>
      <c r="G55" s="529"/>
      <c r="H55" s="529"/>
      <c r="I55" s="529"/>
      <c r="J55" s="529"/>
      <c r="K55" s="529"/>
      <c r="L55" s="529"/>
      <c r="M55" s="530"/>
      <c r="N55" s="171"/>
      <c r="O55" s="177"/>
      <c r="P55" s="540"/>
      <c r="Q55" s="541"/>
      <c r="R55" s="540"/>
      <c r="S55" s="542"/>
      <c r="T55" s="542"/>
      <c r="U55" s="541"/>
      <c r="V55" s="510"/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172" t="s">
        <v>147</v>
      </c>
      <c r="D56" s="172" t="s">
        <v>128</v>
      </c>
      <c r="E56" s="172" t="s">
        <v>268</v>
      </c>
      <c r="F56" s="528" t="s">
        <v>310</v>
      </c>
      <c r="G56" s="529"/>
      <c r="H56" s="529"/>
      <c r="I56" s="529"/>
      <c r="J56" s="529"/>
      <c r="K56" s="529"/>
      <c r="L56" s="529"/>
      <c r="M56" s="530"/>
      <c r="N56" s="171"/>
      <c r="O56" s="177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172"/>
      <c r="D57" s="172"/>
      <c r="E57" s="172"/>
      <c r="F57" s="528"/>
      <c r="G57" s="529"/>
      <c r="H57" s="529"/>
      <c r="I57" s="529"/>
      <c r="J57" s="529"/>
      <c r="K57" s="529"/>
      <c r="L57" s="529"/>
      <c r="M57" s="530"/>
      <c r="N57" s="171"/>
      <c r="O57" s="177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172"/>
      <c r="D58" s="172"/>
      <c r="E58" s="172"/>
      <c r="F58" s="528"/>
      <c r="G58" s="529"/>
      <c r="H58" s="529"/>
      <c r="I58" s="529"/>
      <c r="J58" s="529"/>
      <c r="K58" s="529"/>
      <c r="L58" s="529"/>
      <c r="M58" s="530"/>
      <c r="N58" s="171"/>
      <c r="O58" s="177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172"/>
      <c r="D59" s="172"/>
      <c r="E59" s="172"/>
      <c r="F59" s="528"/>
      <c r="G59" s="529"/>
      <c r="H59" s="529"/>
      <c r="I59" s="529"/>
      <c r="J59" s="529"/>
      <c r="K59" s="529"/>
      <c r="L59" s="529"/>
      <c r="M59" s="530"/>
      <c r="N59" s="171"/>
      <c r="O59" s="177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172"/>
      <c r="D60" s="172"/>
      <c r="E60" s="172"/>
      <c r="F60" s="528"/>
      <c r="G60" s="529"/>
      <c r="H60" s="529"/>
      <c r="I60" s="529"/>
      <c r="J60" s="529"/>
      <c r="K60" s="529"/>
      <c r="L60" s="529"/>
      <c r="M60" s="530"/>
      <c r="N60" s="171"/>
      <c r="O60" s="177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173"/>
      <c r="D61" s="174"/>
      <c r="E61" s="174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311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175" t="s">
        <v>2</v>
      </c>
      <c r="D63" s="175" t="s">
        <v>37</v>
      </c>
      <c r="E63" s="175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175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120</v>
      </c>
      <c r="D64" s="179"/>
      <c r="E64" s="176" t="s">
        <v>165</v>
      </c>
      <c r="F64" s="513" t="s">
        <v>271</v>
      </c>
      <c r="G64" s="514"/>
      <c r="H64" s="514"/>
      <c r="I64" s="514"/>
      <c r="J64" s="515"/>
      <c r="K64" s="497" t="s">
        <v>143</v>
      </c>
      <c r="L64" s="497"/>
      <c r="M64" s="51" t="s">
        <v>200</v>
      </c>
      <c r="N64" s="511" t="s">
        <v>137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/>
      <c r="D65" s="179"/>
      <c r="E65" s="176"/>
      <c r="F65" s="513"/>
      <c r="G65" s="514"/>
      <c r="H65" s="514"/>
      <c r="I65" s="514"/>
      <c r="J65" s="515"/>
      <c r="K65" s="497"/>
      <c r="L65" s="497"/>
      <c r="M65" s="51"/>
      <c r="N65" s="511"/>
      <c r="O65" s="511"/>
      <c r="P65" s="512"/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179"/>
      <c r="E66" s="176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179"/>
      <c r="E67" s="176"/>
      <c r="F67" s="513"/>
      <c r="G67" s="514"/>
      <c r="H67" s="514"/>
      <c r="I67" s="514"/>
      <c r="J67" s="515"/>
      <c r="K67" s="516"/>
      <c r="L67" s="504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179"/>
      <c r="E68" s="176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179"/>
      <c r="E69" s="176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179"/>
      <c r="E70" s="176"/>
      <c r="F70" s="505"/>
      <c r="G70" s="497"/>
      <c r="H70" s="497"/>
      <c r="I70" s="497"/>
      <c r="J70" s="497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179"/>
      <c r="E71" s="176"/>
      <c r="F71" s="505"/>
      <c r="G71" s="497"/>
      <c r="H71" s="497"/>
      <c r="I71" s="497"/>
      <c r="J71" s="497"/>
      <c r="K71" s="497"/>
      <c r="L71" s="497"/>
      <c r="M71" s="51"/>
      <c r="N71" s="506"/>
      <c r="O71" s="507"/>
      <c r="P71" s="508"/>
      <c r="Q71" s="509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6.25" customHeight="1" thickBot="1">
      <c r="A72" s="477" t="s">
        <v>312</v>
      </c>
      <c r="B72" s="477"/>
      <c r="C72" s="477"/>
      <c r="D72" s="477"/>
      <c r="E72" s="47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8" t="s">
        <v>111</v>
      </c>
      <c r="B73" s="479"/>
      <c r="C73" s="178" t="s">
        <v>2</v>
      </c>
      <c r="D73" s="178" t="s">
        <v>37</v>
      </c>
      <c r="E73" s="178" t="s">
        <v>3</v>
      </c>
      <c r="F73" s="479" t="s">
        <v>38</v>
      </c>
      <c r="G73" s="479"/>
      <c r="H73" s="479"/>
      <c r="I73" s="479"/>
      <c r="J73" s="479"/>
      <c r="K73" s="499" t="s">
        <v>58</v>
      </c>
      <c r="L73" s="500"/>
      <c r="M73" s="500"/>
      <c r="N73" s="500"/>
      <c r="O73" s="500"/>
      <c r="P73" s="500"/>
      <c r="Q73" s="500"/>
      <c r="R73" s="500"/>
      <c r="S73" s="501"/>
      <c r="T73" s="479" t="s">
        <v>49</v>
      </c>
      <c r="U73" s="479"/>
      <c r="V73" s="499" t="s">
        <v>50</v>
      </c>
      <c r="W73" s="501"/>
      <c r="X73" s="500" t="s">
        <v>51</v>
      </c>
      <c r="Y73" s="500"/>
      <c r="Z73" s="500"/>
      <c r="AA73" s="500"/>
      <c r="AB73" s="500"/>
      <c r="AC73" s="500"/>
      <c r="AD73" s="502"/>
      <c r="AF73" s="50"/>
    </row>
    <row r="74" spans="1:32" ht="33.75" customHeight="1">
      <c r="A74" s="471">
        <v>1</v>
      </c>
      <c r="B74" s="472"/>
      <c r="C74" s="180" t="s">
        <v>112</v>
      </c>
      <c r="D74" s="180"/>
      <c r="E74" s="65" t="s">
        <v>117</v>
      </c>
      <c r="F74" s="486" t="s">
        <v>116</v>
      </c>
      <c r="G74" s="487"/>
      <c r="H74" s="487"/>
      <c r="I74" s="487"/>
      <c r="J74" s="488"/>
      <c r="K74" s="489" t="s">
        <v>122</v>
      </c>
      <c r="L74" s="490"/>
      <c r="M74" s="490"/>
      <c r="N74" s="490"/>
      <c r="O74" s="490"/>
      <c r="P74" s="490"/>
      <c r="Q74" s="490"/>
      <c r="R74" s="490"/>
      <c r="S74" s="491"/>
      <c r="T74" s="492">
        <v>43675</v>
      </c>
      <c r="U74" s="493"/>
      <c r="V74" s="494"/>
      <c r="W74" s="494"/>
      <c r="X74" s="495"/>
      <c r="Y74" s="495"/>
      <c r="Z74" s="495"/>
      <c r="AA74" s="495"/>
      <c r="AB74" s="495"/>
      <c r="AC74" s="495"/>
      <c r="AD74" s="496"/>
      <c r="AF74" s="50"/>
    </row>
    <row r="75" spans="1:32" ht="30" customHeight="1">
      <c r="A75" s="464">
        <f>A74+1</f>
        <v>2</v>
      </c>
      <c r="B75" s="465"/>
      <c r="C75" s="179"/>
      <c r="D75" s="179"/>
      <c r="E75" s="32"/>
      <c r="F75" s="465"/>
      <c r="G75" s="465"/>
      <c r="H75" s="465"/>
      <c r="I75" s="465"/>
      <c r="J75" s="465"/>
      <c r="K75" s="480"/>
      <c r="L75" s="481"/>
      <c r="M75" s="481"/>
      <c r="N75" s="481"/>
      <c r="O75" s="481"/>
      <c r="P75" s="481"/>
      <c r="Q75" s="481"/>
      <c r="R75" s="481"/>
      <c r="S75" s="482"/>
      <c r="T75" s="483"/>
      <c r="U75" s="483"/>
      <c r="V75" s="483"/>
      <c r="W75" s="483"/>
      <c r="X75" s="484"/>
      <c r="Y75" s="484"/>
      <c r="Z75" s="484"/>
      <c r="AA75" s="484"/>
      <c r="AB75" s="484"/>
      <c r="AC75" s="484"/>
      <c r="AD75" s="485"/>
      <c r="AF75" s="50"/>
    </row>
    <row r="76" spans="1:32" ht="30" customHeight="1">
      <c r="A76" s="464">
        <f t="shared" ref="A76:A82" si="14">A75+1</f>
        <v>3</v>
      </c>
      <c r="B76" s="465"/>
      <c r="C76" s="179"/>
      <c r="D76" s="179"/>
      <c r="E76" s="32"/>
      <c r="F76" s="465"/>
      <c r="G76" s="465"/>
      <c r="H76" s="465"/>
      <c r="I76" s="465"/>
      <c r="J76" s="465"/>
      <c r="K76" s="480"/>
      <c r="L76" s="481"/>
      <c r="M76" s="481"/>
      <c r="N76" s="481"/>
      <c r="O76" s="481"/>
      <c r="P76" s="481"/>
      <c r="Q76" s="481"/>
      <c r="R76" s="481"/>
      <c r="S76" s="482"/>
      <c r="T76" s="483"/>
      <c r="U76" s="483"/>
      <c r="V76" s="483"/>
      <c r="W76" s="483"/>
      <c r="X76" s="484"/>
      <c r="Y76" s="484"/>
      <c r="Z76" s="484"/>
      <c r="AA76" s="484"/>
      <c r="AB76" s="484"/>
      <c r="AC76" s="484"/>
      <c r="AD76" s="485"/>
      <c r="AF76" s="50"/>
    </row>
    <row r="77" spans="1:32" ht="30" customHeight="1">
      <c r="A77" s="464">
        <f t="shared" si="14"/>
        <v>4</v>
      </c>
      <c r="B77" s="465"/>
      <c r="C77" s="179"/>
      <c r="D77" s="179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si="14"/>
        <v>5</v>
      </c>
      <c r="B78" s="465"/>
      <c r="C78" s="179"/>
      <c r="D78" s="179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4"/>
        <v>6</v>
      </c>
      <c r="B79" s="465"/>
      <c r="C79" s="179"/>
      <c r="D79" s="179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4"/>
        <v>7</v>
      </c>
      <c r="B80" s="465"/>
      <c r="C80" s="179"/>
      <c r="D80" s="179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4"/>
        <v>8</v>
      </c>
      <c r="B81" s="465"/>
      <c r="C81" s="179"/>
      <c r="D81" s="179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4"/>
        <v>9</v>
      </c>
      <c r="B82" s="465"/>
      <c r="C82" s="179"/>
      <c r="D82" s="179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313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94DE-1514-4967-8A40-1C460D9F828C}">
  <dimension ref="A1:AF87"/>
  <sheetViews>
    <sheetView zoomScale="72" zoomScaleNormal="72" zoomScaleSheetLayoutView="70" workbookViewId="0">
      <selection activeCell="AC22" sqref="AC22:AD2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314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92" t="s">
        <v>17</v>
      </c>
      <c r="L5" s="192" t="s">
        <v>18</v>
      </c>
      <c r="M5" s="192" t="s">
        <v>19</v>
      </c>
      <c r="N5" s="1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2594</v>
      </c>
      <c r="K6" s="15">
        <f>L6+5567+6177+5956</f>
        <v>20294</v>
      </c>
      <c r="L6" s="15">
        <v>2594</v>
      </c>
      <c r="M6" s="15">
        <f t="shared" ref="M6:M21" si="0">L6-N6</f>
        <v>2594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10</v>
      </c>
      <c r="Q6" s="40">
        <f t="shared" ref="Q6:Q21" si="3">SUM(R6:AA6)</f>
        <v>14</v>
      </c>
      <c r="R6" s="7"/>
      <c r="S6" s="6"/>
      <c r="T6" s="16"/>
      <c r="U6" s="16"/>
      <c r="V6" s="17">
        <v>14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0.41666666666666669</v>
      </c>
      <c r="AD6" s="10">
        <f t="shared" ref="AD6:AD21" si="6">AC6*AB6*(1-O6)</f>
        <v>0.41666666666666669</v>
      </c>
      <c r="AE6" s="36">
        <f t="shared" ref="AE6:AE21" si="7">$AD$22</f>
        <v>0.26041666666666663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155</v>
      </c>
      <c r="E7" s="53" t="s">
        <v>207</v>
      </c>
      <c r="F7" s="30" t="s">
        <v>143</v>
      </c>
      <c r="G7" s="12">
        <v>1</v>
      </c>
      <c r="H7" s="13">
        <v>28</v>
      </c>
      <c r="I7" s="31">
        <v>3000</v>
      </c>
      <c r="J7" s="5">
        <v>1621</v>
      </c>
      <c r="K7" s="15">
        <f>L7+3089+1621</f>
        <v>4710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0.26041666666666663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2439</v>
      </c>
      <c r="K8" s="15">
        <f>L8+1658+3024+3826+5621+5758+5746+5871+5666</f>
        <v>39609</v>
      </c>
      <c r="L8" s="15">
        <v>2439</v>
      </c>
      <c r="M8" s="15">
        <f t="shared" si="0"/>
        <v>2439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0.26041666666666663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255</v>
      </c>
      <c r="F9" s="30" t="s">
        <v>256</v>
      </c>
      <c r="G9" s="33">
        <v>1</v>
      </c>
      <c r="H9" s="35">
        <v>24</v>
      </c>
      <c r="I9" s="7">
        <v>15000</v>
      </c>
      <c r="J9" s="14">
        <v>2298</v>
      </c>
      <c r="K9" s="15">
        <f>L9+5167+5301</f>
        <v>12766</v>
      </c>
      <c r="L9" s="15">
        <v>2298</v>
      </c>
      <c r="M9" s="15">
        <f t="shared" si="0"/>
        <v>2298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/>
      <c r="T9" s="16"/>
      <c r="U9" s="16"/>
      <c r="V9" s="17">
        <v>14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0.26041666666666663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2364</v>
      </c>
      <c r="K10" s="15">
        <f>L10+3006+4988+687+4584+5534+5337</f>
        <v>26500</v>
      </c>
      <c r="L10" s="15">
        <v>2364</v>
      </c>
      <c r="M10" s="15">
        <f t="shared" si="0"/>
        <v>2364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/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>AC10*AB10*(1-O10)</f>
        <v>0.41666666666666669</v>
      </c>
      <c r="AE10" s="36">
        <f t="shared" si="7"/>
        <v>0.26041666666666663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2067</v>
      </c>
      <c r="K11" s="15">
        <f>L11+4668+4429+5671</f>
        <v>16835</v>
      </c>
      <c r="L11" s="15">
        <v>2067</v>
      </c>
      <c r="M11" s="15">
        <f t="shared" si="0"/>
        <v>2067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>AC11*AB11*(1-O11)</f>
        <v>0.41666666666666669</v>
      </c>
      <c r="AE11" s="36">
        <f t="shared" si="7"/>
        <v>0.26041666666666663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48500</v>
      </c>
      <c r="J12" s="14">
        <v>1094</v>
      </c>
      <c r="K12" s="15">
        <f>L12+2120+2858+4163+3861+4361+2294+4491+3957</f>
        <v>29199</v>
      </c>
      <c r="L12" s="15">
        <v>1094</v>
      </c>
      <c r="M12" s="15">
        <f t="shared" si="0"/>
        <v>1094</v>
      </c>
      <c r="N12" s="15">
        <v>0</v>
      </c>
      <c r="O12" s="58">
        <f t="shared" si="1"/>
        <v>0</v>
      </c>
      <c r="P12" s="39">
        <f t="shared" si="2"/>
        <v>9</v>
      </c>
      <c r="Q12" s="40">
        <f t="shared" si="3"/>
        <v>15</v>
      </c>
      <c r="R12" s="7"/>
      <c r="S12" s="6"/>
      <c r="T12" s="16"/>
      <c r="U12" s="16"/>
      <c r="V12" s="17">
        <v>15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0.375</v>
      </c>
      <c r="AD12" s="10">
        <f t="shared" ref="AD12:AD14" si="9">AC12*AB12*(1-O12)</f>
        <v>0.375</v>
      </c>
      <c r="AE12" s="36">
        <f t="shared" si="7"/>
        <v>0.26041666666666663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241</v>
      </c>
      <c r="F13" s="30" t="s">
        <v>125</v>
      </c>
      <c r="G13" s="33">
        <v>2</v>
      </c>
      <c r="H13" s="35">
        <v>24</v>
      </c>
      <c r="I13" s="7">
        <v>200000</v>
      </c>
      <c r="J13" s="14">
        <v>2312</v>
      </c>
      <c r="K13" s="15">
        <f>L13</f>
        <v>2312</v>
      </c>
      <c r="L13" s="15">
        <f>1156*2</f>
        <v>2312</v>
      </c>
      <c r="M13" s="15">
        <f t="shared" si="0"/>
        <v>2312</v>
      </c>
      <c r="N13" s="15">
        <v>0</v>
      </c>
      <c r="O13" s="58">
        <f t="shared" si="1"/>
        <v>0</v>
      </c>
      <c r="P13" s="39">
        <f t="shared" si="2"/>
        <v>7</v>
      </c>
      <c r="Q13" s="40">
        <f t="shared" si="3"/>
        <v>17</v>
      </c>
      <c r="R13" s="7"/>
      <c r="S13" s="6"/>
      <c r="T13" s="16"/>
      <c r="U13" s="16"/>
      <c r="V13" s="17">
        <v>14</v>
      </c>
      <c r="W13" s="5"/>
      <c r="X13" s="16"/>
      <c r="Y13" s="16"/>
      <c r="Z13" s="16"/>
      <c r="AA13" s="18">
        <v>3</v>
      </c>
      <c r="AB13" s="8">
        <f t="shared" si="4"/>
        <v>1</v>
      </c>
      <c r="AC13" s="9">
        <f t="shared" si="5"/>
        <v>0.29166666666666669</v>
      </c>
      <c r="AD13" s="10">
        <f t="shared" si="9"/>
        <v>0.29166666666666669</v>
      </c>
      <c r="AE13" s="36">
        <f t="shared" si="7"/>
        <v>0.26041666666666663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193</v>
      </c>
      <c r="D14" s="52" t="s">
        <v>115</v>
      </c>
      <c r="E14" s="53" t="s">
        <v>267</v>
      </c>
      <c r="F14" s="30" t="s">
        <v>277</v>
      </c>
      <c r="G14" s="33">
        <v>1</v>
      </c>
      <c r="H14" s="35">
        <v>24</v>
      </c>
      <c r="I14" s="7">
        <v>100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0.26041666666666663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193</v>
      </c>
      <c r="D15" s="52" t="s">
        <v>165</v>
      </c>
      <c r="E15" s="53" t="s">
        <v>278</v>
      </c>
      <c r="F15" s="12" t="s">
        <v>143</v>
      </c>
      <c r="G15" s="12">
        <v>1</v>
      </c>
      <c r="H15" s="13">
        <v>24</v>
      </c>
      <c r="I15" s="31">
        <v>200</v>
      </c>
      <c r="J15" s="14">
        <v>755</v>
      </c>
      <c r="K15" s="15">
        <f>L15+755</f>
        <v>755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0.26041666666666663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4720</v>
      </c>
      <c r="K16" s="15">
        <f>L16+1024+3034+3628+4720</f>
        <v>12406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0.26041666666666663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196</v>
      </c>
      <c r="E17" s="53" t="s">
        <v>279</v>
      </c>
      <c r="F17" s="30" t="s">
        <v>132</v>
      </c>
      <c r="G17" s="33">
        <v>2</v>
      </c>
      <c r="H17" s="35">
        <v>24</v>
      </c>
      <c r="I17" s="7">
        <v>20000</v>
      </c>
      <c r="J17" s="5">
        <v>4664</v>
      </c>
      <c r="K17" s="15">
        <f>L17+7038+11438</f>
        <v>23140</v>
      </c>
      <c r="L17" s="15">
        <f>2332*2</f>
        <v>4664</v>
      </c>
      <c r="M17" s="15">
        <f t="shared" si="0"/>
        <v>4664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>
        <v>14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0.26041666666666663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112</v>
      </c>
      <c r="D18" s="52" t="s">
        <v>128</v>
      </c>
      <c r="E18" s="53" t="s">
        <v>268</v>
      </c>
      <c r="F18" s="30" t="s">
        <v>146</v>
      </c>
      <c r="G18" s="12">
        <v>1</v>
      </c>
      <c r="H18" s="13">
        <v>28</v>
      </c>
      <c r="I18" s="31">
        <v>30000</v>
      </c>
      <c r="J18" s="5">
        <v>2595</v>
      </c>
      <c r="K18" s="15">
        <f>L18+3274+5285</f>
        <v>11154</v>
      </c>
      <c r="L18" s="15">
        <v>2595</v>
      </c>
      <c r="M18" s="15">
        <f t="shared" si="0"/>
        <v>2595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0.26041666666666663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128</v>
      </c>
      <c r="E19" s="53" t="s">
        <v>226</v>
      </c>
      <c r="F19" s="30" t="s">
        <v>124</v>
      </c>
      <c r="G19" s="33">
        <v>1</v>
      </c>
      <c r="H19" s="35">
        <v>24</v>
      </c>
      <c r="I19" s="7">
        <v>20000</v>
      </c>
      <c r="J19" s="5">
        <v>3558</v>
      </c>
      <c r="K19" s="15">
        <f>L19+7102+11330</f>
        <v>21990</v>
      </c>
      <c r="L19" s="15">
        <f>1779*2</f>
        <v>3558</v>
      </c>
      <c r="M19" s="15">
        <f t="shared" si="0"/>
        <v>3558</v>
      </c>
      <c r="N19" s="15">
        <v>0</v>
      </c>
      <c r="O19" s="58">
        <f t="shared" si="1"/>
        <v>0</v>
      </c>
      <c r="P19" s="39">
        <f t="shared" si="2"/>
        <v>10</v>
      </c>
      <c r="Q19" s="40">
        <f t="shared" si="3"/>
        <v>14</v>
      </c>
      <c r="R19" s="7"/>
      <c r="S19" s="6"/>
      <c r="T19" s="16"/>
      <c r="U19" s="16"/>
      <c r="V19" s="17">
        <v>14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0.41666666666666669</v>
      </c>
      <c r="AD19" s="10">
        <f>AC19*AB19*(1-O19)</f>
        <v>0.41666666666666669</v>
      </c>
      <c r="AE19" s="36">
        <f t="shared" si="7"/>
        <v>0.26041666666666663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133</v>
      </c>
      <c r="F20" s="30" t="s">
        <v>124</v>
      </c>
      <c r="G20" s="12">
        <v>1</v>
      </c>
      <c r="H20" s="13">
        <v>28</v>
      </c>
      <c r="I20" s="7">
        <v>45000</v>
      </c>
      <c r="J20" s="14">
        <v>700</v>
      </c>
      <c r="K20" s="15">
        <f>L20+1024+3034+3628+4720</f>
        <v>13106</v>
      </c>
      <c r="L20" s="15">
        <v>700</v>
      </c>
      <c r="M20" s="15">
        <f t="shared" si="0"/>
        <v>700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6</v>
      </c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ref="AD20" si="10">AC20*AB20*(1-O20)</f>
        <v>0.16666666666666666</v>
      </c>
      <c r="AE20" s="36">
        <f t="shared" si="7"/>
        <v>0.26041666666666663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30748</v>
      </c>
      <c r="K21" s="15">
        <f>L21+46004+81588+47056+35856+81716+45768+30748</f>
        <v>368736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0.26041666666666663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1">SUM(I6:I21)</f>
        <v>1149800</v>
      </c>
      <c r="J22" s="19">
        <f t="shared" si="11"/>
        <v>64641</v>
      </c>
      <c r="K22" s="20">
        <f t="shared" si="11"/>
        <v>603624</v>
      </c>
      <c r="L22" s="21">
        <f t="shared" si="11"/>
        <v>26685</v>
      </c>
      <c r="M22" s="20">
        <f t="shared" si="11"/>
        <v>26685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100</v>
      </c>
      <c r="Q22" s="43">
        <f t="shared" si="12"/>
        <v>284</v>
      </c>
      <c r="R22" s="23">
        <f t="shared" si="12"/>
        <v>0</v>
      </c>
      <c r="S22" s="24">
        <f t="shared" si="12"/>
        <v>30</v>
      </c>
      <c r="T22" s="24">
        <f t="shared" si="12"/>
        <v>0</v>
      </c>
      <c r="U22" s="24">
        <f t="shared" si="12"/>
        <v>0</v>
      </c>
      <c r="V22" s="25">
        <f t="shared" si="12"/>
        <v>179</v>
      </c>
      <c r="W22" s="26">
        <f t="shared" si="12"/>
        <v>48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27</v>
      </c>
      <c r="AB22" s="28">
        <f>AVERAGE(AB6:AB21)</f>
        <v>0.6875</v>
      </c>
      <c r="AC22" s="28">
        <f t="shared" ref="AC22:AD22" si="13">AVERAGE(AC6:AC21)</f>
        <v>0.26041666666666663</v>
      </c>
      <c r="AD22" s="28">
        <f t="shared" si="13"/>
        <v>0.26041666666666663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315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317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191" t="s">
        <v>46</v>
      </c>
      <c r="D51" s="191" t="s">
        <v>47</v>
      </c>
      <c r="E51" s="191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191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121</v>
      </c>
      <c r="B52" s="527"/>
      <c r="C52" s="188" t="s">
        <v>179</v>
      </c>
      <c r="D52" s="188" t="s">
        <v>115</v>
      </c>
      <c r="E52" s="188" t="s">
        <v>241</v>
      </c>
      <c r="F52" s="528" t="s">
        <v>118</v>
      </c>
      <c r="G52" s="529"/>
      <c r="H52" s="529"/>
      <c r="I52" s="529"/>
      <c r="J52" s="529"/>
      <c r="K52" s="529"/>
      <c r="L52" s="529"/>
      <c r="M52" s="530"/>
      <c r="N52" s="187" t="s">
        <v>112</v>
      </c>
      <c r="O52" s="185" t="s">
        <v>194</v>
      </c>
      <c r="P52" s="540" t="s">
        <v>128</v>
      </c>
      <c r="Q52" s="541"/>
      <c r="R52" s="540" t="s">
        <v>318</v>
      </c>
      <c r="S52" s="542"/>
      <c r="T52" s="542"/>
      <c r="U52" s="541"/>
      <c r="V52" s="510" t="s">
        <v>118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112</v>
      </c>
      <c r="B53" s="527"/>
      <c r="C53" s="188" t="s">
        <v>174</v>
      </c>
      <c r="D53" s="188" t="s">
        <v>115</v>
      </c>
      <c r="E53" s="188" t="s">
        <v>133</v>
      </c>
      <c r="F53" s="528" t="s">
        <v>316</v>
      </c>
      <c r="G53" s="529"/>
      <c r="H53" s="529"/>
      <c r="I53" s="529"/>
      <c r="J53" s="529"/>
      <c r="K53" s="529"/>
      <c r="L53" s="529"/>
      <c r="M53" s="530"/>
      <c r="N53" s="187" t="s">
        <v>112</v>
      </c>
      <c r="O53" s="185" t="s">
        <v>223</v>
      </c>
      <c r="P53" s="540" t="s">
        <v>115</v>
      </c>
      <c r="Q53" s="541"/>
      <c r="R53" s="540" t="s">
        <v>224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/>
      <c r="B54" s="527"/>
      <c r="C54" s="188"/>
      <c r="D54" s="188"/>
      <c r="E54" s="188"/>
      <c r="F54" s="528"/>
      <c r="G54" s="529"/>
      <c r="H54" s="529"/>
      <c r="I54" s="529"/>
      <c r="J54" s="529"/>
      <c r="K54" s="529"/>
      <c r="L54" s="529"/>
      <c r="M54" s="530"/>
      <c r="N54" s="187" t="s">
        <v>121</v>
      </c>
      <c r="O54" s="185" t="s">
        <v>201</v>
      </c>
      <c r="P54" s="540"/>
      <c r="Q54" s="541"/>
      <c r="R54" s="540" t="s">
        <v>319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/>
      <c r="B55" s="527"/>
      <c r="C55" s="188"/>
      <c r="D55" s="188"/>
      <c r="E55" s="188"/>
      <c r="F55" s="528"/>
      <c r="G55" s="529"/>
      <c r="H55" s="529"/>
      <c r="I55" s="529"/>
      <c r="J55" s="529"/>
      <c r="K55" s="529"/>
      <c r="L55" s="529"/>
      <c r="M55" s="530"/>
      <c r="N55" s="187"/>
      <c r="O55" s="185"/>
      <c r="P55" s="540"/>
      <c r="Q55" s="541"/>
      <c r="R55" s="540"/>
      <c r="S55" s="542"/>
      <c r="T55" s="542"/>
      <c r="U55" s="541"/>
      <c r="V55" s="510"/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/>
      <c r="B56" s="527"/>
      <c r="C56" s="188"/>
      <c r="D56" s="188"/>
      <c r="E56" s="188"/>
      <c r="F56" s="528"/>
      <c r="G56" s="529"/>
      <c r="H56" s="529"/>
      <c r="I56" s="529"/>
      <c r="J56" s="529"/>
      <c r="K56" s="529"/>
      <c r="L56" s="529"/>
      <c r="M56" s="530"/>
      <c r="N56" s="187"/>
      <c r="O56" s="185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188"/>
      <c r="D57" s="188"/>
      <c r="E57" s="188"/>
      <c r="F57" s="528"/>
      <c r="G57" s="529"/>
      <c r="H57" s="529"/>
      <c r="I57" s="529"/>
      <c r="J57" s="529"/>
      <c r="K57" s="529"/>
      <c r="L57" s="529"/>
      <c r="M57" s="530"/>
      <c r="N57" s="187"/>
      <c r="O57" s="185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188"/>
      <c r="D58" s="188"/>
      <c r="E58" s="188"/>
      <c r="F58" s="528"/>
      <c r="G58" s="529"/>
      <c r="H58" s="529"/>
      <c r="I58" s="529"/>
      <c r="J58" s="529"/>
      <c r="K58" s="529"/>
      <c r="L58" s="529"/>
      <c r="M58" s="530"/>
      <c r="N58" s="187"/>
      <c r="O58" s="185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188"/>
      <c r="D59" s="188"/>
      <c r="E59" s="188"/>
      <c r="F59" s="528"/>
      <c r="G59" s="529"/>
      <c r="H59" s="529"/>
      <c r="I59" s="529"/>
      <c r="J59" s="529"/>
      <c r="K59" s="529"/>
      <c r="L59" s="529"/>
      <c r="M59" s="530"/>
      <c r="N59" s="187"/>
      <c r="O59" s="185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188"/>
      <c r="D60" s="188"/>
      <c r="E60" s="188"/>
      <c r="F60" s="528"/>
      <c r="G60" s="529"/>
      <c r="H60" s="529"/>
      <c r="I60" s="529"/>
      <c r="J60" s="529"/>
      <c r="K60" s="529"/>
      <c r="L60" s="529"/>
      <c r="M60" s="530"/>
      <c r="N60" s="187"/>
      <c r="O60" s="185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189"/>
      <c r="D61" s="190"/>
      <c r="E61" s="190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320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186" t="s">
        <v>2</v>
      </c>
      <c r="D63" s="186" t="s">
        <v>37</v>
      </c>
      <c r="E63" s="186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186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112</v>
      </c>
      <c r="D64" s="181"/>
      <c r="E64" s="184" t="s">
        <v>257</v>
      </c>
      <c r="F64" s="513" t="s">
        <v>321</v>
      </c>
      <c r="G64" s="514"/>
      <c r="H64" s="514"/>
      <c r="I64" s="514"/>
      <c r="J64" s="515"/>
      <c r="K64" s="497" t="s">
        <v>124</v>
      </c>
      <c r="L64" s="497"/>
      <c r="M64" s="51" t="s">
        <v>144</v>
      </c>
      <c r="N64" s="511" t="s">
        <v>223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112</v>
      </c>
      <c r="D65" s="181"/>
      <c r="E65" s="184" t="s">
        <v>115</v>
      </c>
      <c r="F65" s="513" t="s">
        <v>322</v>
      </c>
      <c r="G65" s="514"/>
      <c r="H65" s="514"/>
      <c r="I65" s="514"/>
      <c r="J65" s="515"/>
      <c r="K65" s="497" t="s">
        <v>146</v>
      </c>
      <c r="L65" s="497"/>
      <c r="M65" s="51" t="s">
        <v>144</v>
      </c>
      <c r="N65" s="511" t="s">
        <v>179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 t="s">
        <v>112</v>
      </c>
      <c r="D66" s="181"/>
      <c r="E66" s="184" t="s">
        <v>128</v>
      </c>
      <c r="F66" s="513" t="s">
        <v>323</v>
      </c>
      <c r="G66" s="514"/>
      <c r="H66" s="514"/>
      <c r="I66" s="514"/>
      <c r="J66" s="515"/>
      <c r="K66" s="497" t="s">
        <v>146</v>
      </c>
      <c r="L66" s="497"/>
      <c r="M66" s="51" t="s">
        <v>144</v>
      </c>
      <c r="N66" s="511" t="s">
        <v>179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 t="s">
        <v>112</v>
      </c>
      <c r="D67" s="181"/>
      <c r="E67" s="184" t="s">
        <v>115</v>
      </c>
      <c r="F67" s="513" t="s">
        <v>324</v>
      </c>
      <c r="G67" s="514"/>
      <c r="H67" s="514"/>
      <c r="I67" s="514"/>
      <c r="J67" s="515"/>
      <c r="K67" s="497" t="s">
        <v>146</v>
      </c>
      <c r="L67" s="497"/>
      <c r="M67" s="51" t="s">
        <v>200</v>
      </c>
      <c r="N67" s="511" t="s">
        <v>194</v>
      </c>
      <c r="O67" s="511"/>
      <c r="P67" s="512">
        <v>50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181"/>
      <c r="E68" s="184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181"/>
      <c r="E69" s="184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181"/>
      <c r="E70" s="184"/>
      <c r="F70" s="505"/>
      <c r="G70" s="497"/>
      <c r="H70" s="497"/>
      <c r="I70" s="497"/>
      <c r="J70" s="497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181"/>
      <c r="E71" s="184"/>
      <c r="F71" s="505"/>
      <c r="G71" s="497"/>
      <c r="H71" s="497"/>
      <c r="I71" s="497"/>
      <c r="J71" s="497"/>
      <c r="K71" s="497"/>
      <c r="L71" s="497"/>
      <c r="M71" s="51"/>
      <c r="N71" s="506"/>
      <c r="O71" s="507"/>
      <c r="P71" s="508"/>
      <c r="Q71" s="509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6.25" customHeight="1" thickBot="1">
      <c r="A72" s="477" t="s">
        <v>325</v>
      </c>
      <c r="B72" s="477"/>
      <c r="C72" s="477"/>
      <c r="D72" s="477"/>
      <c r="E72" s="47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8" t="s">
        <v>111</v>
      </c>
      <c r="B73" s="479"/>
      <c r="C73" s="183" t="s">
        <v>2</v>
      </c>
      <c r="D73" s="183" t="s">
        <v>37</v>
      </c>
      <c r="E73" s="183" t="s">
        <v>3</v>
      </c>
      <c r="F73" s="479" t="s">
        <v>38</v>
      </c>
      <c r="G73" s="479"/>
      <c r="H73" s="479"/>
      <c r="I73" s="479"/>
      <c r="J73" s="479"/>
      <c r="K73" s="499" t="s">
        <v>58</v>
      </c>
      <c r="L73" s="500"/>
      <c r="M73" s="500"/>
      <c r="N73" s="500"/>
      <c r="O73" s="500"/>
      <c r="P73" s="500"/>
      <c r="Q73" s="500"/>
      <c r="R73" s="500"/>
      <c r="S73" s="501"/>
      <c r="T73" s="479" t="s">
        <v>49</v>
      </c>
      <c r="U73" s="479"/>
      <c r="V73" s="499" t="s">
        <v>50</v>
      </c>
      <c r="W73" s="501"/>
      <c r="X73" s="500" t="s">
        <v>51</v>
      </c>
      <c r="Y73" s="500"/>
      <c r="Z73" s="500"/>
      <c r="AA73" s="500"/>
      <c r="AB73" s="500"/>
      <c r="AC73" s="500"/>
      <c r="AD73" s="502"/>
      <c r="AF73" s="50"/>
    </row>
    <row r="74" spans="1:32" ht="33.75" customHeight="1">
      <c r="A74" s="471">
        <v>1</v>
      </c>
      <c r="B74" s="472"/>
      <c r="C74" s="182" t="s">
        <v>112</v>
      </c>
      <c r="D74" s="182"/>
      <c r="E74" s="65" t="s">
        <v>117</v>
      </c>
      <c r="F74" s="486" t="s">
        <v>116</v>
      </c>
      <c r="G74" s="487"/>
      <c r="H74" s="487"/>
      <c r="I74" s="487"/>
      <c r="J74" s="488"/>
      <c r="K74" s="489" t="s">
        <v>122</v>
      </c>
      <c r="L74" s="490"/>
      <c r="M74" s="490"/>
      <c r="N74" s="490"/>
      <c r="O74" s="490"/>
      <c r="P74" s="490"/>
      <c r="Q74" s="490"/>
      <c r="R74" s="490"/>
      <c r="S74" s="491"/>
      <c r="T74" s="492">
        <v>43675</v>
      </c>
      <c r="U74" s="493"/>
      <c r="V74" s="494"/>
      <c r="W74" s="494"/>
      <c r="X74" s="495"/>
      <c r="Y74" s="495"/>
      <c r="Z74" s="495"/>
      <c r="AA74" s="495"/>
      <c r="AB74" s="495"/>
      <c r="AC74" s="495"/>
      <c r="AD74" s="496"/>
      <c r="AF74" s="50"/>
    </row>
    <row r="75" spans="1:32" ht="30" customHeight="1">
      <c r="A75" s="464">
        <f>A74+1</f>
        <v>2</v>
      </c>
      <c r="B75" s="465"/>
      <c r="C75" s="181"/>
      <c r="D75" s="181"/>
      <c r="E75" s="32"/>
      <c r="F75" s="465"/>
      <c r="G75" s="465"/>
      <c r="H75" s="465"/>
      <c r="I75" s="465"/>
      <c r="J75" s="465"/>
      <c r="K75" s="480"/>
      <c r="L75" s="481"/>
      <c r="M75" s="481"/>
      <c r="N75" s="481"/>
      <c r="O75" s="481"/>
      <c r="P75" s="481"/>
      <c r="Q75" s="481"/>
      <c r="R75" s="481"/>
      <c r="S75" s="482"/>
      <c r="T75" s="483"/>
      <c r="U75" s="483"/>
      <c r="V75" s="483"/>
      <c r="W75" s="483"/>
      <c r="X75" s="484"/>
      <c r="Y75" s="484"/>
      <c r="Z75" s="484"/>
      <c r="AA75" s="484"/>
      <c r="AB75" s="484"/>
      <c r="AC75" s="484"/>
      <c r="AD75" s="485"/>
      <c r="AF75" s="50"/>
    </row>
    <row r="76" spans="1:32" ht="30" customHeight="1">
      <c r="A76" s="464">
        <f t="shared" ref="A76:A82" si="14">A75+1</f>
        <v>3</v>
      </c>
      <c r="B76" s="465"/>
      <c r="C76" s="181"/>
      <c r="D76" s="181"/>
      <c r="E76" s="32"/>
      <c r="F76" s="465"/>
      <c r="G76" s="465"/>
      <c r="H76" s="465"/>
      <c r="I76" s="465"/>
      <c r="J76" s="465"/>
      <c r="K76" s="480"/>
      <c r="L76" s="481"/>
      <c r="M76" s="481"/>
      <c r="N76" s="481"/>
      <c r="O76" s="481"/>
      <c r="P76" s="481"/>
      <c r="Q76" s="481"/>
      <c r="R76" s="481"/>
      <c r="S76" s="482"/>
      <c r="T76" s="483"/>
      <c r="U76" s="483"/>
      <c r="V76" s="483"/>
      <c r="W76" s="483"/>
      <c r="X76" s="484"/>
      <c r="Y76" s="484"/>
      <c r="Z76" s="484"/>
      <c r="AA76" s="484"/>
      <c r="AB76" s="484"/>
      <c r="AC76" s="484"/>
      <c r="AD76" s="485"/>
      <c r="AF76" s="50"/>
    </row>
    <row r="77" spans="1:32" ht="30" customHeight="1">
      <c r="A77" s="464">
        <f t="shared" si="14"/>
        <v>4</v>
      </c>
      <c r="B77" s="465"/>
      <c r="C77" s="181"/>
      <c r="D77" s="181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si="14"/>
        <v>5</v>
      </c>
      <c r="B78" s="465"/>
      <c r="C78" s="181"/>
      <c r="D78" s="181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4"/>
        <v>6</v>
      </c>
      <c r="B79" s="465"/>
      <c r="C79" s="181"/>
      <c r="D79" s="181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4"/>
        <v>7</v>
      </c>
      <c r="B80" s="465"/>
      <c r="C80" s="181"/>
      <c r="D80" s="181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4"/>
        <v>8</v>
      </c>
      <c r="B81" s="465"/>
      <c r="C81" s="181"/>
      <c r="D81" s="181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4"/>
        <v>9</v>
      </c>
      <c r="B82" s="465"/>
      <c r="C82" s="181"/>
      <c r="D82" s="181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326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F9C8-2A5A-44AD-B442-24F2370DAE61}">
  <dimension ref="A1:AF87"/>
  <sheetViews>
    <sheetView zoomScale="72" zoomScaleNormal="72" zoomScaleSheetLayoutView="70" workbookViewId="0">
      <selection activeCell="AC22" sqref="AC22:AD2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327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193" t="s">
        <v>17</v>
      </c>
      <c r="L5" s="193" t="s">
        <v>18</v>
      </c>
      <c r="M5" s="193" t="s">
        <v>19</v>
      </c>
      <c r="N5" s="1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5676</v>
      </c>
      <c r="K6" s="15">
        <f>L6+5567+6177+5956+2594</f>
        <v>25970</v>
      </c>
      <c r="L6" s="15">
        <f>3011+2665</f>
        <v>5676</v>
      </c>
      <c r="M6" s="15">
        <f t="shared" ref="M6:M21" si="0">L6-N6</f>
        <v>5676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0.66126086097946291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155</v>
      </c>
      <c r="E7" s="53" t="s">
        <v>207</v>
      </c>
      <c r="F7" s="30" t="s">
        <v>143</v>
      </c>
      <c r="G7" s="12">
        <v>1</v>
      </c>
      <c r="H7" s="13">
        <v>28</v>
      </c>
      <c r="I7" s="31">
        <v>3000</v>
      </c>
      <c r="J7" s="5">
        <v>1621</v>
      </c>
      <c r="K7" s="15">
        <f>L7+3089+1621</f>
        <v>4710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0.66126086097946291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5254</v>
      </c>
      <c r="K8" s="15">
        <f>L8+1658+3024+3826+5621+5758+5746+5871+5666+2439</f>
        <v>44863</v>
      </c>
      <c r="L8" s="15">
        <f>2794+2460</f>
        <v>5254</v>
      </c>
      <c r="M8" s="15">
        <f t="shared" si="0"/>
        <v>5254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0.66126086097946291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255</v>
      </c>
      <c r="F9" s="30" t="s">
        <v>256</v>
      </c>
      <c r="G9" s="33">
        <v>1</v>
      </c>
      <c r="H9" s="35">
        <v>24</v>
      </c>
      <c r="I9" s="7">
        <v>15000</v>
      </c>
      <c r="J9" s="14">
        <v>4474</v>
      </c>
      <c r="K9" s="15">
        <f>L9+5167+5301+2298</f>
        <v>17240</v>
      </c>
      <c r="L9" s="15">
        <f>2108+2366</f>
        <v>4474</v>
      </c>
      <c r="M9" s="15">
        <f t="shared" si="0"/>
        <v>4474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>
        <v>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0.66126086097946291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5092</v>
      </c>
      <c r="K10" s="15">
        <f>L10+3006+4988+687+4584+5534+5337+2364</f>
        <v>31592</v>
      </c>
      <c r="L10" s="15">
        <f>2643+2449</f>
        <v>5092</v>
      </c>
      <c r="M10" s="15">
        <f t="shared" si="0"/>
        <v>5092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0.66126086097946291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5444</v>
      </c>
      <c r="K11" s="15">
        <f>L11+4668+4429+5671+2067</f>
        <v>22279</v>
      </c>
      <c r="L11" s="15">
        <f>2893+2551</f>
        <v>5444</v>
      </c>
      <c r="M11" s="15">
        <f t="shared" si="0"/>
        <v>5444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0.66126086097946291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48500</v>
      </c>
      <c r="J12" s="14">
        <v>4596</v>
      </c>
      <c r="K12" s="15">
        <f>L12+2120+2858+4163+3861+4361+2294+4491+3957+1094</f>
        <v>33795</v>
      </c>
      <c r="L12" s="15">
        <f>2414+2182</f>
        <v>4596</v>
      </c>
      <c r="M12" s="15">
        <f t="shared" si="0"/>
        <v>4596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9">AC12*AB12*(1-O12)</f>
        <v>1</v>
      </c>
      <c r="AE12" s="36">
        <f t="shared" si="7"/>
        <v>0.66126086097946291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241</v>
      </c>
      <c r="F13" s="30" t="s">
        <v>125</v>
      </c>
      <c r="G13" s="33">
        <v>2</v>
      </c>
      <c r="H13" s="35">
        <v>24</v>
      </c>
      <c r="I13" s="7">
        <v>20000</v>
      </c>
      <c r="J13" s="14">
        <v>11362</v>
      </c>
      <c r="K13" s="15">
        <f>L13+2312</f>
        <v>13674</v>
      </c>
      <c r="L13" s="15">
        <f>2950*2+2731*2</f>
        <v>11362</v>
      </c>
      <c r="M13" s="15">
        <f t="shared" si="0"/>
        <v>11362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0.66126086097946291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/>
      <c r="E14" s="53" t="s">
        <v>319</v>
      </c>
      <c r="F14" s="30" t="s">
        <v>125</v>
      </c>
      <c r="G14" s="33" t="s">
        <v>328</v>
      </c>
      <c r="H14" s="35">
        <v>24</v>
      </c>
      <c r="I14" s="7">
        <v>8000</v>
      </c>
      <c r="J14" s="5">
        <v>2866</v>
      </c>
      <c r="K14" s="15">
        <f>L14</f>
        <v>2866</v>
      </c>
      <c r="L14" s="15">
        <f>1433*2</f>
        <v>2866</v>
      </c>
      <c r="M14" s="15">
        <f t="shared" si="0"/>
        <v>2866</v>
      </c>
      <c r="N14" s="15">
        <v>0</v>
      </c>
      <c r="O14" s="58">
        <f t="shared" si="1"/>
        <v>0</v>
      </c>
      <c r="P14" s="39">
        <f t="shared" si="2"/>
        <v>9</v>
      </c>
      <c r="Q14" s="40">
        <f t="shared" si="3"/>
        <v>15</v>
      </c>
      <c r="R14" s="7"/>
      <c r="S14" s="6"/>
      <c r="T14" s="16"/>
      <c r="U14" s="16"/>
      <c r="V14" s="17">
        <v>15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0.375</v>
      </c>
      <c r="AD14" s="10">
        <f t="shared" si="9"/>
        <v>0.375</v>
      </c>
      <c r="AE14" s="36">
        <f t="shared" si="7"/>
        <v>0.66126086097946291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193</v>
      </c>
      <c r="D15" s="52" t="s">
        <v>165</v>
      </c>
      <c r="E15" s="53" t="s">
        <v>278</v>
      </c>
      <c r="F15" s="12" t="s">
        <v>143</v>
      </c>
      <c r="G15" s="12">
        <v>1</v>
      </c>
      <c r="H15" s="13">
        <v>24</v>
      </c>
      <c r="I15" s="31">
        <v>200</v>
      </c>
      <c r="J15" s="14">
        <v>755</v>
      </c>
      <c r="K15" s="15">
        <f>L15+755</f>
        <v>755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0.66126086097946291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3293</v>
      </c>
      <c r="K16" s="15">
        <f>L16+1024+3034+3628+4720</f>
        <v>15699</v>
      </c>
      <c r="L16" s="15">
        <f>470+2823</f>
        <v>3293</v>
      </c>
      <c r="M16" s="15">
        <f t="shared" si="0"/>
        <v>3293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6">
        <f t="shared" si="7"/>
        <v>0.66126086097946291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250000</v>
      </c>
      <c r="J17" s="5">
        <v>13840</v>
      </c>
      <c r="K17" s="15">
        <f>L17</f>
        <v>13840</v>
      </c>
      <c r="L17" s="15">
        <f>717*4+2743*4</f>
        <v>13840</v>
      </c>
      <c r="M17" s="15">
        <f t="shared" si="0"/>
        <v>13840</v>
      </c>
      <c r="N17" s="15">
        <v>0</v>
      </c>
      <c r="O17" s="58">
        <f t="shared" si="1"/>
        <v>0</v>
      </c>
      <c r="P17" s="39">
        <f t="shared" si="2"/>
        <v>15</v>
      </c>
      <c r="Q17" s="40">
        <f t="shared" si="3"/>
        <v>9</v>
      </c>
      <c r="R17" s="7"/>
      <c r="S17" s="6">
        <v>9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0.625</v>
      </c>
      <c r="AD17" s="10">
        <f t="shared" si="6"/>
        <v>0.625</v>
      </c>
      <c r="AE17" s="36">
        <f t="shared" si="7"/>
        <v>0.66126086097946291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112</v>
      </c>
      <c r="D18" s="52" t="s">
        <v>128</v>
      </c>
      <c r="E18" s="53" t="s">
        <v>268</v>
      </c>
      <c r="F18" s="30" t="s">
        <v>146</v>
      </c>
      <c r="G18" s="12">
        <v>1</v>
      </c>
      <c r="H18" s="13">
        <v>28</v>
      </c>
      <c r="I18" s="31">
        <v>30000</v>
      </c>
      <c r="J18" s="5">
        <v>5697</v>
      </c>
      <c r="K18" s="15">
        <f>L18+3274+5285+2595</f>
        <v>16833</v>
      </c>
      <c r="L18" s="15">
        <f>2983+2696</f>
        <v>5679</v>
      </c>
      <c r="M18" s="15">
        <f t="shared" si="0"/>
        <v>5679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0.99684044233807267</v>
      </c>
      <c r="AC18" s="9">
        <f t="shared" si="5"/>
        <v>1</v>
      </c>
      <c r="AD18" s="10">
        <f t="shared" si="6"/>
        <v>0.99684044233807267</v>
      </c>
      <c r="AE18" s="36">
        <f t="shared" si="7"/>
        <v>0.66126086097946291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128</v>
      </c>
      <c r="E19" s="53" t="s">
        <v>318</v>
      </c>
      <c r="F19" s="30" t="s">
        <v>146</v>
      </c>
      <c r="G19" s="33">
        <v>1</v>
      </c>
      <c r="H19" s="35">
        <v>24</v>
      </c>
      <c r="I19" s="7">
        <v>6000</v>
      </c>
      <c r="J19" s="5">
        <v>4433</v>
      </c>
      <c r="K19" s="15">
        <f>L19</f>
        <v>4433</v>
      </c>
      <c r="L19" s="15">
        <f>1690+2743</f>
        <v>4433</v>
      </c>
      <c r="M19" s="15">
        <f t="shared" si="0"/>
        <v>4433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/>
      <c r="T19" s="16">
        <v>3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>AC19*AB19*(1-O19)</f>
        <v>0.875</v>
      </c>
      <c r="AE19" s="36">
        <f t="shared" si="7"/>
        <v>0.66126086097946291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133</v>
      </c>
      <c r="F20" s="30" t="s">
        <v>124</v>
      </c>
      <c r="G20" s="12">
        <v>1</v>
      </c>
      <c r="H20" s="13">
        <v>28</v>
      </c>
      <c r="I20" s="7">
        <v>45000</v>
      </c>
      <c r="J20" s="14">
        <v>800</v>
      </c>
      <c r="K20" s="15">
        <f>L20+1024+3034+3628+4720+700</f>
        <v>13906</v>
      </c>
      <c r="L20" s="15">
        <v>800</v>
      </c>
      <c r="M20" s="15">
        <f t="shared" si="0"/>
        <v>800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20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ref="AD20" si="10">AC20*AB20*(1-O20)</f>
        <v>0.16666666666666666</v>
      </c>
      <c r="AE20" s="36">
        <f t="shared" si="7"/>
        <v>0.66126086097946291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30748</v>
      </c>
      <c r="K21" s="15">
        <f>L21+46004+81588+47056+35856+81716+45768+30748</f>
        <v>368736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0.66126086097946291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1">SUM(I6:I21)</f>
        <v>1193700</v>
      </c>
      <c r="J22" s="19">
        <f t="shared" si="11"/>
        <v>105951</v>
      </c>
      <c r="K22" s="20">
        <f t="shared" si="11"/>
        <v>631191</v>
      </c>
      <c r="L22" s="21">
        <f t="shared" si="11"/>
        <v>72809</v>
      </c>
      <c r="M22" s="20">
        <f t="shared" si="11"/>
        <v>72809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254</v>
      </c>
      <c r="Q22" s="43">
        <f t="shared" si="12"/>
        <v>130</v>
      </c>
      <c r="R22" s="23">
        <f t="shared" si="12"/>
        <v>0</v>
      </c>
      <c r="S22" s="24">
        <f t="shared" si="12"/>
        <v>40</v>
      </c>
      <c r="T22" s="24">
        <f t="shared" si="12"/>
        <v>3</v>
      </c>
      <c r="U22" s="24">
        <f t="shared" si="12"/>
        <v>0</v>
      </c>
      <c r="V22" s="25">
        <f t="shared" si="12"/>
        <v>39</v>
      </c>
      <c r="W22" s="26">
        <f t="shared" si="12"/>
        <v>24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24</v>
      </c>
      <c r="AB22" s="28">
        <f>AVERAGE(AB6:AB21)</f>
        <v>0.81230252764612954</v>
      </c>
      <c r="AC22" s="28">
        <f t="shared" ref="AC22:AD22" si="13">AVERAGE(AC6:AC21)</f>
        <v>0.66145833333333337</v>
      </c>
      <c r="AD22" s="28">
        <f t="shared" si="13"/>
        <v>0.66126086097946291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330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332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194" t="s">
        <v>46</v>
      </c>
      <c r="D51" s="194" t="s">
        <v>47</v>
      </c>
      <c r="E51" s="194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194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120</v>
      </c>
      <c r="B52" s="527"/>
      <c r="C52" s="196" t="s">
        <v>142</v>
      </c>
      <c r="D52" s="196" t="s">
        <v>196</v>
      </c>
      <c r="E52" s="196" t="s">
        <v>255</v>
      </c>
      <c r="F52" s="528" t="s">
        <v>331</v>
      </c>
      <c r="G52" s="529"/>
      <c r="H52" s="529"/>
      <c r="I52" s="529"/>
      <c r="J52" s="529"/>
      <c r="K52" s="529"/>
      <c r="L52" s="529"/>
      <c r="M52" s="530"/>
      <c r="N52" s="195" t="s">
        <v>112</v>
      </c>
      <c r="O52" s="201" t="s">
        <v>214</v>
      </c>
      <c r="P52" s="540" t="s">
        <v>131</v>
      </c>
      <c r="Q52" s="541"/>
      <c r="R52" s="540" t="s">
        <v>158</v>
      </c>
      <c r="S52" s="542"/>
      <c r="T52" s="542"/>
      <c r="U52" s="541"/>
      <c r="V52" s="510" t="s">
        <v>151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112</v>
      </c>
      <c r="B53" s="527"/>
      <c r="C53" s="196" t="s">
        <v>214</v>
      </c>
      <c r="D53" s="196" t="s">
        <v>131</v>
      </c>
      <c r="E53" s="196" t="s">
        <v>158</v>
      </c>
      <c r="F53" s="528" t="s">
        <v>235</v>
      </c>
      <c r="G53" s="529"/>
      <c r="H53" s="529"/>
      <c r="I53" s="529"/>
      <c r="J53" s="529"/>
      <c r="K53" s="529"/>
      <c r="L53" s="529"/>
      <c r="M53" s="530"/>
      <c r="N53" s="195" t="s">
        <v>120</v>
      </c>
      <c r="O53" s="201" t="s">
        <v>142</v>
      </c>
      <c r="P53" s="540" t="s">
        <v>196</v>
      </c>
      <c r="Q53" s="541"/>
      <c r="R53" s="540" t="s">
        <v>255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121</v>
      </c>
      <c r="B54" s="527"/>
      <c r="C54" s="196" t="s">
        <v>201</v>
      </c>
      <c r="D54" s="196"/>
      <c r="E54" s="196" t="s">
        <v>319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195" t="s">
        <v>120</v>
      </c>
      <c r="O54" s="201" t="s">
        <v>147</v>
      </c>
      <c r="P54" s="540" t="s">
        <v>115</v>
      </c>
      <c r="Q54" s="541"/>
      <c r="R54" s="540" t="s">
        <v>242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196" t="s">
        <v>174</v>
      </c>
      <c r="D55" s="196" t="s">
        <v>115</v>
      </c>
      <c r="E55" s="196" t="s">
        <v>133</v>
      </c>
      <c r="F55" s="528" t="s">
        <v>151</v>
      </c>
      <c r="G55" s="529"/>
      <c r="H55" s="529"/>
      <c r="I55" s="529"/>
      <c r="J55" s="529"/>
      <c r="K55" s="529"/>
      <c r="L55" s="529"/>
      <c r="M55" s="530"/>
      <c r="N55" s="195"/>
      <c r="O55" s="201"/>
      <c r="P55" s="540"/>
      <c r="Q55" s="541"/>
      <c r="R55" s="540"/>
      <c r="S55" s="542"/>
      <c r="T55" s="542"/>
      <c r="U55" s="541"/>
      <c r="V55" s="510"/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121</v>
      </c>
      <c r="B56" s="527"/>
      <c r="C56" s="196" t="s">
        <v>141</v>
      </c>
      <c r="D56" s="196" t="s">
        <v>131</v>
      </c>
      <c r="E56" s="196" t="s">
        <v>329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195"/>
      <c r="O56" s="201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196" t="s">
        <v>194</v>
      </c>
      <c r="D57" s="196" t="s">
        <v>128</v>
      </c>
      <c r="E57" s="196" t="s">
        <v>318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195"/>
      <c r="O57" s="201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196"/>
      <c r="D58" s="196"/>
      <c r="E58" s="196"/>
      <c r="F58" s="528"/>
      <c r="G58" s="529"/>
      <c r="H58" s="529"/>
      <c r="I58" s="529"/>
      <c r="J58" s="529"/>
      <c r="K58" s="529"/>
      <c r="L58" s="529"/>
      <c r="M58" s="530"/>
      <c r="N58" s="195"/>
      <c r="O58" s="201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196"/>
      <c r="D59" s="196"/>
      <c r="E59" s="196"/>
      <c r="F59" s="528"/>
      <c r="G59" s="529"/>
      <c r="H59" s="529"/>
      <c r="I59" s="529"/>
      <c r="J59" s="529"/>
      <c r="K59" s="529"/>
      <c r="L59" s="529"/>
      <c r="M59" s="530"/>
      <c r="N59" s="195"/>
      <c r="O59" s="201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196"/>
      <c r="D60" s="196"/>
      <c r="E60" s="196"/>
      <c r="F60" s="528"/>
      <c r="G60" s="529"/>
      <c r="H60" s="529"/>
      <c r="I60" s="529"/>
      <c r="J60" s="529"/>
      <c r="K60" s="529"/>
      <c r="L60" s="529"/>
      <c r="M60" s="530"/>
      <c r="N60" s="195"/>
      <c r="O60" s="201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197"/>
      <c r="D61" s="198"/>
      <c r="E61" s="198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333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199" t="s">
        <v>2</v>
      </c>
      <c r="D63" s="199" t="s">
        <v>37</v>
      </c>
      <c r="E63" s="199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199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120</v>
      </c>
      <c r="D64" s="203"/>
      <c r="E64" s="200" t="s">
        <v>165</v>
      </c>
      <c r="F64" s="513" t="s">
        <v>334</v>
      </c>
      <c r="G64" s="514"/>
      <c r="H64" s="514"/>
      <c r="I64" s="514"/>
      <c r="J64" s="515"/>
      <c r="K64" s="497">
        <v>8301</v>
      </c>
      <c r="L64" s="497"/>
      <c r="M64" s="51" t="s">
        <v>335</v>
      </c>
      <c r="N64" s="511" t="s">
        <v>180</v>
      </c>
      <c r="O64" s="511"/>
      <c r="P64" s="512">
        <v>50</v>
      </c>
      <c r="Q64" s="512"/>
      <c r="R64" s="510" t="s">
        <v>336</v>
      </c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120</v>
      </c>
      <c r="D65" s="203"/>
      <c r="E65" s="200" t="s">
        <v>128</v>
      </c>
      <c r="F65" s="513" t="s">
        <v>337</v>
      </c>
      <c r="G65" s="514"/>
      <c r="H65" s="514"/>
      <c r="I65" s="514"/>
      <c r="J65" s="515"/>
      <c r="K65" s="497">
        <v>7301</v>
      </c>
      <c r="L65" s="497"/>
      <c r="M65" s="51" t="s">
        <v>248</v>
      </c>
      <c r="N65" s="511" t="s">
        <v>223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 t="s">
        <v>120</v>
      </c>
      <c r="D66" s="203"/>
      <c r="E66" s="200" t="s">
        <v>115</v>
      </c>
      <c r="F66" s="513" t="s">
        <v>338</v>
      </c>
      <c r="G66" s="514"/>
      <c r="H66" s="514"/>
      <c r="I66" s="514"/>
      <c r="J66" s="515"/>
      <c r="K66" s="497" t="s">
        <v>256</v>
      </c>
      <c r="L66" s="497"/>
      <c r="M66" s="51" t="s">
        <v>248</v>
      </c>
      <c r="N66" s="511" t="s">
        <v>223</v>
      </c>
      <c r="O66" s="511"/>
      <c r="P66" s="512"/>
      <c r="Q66" s="512"/>
      <c r="R66" s="510" t="s">
        <v>340</v>
      </c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 t="s">
        <v>120</v>
      </c>
      <c r="D67" s="203"/>
      <c r="E67" s="200" t="s">
        <v>196</v>
      </c>
      <c r="F67" s="513" t="s">
        <v>339</v>
      </c>
      <c r="G67" s="514"/>
      <c r="H67" s="514"/>
      <c r="I67" s="514"/>
      <c r="J67" s="515"/>
      <c r="K67" s="497" t="s">
        <v>256</v>
      </c>
      <c r="L67" s="497"/>
      <c r="M67" s="51" t="s">
        <v>248</v>
      </c>
      <c r="N67" s="511" t="s">
        <v>223</v>
      </c>
      <c r="O67" s="511"/>
      <c r="P67" s="512">
        <v>50</v>
      </c>
      <c r="Q67" s="512"/>
      <c r="R67" s="510" t="s">
        <v>341</v>
      </c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203"/>
      <c r="E68" s="200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203"/>
      <c r="E69" s="200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203"/>
      <c r="E70" s="200"/>
      <c r="F70" s="505"/>
      <c r="G70" s="497"/>
      <c r="H70" s="497"/>
      <c r="I70" s="497"/>
      <c r="J70" s="497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203"/>
      <c r="E71" s="200"/>
      <c r="F71" s="505"/>
      <c r="G71" s="497"/>
      <c r="H71" s="497"/>
      <c r="I71" s="497"/>
      <c r="J71" s="497"/>
      <c r="K71" s="497"/>
      <c r="L71" s="497"/>
      <c r="M71" s="51"/>
      <c r="N71" s="506"/>
      <c r="O71" s="507"/>
      <c r="P71" s="508"/>
      <c r="Q71" s="509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6.25" customHeight="1" thickBot="1">
      <c r="A72" s="477" t="s">
        <v>342</v>
      </c>
      <c r="B72" s="477"/>
      <c r="C72" s="477"/>
      <c r="D72" s="477"/>
      <c r="E72" s="47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8" t="s">
        <v>111</v>
      </c>
      <c r="B73" s="479"/>
      <c r="C73" s="202" t="s">
        <v>2</v>
      </c>
      <c r="D73" s="202" t="s">
        <v>37</v>
      </c>
      <c r="E73" s="202" t="s">
        <v>3</v>
      </c>
      <c r="F73" s="479" t="s">
        <v>38</v>
      </c>
      <c r="G73" s="479"/>
      <c r="H73" s="479"/>
      <c r="I73" s="479"/>
      <c r="J73" s="479"/>
      <c r="K73" s="499" t="s">
        <v>58</v>
      </c>
      <c r="L73" s="500"/>
      <c r="M73" s="500"/>
      <c r="N73" s="500"/>
      <c r="O73" s="500"/>
      <c r="P73" s="500"/>
      <c r="Q73" s="500"/>
      <c r="R73" s="500"/>
      <c r="S73" s="501"/>
      <c r="T73" s="479" t="s">
        <v>49</v>
      </c>
      <c r="U73" s="479"/>
      <c r="V73" s="499" t="s">
        <v>50</v>
      </c>
      <c r="W73" s="501"/>
      <c r="X73" s="500" t="s">
        <v>51</v>
      </c>
      <c r="Y73" s="500"/>
      <c r="Z73" s="500"/>
      <c r="AA73" s="500"/>
      <c r="AB73" s="500"/>
      <c r="AC73" s="500"/>
      <c r="AD73" s="502"/>
      <c r="AF73" s="50"/>
    </row>
    <row r="74" spans="1:32" ht="33.75" customHeight="1">
      <c r="A74" s="471">
        <v>1</v>
      </c>
      <c r="B74" s="472"/>
      <c r="C74" s="204" t="s">
        <v>112</v>
      </c>
      <c r="D74" s="204"/>
      <c r="E74" s="65" t="s">
        <v>117</v>
      </c>
      <c r="F74" s="486" t="s">
        <v>116</v>
      </c>
      <c r="G74" s="487"/>
      <c r="H74" s="487"/>
      <c r="I74" s="487"/>
      <c r="J74" s="488"/>
      <c r="K74" s="489" t="s">
        <v>122</v>
      </c>
      <c r="L74" s="490"/>
      <c r="M74" s="490"/>
      <c r="N74" s="490"/>
      <c r="O74" s="490"/>
      <c r="P74" s="490"/>
      <c r="Q74" s="490"/>
      <c r="R74" s="490"/>
      <c r="S74" s="491"/>
      <c r="T74" s="492">
        <v>43675</v>
      </c>
      <c r="U74" s="493"/>
      <c r="V74" s="494"/>
      <c r="W74" s="494"/>
      <c r="X74" s="495"/>
      <c r="Y74" s="495"/>
      <c r="Z74" s="495"/>
      <c r="AA74" s="495"/>
      <c r="AB74" s="495"/>
      <c r="AC74" s="495"/>
      <c r="AD74" s="496"/>
      <c r="AF74" s="50"/>
    </row>
    <row r="75" spans="1:32" ht="30" customHeight="1">
      <c r="A75" s="464">
        <f>A74+1</f>
        <v>2</v>
      </c>
      <c r="B75" s="465"/>
      <c r="C75" s="203"/>
      <c r="D75" s="203"/>
      <c r="E75" s="32"/>
      <c r="F75" s="465"/>
      <c r="G75" s="465"/>
      <c r="H75" s="465"/>
      <c r="I75" s="465"/>
      <c r="J75" s="465"/>
      <c r="K75" s="480"/>
      <c r="L75" s="481"/>
      <c r="M75" s="481"/>
      <c r="N75" s="481"/>
      <c r="O75" s="481"/>
      <c r="P75" s="481"/>
      <c r="Q75" s="481"/>
      <c r="R75" s="481"/>
      <c r="S75" s="482"/>
      <c r="T75" s="483"/>
      <c r="U75" s="483"/>
      <c r="V75" s="483"/>
      <c r="W75" s="483"/>
      <c r="X75" s="484"/>
      <c r="Y75" s="484"/>
      <c r="Z75" s="484"/>
      <c r="AA75" s="484"/>
      <c r="AB75" s="484"/>
      <c r="AC75" s="484"/>
      <c r="AD75" s="485"/>
      <c r="AF75" s="50"/>
    </row>
    <row r="76" spans="1:32" ht="30" customHeight="1">
      <c r="A76" s="464">
        <f t="shared" ref="A76:A82" si="14">A75+1</f>
        <v>3</v>
      </c>
      <c r="B76" s="465"/>
      <c r="C76" s="203"/>
      <c r="D76" s="203"/>
      <c r="E76" s="32"/>
      <c r="F76" s="465"/>
      <c r="G76" s="465"/>
      <c r="H76" s="465"/>
      <c r="I76" s="465"/>
      <c r="J76" s="465"/>
      <c r="K76" s="480"/>
      <c r="L76" s="481"/>
      <c r="M76" s="481"/>
      <c r="N76" s="481"/>
      <c r="O76" s="481"/>
      <c r="P76" s="481"/>
      <c r="Q76" s="481"/>
      <c r="R76" s="481"/>
      <c r="S76" s="482"/>
      <c r="T76" s="483"/>
      <c r="U76" s="483"/>
      <c r="V76" s="483"/>
      <c r="W76" s="483"/>
      <c r="X76" s="484"/>
      <c r="Y76" s="484"/>
      <c r="Z76" s="484"/>
      <c r="AA76" s="484"/>
      <c r="AB76" s="484"/>
      <c r="AC76" s="484"/>
      <c r="AD76" s="485"/>
      <c r="AF76" s="50"/>
    </row>
    <row r="77" spans="1:32" ht="30" customHeight="1">
      <c r="A77" s="464">
        <f t="shared" si="14"/>
        <v>4</v>
      </c>
      <c r="B77" s="465"/>
      <c r="C77" s="203"/>
      <c r="D77" s="203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si="14"/>
        <v>5</v>
      </c>
      <c r="B78" s="465"/>
      <c r="C78" s="203"/>
      <c r="D78" s="203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4"/>
        <v>6</v>
      </c>
      <c r="B79" s="465"/>
      <c r="C79" s="203"/>
      <c r="D79" s="203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4"/>
        <v>7</v>
      </c>
      <c r="B80" s="465"/>
      <c r="C80" s="203"/>
      <c r="D80" s="203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4"/>
        <v>8</v>
      </c>
      <c r="B81" s="465"/>
      <c r="C81" s="203"/>
      <c r="D81" s="203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4"/>
        <v>9</v>
      </c>
      <c r="B82" s="465"/>
      <c r="C82" s="203"/>
      <c r="D82" s="203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343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8AA8-A3F7-4726-A7B8-D21547F35FE4}">
  <dimension ref="A1:AF88"/>
  <sheetViews>
    <sheetView zoomScale="72" zoomScaleNormal="72" zoomScaleSheetLayoutView="70" workbookViewId="0">
      <selection activeCell="AC23" sqref="AC23:AD2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344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16" t="s">
        <v>17</v>
      </c>
      <c r="L5" s="216" t="s">
        <v>18</v>
      </c>
      <c r="M5" s="216" t="s">
        <v>19</v>
      </c>
      <c r="N5" s="2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6103</v>
      </c>
      <c r="K6" s="15">
        <f>L6+5567+6177+5956+2594+5676</f>
        <v>32073</v>
      </c>
      <c r="L6" s="15">
        <f>3044+3059</f>
        <v>6103</v>
      </c>
      <c r="M6" s="15">
        <f t="shared" ref="M6:M22" si="0">L6-N6</f>
        <v>6103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24</v>
      </c>
      <c r="Q6" s="40">
        <f t="shared" ref="Q6:Q22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6">
        <f t="shared" ref="AE6:AE22" si="7">$AD$23</f>
        <v>0.58823529411764719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155</v>
      </c>
      <c r="E7" s="53" t="s">
        <v>207</v>
      </c>
      <c r="F7" s="30" t="s">
        <v>143</v>
      </c>
      <c r="G7" s="12">
        <v>1</v>
      </c>
      <c r="H7" s="13">
        <v>28</v>
      </c>
      <c r="I7" s="31">
        <v>3000</v>
      </c>
      <c r="J7" s="5">
        <v>1621</v>
      </c>
      <c r="K7" s="15">
        <f>L7+3089+1621</f>
        <v>4710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0.58823529411764719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5051</v>
      </c>
      <c r="K8" s="15">
        <f>L8+1658+3024+3826+5621+5758+5746+5871+5666+2439+5254</f>
        <v>49914</v>
      </c>
      <c r="L8" s="15">
        <f>2288+2763</f>
        <v>5051</v>
      </c>
      <c r="M8" s="15">
        <f t="shared" si="0"/>
        <v>5051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0.58823529411764719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255</v>
      </c>
      <c r="F9" s="30" t="s">
        <v>256</v>
      </c>
      <c r="G9" s="33">
        <v>1</v>
      </c>
      <c r="H9" s="35">
        <v>24</v>
      </c>
      <c r="I9" s="7">
        <v>15000</v>
      </c>
      <c r="J9" s="14">
        <v>1430</v>
      </c>
      <c r="K9" s="15">
        <f>L9+5167+5301+2298+4474</f>
        <v>18670</v>
      </c>
      <c r="L9" s="15">
        <f>699+731</f>
        <v>1430</v>
      </c>
      <c r="M9" s="15">
        <f t="shared" si="0"/>
        <v>1430</v>
      </c>
      <c r="N9" s="15">
        <v>0</v>
      </c>
      <c r="O9" s="58">
        <f t="shared" si="1"/>
        <v>0</v>
      </c>
      <c r="P9" s="39">
        <f t="shared" si="2"/>
        <v>8</v>
      </c>
      <c r="Q9" s="40">
        <f t="shared" si="3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6">
        <f t="shared" si="7"/>
        <v>0.58823529411764719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2217</v>
      </c>
      <c r="K10" s="15">
        <f>L10+3006+4988+687+4584+5534+5337+2364+5092</f>
        <v>33809</v>
      </c>
      <c r="L10" s="15">
        <v>2217</v>
      </c>
      <c r="M10" s="15">
        <f t="shared" si="0"/>
        <v>2217</v>
      </c>
      <c r="N10" s="15">
        <v>0</v>
      </c>
      <c r="O10" s="58">
        <f t="shared" si="1"/>
        <v>0</v>
      </c>
      <c r="P10" s="39">
        <f t="shared" si="2"/>
        <v>12</v>
      </c>
      <c r="Q10" s="40">
        <f t="shared" si="3"/>
        <v>12</v>
      </c>
      <c r="R10" s="7"/>
      <c r="S10" s="6">
        <v>12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</v>
      </c>
      <c r="AD10" s="10">
        <f>AC10*AB10*(1-O10)</f>
        <v>0.5</v>
      </c>
      <c r="AE10" s="36">
        <f t="shared" si="7"/>
        <v>0.58823529411764719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3967</v>
      </c>
      <c r="K11" s="15">
        <f>L11+4668+4429+5671+2067+5444</f>
        <v>26246</v>
      </c>
      <c r="L11" s="15">
        <f>2461+1506</f>
        <v>3967</v>
      </c>
      <c r="M11" s="15">
        <f t="shared" si="0"/>
        <v>3967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>AC11*AB11*(1-O11)</f>
        <v>0.79166666666666663</v>
      </c>
      <c r="AE11" s="36">
        <f t="shared" si="7"/>
        <v>0.58823529411764719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48500</v>
      </c>
      <c r="J12" s="14">
        <v>4805</v>
      </c>
      <c r="K12" s="15">
        <f>L12+2120+2858+4163+3861+4361+2294+4491+3957+1094+4596</f>
        <v>38600</v>
      </c>
      <c r="L12" s="15">
        <f>2363+2442</f>
        <v>4805</v>
      </c>
      <c r="M12" s="15">
        <f t="shared" si="0"/>
        <v>4805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9">AC12*AB12*(1-O12)</f>
        <v>1</v>
      </c>
      <c r="AE12" s="36">
        <f t="shared" si="7"/>
        <v>0.58823529411764719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241</v>
      </c>
      <c r="F13" s="30" t="s">
        <v>125</v>
      </c>
      <c r="G13" s="33">
        <v>2</v>
      </c>
      <c r="H13" s="35">
        <v>24</v>
      </c>
      <c r="I13" s="7">
        <v>20000</v>
      </c>
      <c r="J13" s="14">
        <v>7908</v>
      </c>
      <c r="K13" s="15">
        <f>L13+2312+11362</f>
        <v>21582</v>
      </c>
      <c r="L13" s="15">
        <f>2099*2+1855*2</f>
        <v>7908</v>
      </c>
      <c r="M13" s="15">
        <f t="shared" si="0"/>
        <v>7908</v>
      </c>
      <c r="N13" s="15">
        <v>0</v>
      </c>
      <c r="O13" s="58">
        <f t="shared" si="1"/>
        <v>0</v>
      </c>
      <c r="P13" s="39">
        <f t="shared" si="2"/>
        <v>18</v>
      </c>
      <c r="Q13" s="40">
        <f t="shared" si="3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0.75</v>
      </c>
      <c r="AD13" s="10">
        <f t="shared" si="9"/>
        <v>0.75</v>
      </c>
      <c r="AE13" s="36">
        <f t="shared" si="7"/>
        <v>0.58823529411764719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/>
      <c r="E14" s="53" t="s">
        <v>319</v>
      </c>
      <c r="F14" s="30" t="s">
        <v>125</v>
      </c>
      <c r="G14" s="33" t="s">
        <v>328</v>
      </c>
      <c r="H14" s="35">
        <v>24</v>
      </c>
      <c r="I14" s="7">
        <v>8000</v>
      </c>
      <c r="J14" s="5">
        <v>2984</v>
      </c>
      <c r="K14" s="15">
        <f>L14+2866</f>
        <v>5850</v>
      </c>
      <c r="L14" s="15">
        <f>1492*2</f>
        <v>2984</v>
      </c>
      <c r="M14" s="15">
        <f t="shared" si="0"/>
        <v>2984</v>
      </c>
      <c r="N14" s="15">
        <v>0</v>
      </c>
      <c r="O14" s="58">
        <f t="shared" si="1"/>
        <v>0</v>
      </c>
      <c r="P14" s="39">
        <f t="shared" si="2"/>
        <v>11</v>
      </c>
      <c r="Q14" s="40">
        <f t="shared" si="3"/>
        <v>13</v>
      </c>
      <c r="R14" s="7"/>
      <c r="S14" s="6"/>
      <c r="T14" s="16"/>
      <c r="U14" s="16"/>
      <c r="V14" s="17">
        <v>13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0.45833333333333331</v>
      </c>
      <c r="AD14" s="10">
        <f t="shared" si="9"/>
        <v>0.45833333333333331</v>
      </c>
      <c r="AE14" s="36">
        <f t="shared" si="7"/>
        <v>0.58823529411764719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334</v>
      </c>
      <c r="F15" s="12">
        <v>8301</v>
      </c>
      <c r="G15" s="12">
        <v>1</v>
      </c>
      <c r="H15" s="13">
        <v>24</v>
      </c>
      <c r="I15" s="31">
        <v>1000</v>
      </c>
      <c r="J15" s="14">
        <v>1679</v>
      </c>
      <c r="K15" s="15">
        <f>L15</f>
        <v>1679</v>
      </c>
      <c r="L15" s="15">
        <v>1679</v>
      </c>
      <c r="M15" s="15">
        <f t="shared" si="0"/>
        <v>1679</v>
      </c>
      <c r="N15" s="15">
        <v>0</v>
      </c>
      <c r="O15" s="58">
        <f t="shared" si="1"/>
        <v>0</v>
      </c>
      <c r="P15" s="39">
        <f t="shared" si="2"/>
        <v>9</v>
      </c>
      <c r="Q15" s="40">
        <f t="shared" si="3"/>
        <v>15</v>
      </c>
      <c r="R15" s="7"/>
      <c r="S15" s="6"/>
      <c r="T15" s="16"/>
      <c r="U15" s="16"/>
      <c r="V15" s="17"/>
      <c r="W15" s="5">
        <v>15</v>
      </c>
      <c r="X15" s="16"/>
      <c r="Y15" s="16"/>
      <c r="Z15" s="16"/>
      <c r="AA15" s="18"/>
      <c r="AB15" s="8">
        <f t="shared" si="4"/>
        <v>1</v>
      </c>
      <c r="AC15" s="9">
        <f t="shared" si="5"/>
        <v>0.375</v>
      </c>
      <c r="AD15" s="10">
        <f t="shared" si="6"/>
        <v>0.375</v>
      </c>
      <c r="AE15" s="36">
        <f t="shared" si="7"/>
        <v>0.58823529411764719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5714</v>
      </c>
      <c r="K16" s="15">
        <f>L16+1024+3034+3628+4720+3293</f>
        <v>21413</v>
      </c>
      <c r="L16" s="15">
        <f>2866+2848</f>
        <v>5714</v>
      </c>
      <c r="M16" s="15">
        <f t="shared" si="0"/>
        <v>5714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0.58823529411764719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250000</v>
      </c>
      <c r="J17" s="5">
        <v>22204</v>
      </c>
      <c r="K17" s="15">
        <f>L17+13840</f>
        <v>36044</v>
      </c>
      <c r="L17" s="15">
        <f>2788*4+2763*4</f>
        <v>22204</v>
      </c>
      <c r="M17" s="15">
        <f t="shared" si="0"/>
        <v>22204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0.58823529411764719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242</v>
      </c>
      <c r="F18" s="30" t="s">
        <v>119</v>
      </c>
      <c r="G18" s="12">
        <v>1</v>
      </c>
      <c r="H18" s="13">
        <v>28</v>
      </c>
      <c r="I18" s="31">
        <v>15000</v>
      </c>
      <c r="J18" s="5">
        <v>4957</v>
      </c>
      <c r="K18" s="15">
        <f>L18</f>
        <v>4957</v>
      </c>
      <c r="L18" s="15">
        <f>2293+2664</f>
        <v>4957</v>
      </c>
      <c r="M18" s="15">
        <f t="shared" si="0"/>
        <v>4957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0.58823529411764719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128</v>
      </c>
      <c r="E19" s="53" t="s">
        <v>318</v>
      </c>
      <c r="F19" s="30" t="s">
        <v>146</v>
      </c>
      <c r="G19" s="33">
        <v>1</v>
      </c>
      <c r="H19" s="35">
        <v>24</v>
      </c>
      <c r="I19" s="7">
        <v>6000</v>
      </c>
      <c r="J19" s="5">
        <v>1715</v>
      </c>
      <c r="K19" s="15">
        <f>L19+4433</f>
        <v>6148</v>
      </c>
      <c r="L19" s="15">
        <v>1715</v>
      </c>
      <c r="M19" s="15">
        <f t="shared" si="0"/>
        <v>1715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/>
      <c r="T19" s="16"/>
      <c r="U19" s="16"/>
      <c r="V19" s="17"/>
      <c r="W19" s="5">
        <v>16</v>
      </c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>AC19*AB19*(1-O19)</f>
        <v>0.33333333333333331</v>
      </c>
      <c r="AE19" s="36">
        <f t="shared" si="7"/>
        <v>0.58823529411764719</v>
      </c>
      <c r="AF19" s="84">
        <f t="shared" si="8"/>
        <v>14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131</v>
      </c>
      <c r="E20" s="53" t="s">
        <v>345</v>
      </c>
      <c r="F20" s="30" t="s">
        <v>256</v>
      </c>
      <c r="G20" s="33">
        <v>1</v>
      </c>
      <c r="H20" s="35">
        <v>24</v>
      </c>
      <c r="I20" s="7">
        <v>4000</v>
      </c>
      <c r="J20" s="5">
        <v>3226</v>
      </c>
      <c r="K20" s="15">
        <f>L20</f>
        <v>3226</v>
      </c>
      <c r="L20" s="15">
        <f>463+2763</f>
        <v>3226</v>
      </c>
      <c r="M20" s="15">
        <f t="shared" ref="M20" si="10">L20-N20</f>
        <v>3226</v>
      </c>
      <c r="N20" s="15">
        <v>0</v>
      </c>
      <c r="O20" s="58">
        <f t="shared" ref="O20" si="11">IF(L20=0,"0",N20/L20)</f>
        <v>0</v>
      </c>
      <c r="P20" s="39">
        <f t="shared" ref="P20" si="12">IF(L20=0,"0",(24-Q20))</f>
        <v>14</v>
      </c>
      <c r="Q20" s="40">
        <f t="shared" ref="Q20" si="13">SUM(R20:AA20)</f>
        <v>10</v>
      </c>
      <c r="R20" s="7"/>
      <c r="S20" s="6"/>
      <c r="T20" s="16">
        <v>10</v>
      </c>
      <c r="U20" s="16"/>
      <c r="V20" s="17"/>
      <c r="W20" s="5"/>
      <c r="X20" s="16"/>
      <c r="Y20" s="16"/>
      <c r="Z20" s="16"/>
      <c r="AA20" s="18"/>
      <c r="AB20" s="8">
        <f t="shared" ref="AB20" si="14">IF(J20=0,"0",(L20/J20))</f>
        <v>1</v>
      </c>
      <c r="AC20" s="9">
        <f t="shared" ref="AC20" si="15">IF(P20=0,"0",(P20/24))</f>
        <v>0.58333333333333337</v>
      </c>
      <c r="AD20" s="10">
        <f>AC20*AB20*(1-O20)</f>
        <v>0.58333333333333337</v>
      </c>
      <c r="AE20" s="36">
        <f t="shared" si="7"/>
        <v>0.58823529411764719</v>
      </c>
      <c r="AF20" s="84">
        <f t="shared" ref="AF20" si="16">A20</f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133</v>
      </c>
      <c r="F21" s="30" t="s">
        <v>124</v>
      </c>
      <c r="G21" s="12">
        <v>1</v>
      </c>
      <c r="H21" s="13">
        <v>28</v>
      </c>
      <c r="I21" s="7">
        <v>45000</v>
      </c>
      <c r="J21" s="14">
        <v>800</v>
      </c>
      <c r="K21" s="15">
        <f>L21+1024+3034+3628+4720+700+800</f>
        <v>13906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/>
      <c r="X21" s="16"/>
      <c r="Y21" s="16"/>
      <c r="Z21" s="16"/>
      <c r="AA21" s="18">
        <v>24</v>
      </c>
      <c r="AB21" s="8">
        <f t="shared" si="4"/>
        <v>0</v>
      </c>
      <c r="AC21" s="9">
        <f t="shared" si="5"/>
        <v>0</v>
      </c>
      <c r="AD21" s="10">
        <f t="shared" ref="AD21" si="17">AC21*AB21*(1-O21)</f>
        <v>0</v>
      </c>
      <c r="AE21" s="36">
        <f t="shared" si="7"/>
        <v>0.58823529411764719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152</v>
      </c>
      <c r="F22" s="12" t="s">
        <v>114</v>
      </c>
      <c r="G22" s="12">
        <v>4</v>
      </c>
      <c r="H22" s="35">
        <v>20</v>
      </c>
      <c r="I22" s="7">
        <v>500000</v>
      </c>
      <c r="J22" s="14">
        <v>30748</v>
      </c>
      <c r="K22" s="15">
        <f>L22+46004+81588+47056+35856+81716+45768+30748</f>
        <v>368736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0.58823529411764719</v>
      </c>
      <c r="AF22" s="84">
        <f t="shared" si="8"/>
        <v>16</v>
      </c>
    </row>
    <row r="23" spans="1:32" ht="31.5" customHeight="1" thickBot="1">
      <c r="A23" s="545" t="s">
        <v>34</v>
      </c>
      <c r="B23" s="546"/>
      <c r="C23" s="546"/>
      <c r="D23" s="546"/>
      <c r="E23" s="546"/>
      <c r="F23" s="546"/>
      <c r="G23" s="546"/>
      <c r="H23" s="547"/>
      <c r="I23" s="22">
        <f t="shared" ref="I23:N23" si="18">SUM(I6:I22)</f>
        <v>1183500</v>
      </c>
      <c r="J23" s="19">
        <f t="shared" si="18"/>
        <v>107129</v>
      </c>
      <c r="K23" s="20">
        <f t="shared" si="18"/>
        <v>687563</v>
      </c>
      <c r="L23" s="21">
        <f t="shared" si="18"/>
        <v>73960</v>
      </c>
      <c r="M23" s="20">
        <f t="shared" si="18"/>
        <v>73960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240</v>
      </c>
      <c r="Q23" s="43">
        <f t="shared" si="19"/>
        <v>168</v>
      </c>
      <c r="R23" s="23">
        <f t="shared" si="19"/>
        <v>0</v>
      </c>
      <c r="S23" s="24">
        <f t="shared" si="19"/>
        <v>41</v>
      </c>
      <c r="T23" s="24">
        <f t="shared" si="19"/>
        <v>11</v>
      </c>
      <c r="U23" s="24">
        <f t="shared" si="19"/>
        <v>0</v>
      </c>
      <c r="V23" s="25">
        <f t="shared" si="19"/>
        <v>37</v>
      </c>
      <c r="W23" s="26">
        <f t="shared" si="19"/>
        <v>31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48</v>
      </c>
      <c r="AB23" s="28">
        <f>AVERAGE(AB6:AB22)</f>
        <v>0.82352941176470584</v>
      </c>
      <c r="AC23" s="28">
        <f t="shared" ref="AC23:AD23" si="20">AVERAGE(AC6:AC22)</f>
        <v>0.58823529411764719</v>
      </c>
      <c r="AD23" s="28">
        <f t="shared" si="20"/>
        <v>0.58823529411764719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8" t="s">
        <v>45</v>
      </c>
      <c r="B50" s="548"/>
      <c r="C50" s="548"/>
      <c r="D50" s="548"/>
      <c r="E50" s="5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9" t="s">
        <v>346</v>
      </c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1"/>
      <c r="N51" s="552" t="s">
        <v>348</v>
      </c>
      <c r="O51" s="553"/>
      <c r="P51" s="553"/>
      <c r="Q51" s="553"/>
      <c r="R51" s="553"/>
      <c r="S51" s="553"/>
      <c r="T51" s="553"/>
      <c r="U51" s="553"/>
      <c r="V51" s="553"/>
      <c r="W51" s="553"/>
      <c r="X51" s="553"/>
      <c r="Y51" s="553"/>
      <c r="Z51" s="553"/>
      <c r="AA51" s="553"/>
      <c r="AB51" s="553"/>
      <c r="AC51" s="553"/>
      <c r="AD51" s="554"/>
    </row>
    <row r="52" spans="1:32" ht="27" customHeight="1">
      <c r="A52" s="555" t="s">
        <v>2</v>
      </c>
      <c r="B52" s="556"/>
      <c r="C52" s="215" t="s">
        <v>46</v>
      </c>
      <c r="D52" s="215" t="s">
        <v>47</v>
      </c>
      <c r="E52" s="215" t="s">
        <v>107</v>
      </c>
      <c r="F52" s="557" t="s">
        <v>106</v>
      </c>
      <c r="G52" s="558"/>
      <c r="H52" s="558"/>
      <c r="I52" s="558"/>
      <c r="J52" s="558"/>
      <c r="K52" s="558"/>
      <c r="L52" s="558"/>
      <c r="M52" s="559"/>
      <c r="N52" s="67" t="s">
        <v>110</v>
      </c>
      <c r="O52" s="215" t="s">
        <v>46</v>
      </c>
      <c r="P52" s="557" t="s">
        <v>47</v>
      </c>
      <c r="Q52" s="560"/>
      <c r="R52" s="557" t="s">
        <v>38</v>
      </c>
      <c r="S52" s="558"/>
      <c r="T52" s="558"/>
      <c r="U52" s="560"/>
      <c r="V52" s="557" t="s">
        <v>48</v>
      </c>
      <c r="W52" s="558"/>
      <c r="X52" s="558"/>
      <c r="Y52" s="558"/>
      <c r="Z52" s="558"/>
      <c r="AA52" s="558"/>
      <c r="AB52" s="558"/>
      <c r="AC52" s="558"/>
      <c r="AD52" s="559"/>
    </row>
    <row r="53" spans="1:32" ht="27" customHeight="1">
      <c r="A53" s="526" t="s">
        <v>120</v>
      </c>
      <c r="B53" s="527"/>
      <c r="C53" s="212" t="s">
        <v>142</v>
      </c>
      <c r="D53" s="212" t="s">
        <v>196</v>
      </c>
      <c r="E53" s="212" t="s">
        <v>255</v>
      </c>
      <c r="F53" s="528" t="s">
        <v>177</v>
      </c>
      <c r="G53" s="529"/>
      <c r="H53" s="529"/>
      <c r="I53" s="529"/>
      <c r="J53" s="529"/>
      <c r="K53" s="529"/>
      <c r="L53" s="529"/>
      <c r="M53" s="530"/>
      <c r="N53" s="211" t="s">
        <v>120</v>
      </c>
      <c r="O53" s="209" t="s">
        <v>130</v>
      </c>
      <c r="P53" s="540" t="s">
        <v>128</v>
      </c>
      <c r="Q53" s="541"/>
      <c r="R53" s="540" t="s">
        <v>156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112</v>
      </c>
      <c r="B54" s="527"/>
      <c r="C54" s="212" t="s">
        <v>214</v>
      </c>
      <c r="D54" s="212" t="s">
        <v>131</v>
      </c>
      <c r="E54" s="212" t="s">
        <v>158</v>
      </c>
      <c r="F54" s="528" t="s">
        <v>151</v>
      </c>
      <c r="G54" s="529"/>
      <c r="H54" s="529"/>
      <c r="I54" s="529"/>
      <c r="J54" s="529"/>
      <c r="K54" s="529"/>
      <c r="L54" s="529"/>
      <c r="M54" s="530"/>
      <c r="N54" s="211" t="s">
        <v>121</v>
      </c>
      <c r="O54" s="209" t="s">
        <v>137</v>
      </c>
      <c r="P54" s="540" t="s">
        <v>196</v>
      </c>
      <c r="Q54" s="541"/>
      <c r="R54" s="540" t="s">
        <v>349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212" t="s">
        <v>130</v>
      </c>
      <c r="D55" s="212" t="s">
        <v>128</v>
      </c>
      <c r="E55" s="212" t="s">
        <v>156</v>
      </c>
      <c r="F55" s="528" t="s">
        <v>215</v>
      </c>
      <c r="G55" s="529"/>
      <c r="H55" s="529"/>
      <c r="I55" s="529"/>
      <c r="J55" s="529"/>
      <c r="K55" s="529"/>
      <c r="L55" s="529"/>
      <c r="M55" s="530"/>
      <c r="N55" s="211" t="s">
        <v>112</v>
      </c>
      <c r="O55" s="209" t="s">
        <v>142</v>
      </c>
      <c r="P55" s="540" t="s">
        <v>115</v>
      </c>
      <c r="Q55" s="541"/>
      <c r="R55" s="540" t="s">
        <v>350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120</v>
      </c>
      <c r="B56" s="527"/>
      <c r="C56" s="212" t="s">
        <v>180</v>
      </c>
      <c r="D56" s="212" t="s">
        <v>165</v>
      </c>
      <c r="E56" s="212" t="s">
        <v>334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211" t="s">
        <v>121</v>
      </c>
      <c r="O56" s="209" t="s">
        <v>179</v>
      </c>
      <c r="P56" s="540" t="s">
        <v>115</v>
      </c>
      <c r="Q56" s="541"/>
      <c r="R56" s="540" t="s">
        <v>241</v>
      </c>
      <c r="S56" s="542"/>
      <c r="T56" s="542"/>
      <c r="U56" s="541"/>
      <c r="V56" s="510" t="s">
        <v>151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212" t="s">
        <v>261</v>
      </c>
      <c r="D57" s="212" t="s">
        <v>257</v>
      </c>
      <c r="E57" s="212" t="s">
        <v>258</v>
      </c>
      <c r="F57" s="528" t="s">
        <v>177</v>
      </c>
      <c r="G57" s="529"/>
      <c r="H57" s="529"/>
      <c r="I57" s="529"/>
      <c r="J57" s="529"/>
      <c r="K57" s="529"/>
      <c r="L57" s="529"/>
      <c r="M57" s="530"/>
      <c r="N57" s="211" t="s">
        <v>121</v>
      </c>
      <c r="O57" s="209" t="s">
        <v>179</v>
      </c>
      <c r="P57" s="540" t="s">
        <v>115</v>
      </c>
      <c r="Q57" s="541"/>
      <c r="R57" s="540" t="s">
        <v>351</v>
      </c>
      <c r="S57" s="542"/>
      <c r="T57" s="542"/>
      <c r="U57" s="541"/>
      <c r="V57" s="510" t="s">
        <v>118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121</v>
      </c>
      <c r="B58" s="527"/>
      <c r="C58" s="212" t="s">
        <v>179</v>
      </c>
      <c r="D58" s="212" t="s">
        <v>115</v>
      </c>
      <c r="E58" s="212" t="s">
        <v>241</v>
      </c>
      <c r="F58" s="528" t="s">
        <v>215</v>
      </c>
      <c r="G58" s="529"/>
      <c r="H58" s="529"/>
      <c r="I58" s="529"/>
      <c r="J58" s="529"/>
      <c r="K58" s="529"/>
      <c r="L58" s="529"/>
      <c r="M58" s="530"/>
      <c r="N58" s="211" t="s">
        <v>112</v>
      </c>
      <c r="O58" s="209" t="s">
        <v>223</v>
      </c>
      <c r="P58" s="540" t="s">
        <v>115</v>
      </c>
      <c r="Q58" s="541"/>
      <c r="R58" s="540" t="s">
        <v>224</v>
      </c>
      <c r="S58" s="542"/>
      <c r="T58" s="542"/>
      <c r="U58" s="541"/>
      <c r="V58" s="510" t="s">
        <v>151</v>
      </c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120</v>
      </c>
      <c r="B59" s="527"/>
      <c r="C59" s="212" t="s">
        <v>147</v>
      </c>
      <c r="D59" s="212" t="s">
        <v>115</v>
      </c>
      <c r="E59" s="212" t="s">
        <v>242</v>
      </c>
      <c r="F59" s="528" t="s">
        <v>118</v>
      </c>
      <c r="G59" s="529"/>
      <c r="H59" s="529"/>
      <c r="I59" s="529"/>
      <c r="J59" s="529"/>
      <c r="K59" s="529"/>
      <c r="L59" s="529"/>
      <c r="M59" s="530"/>
      <c r="N59" s="211"/>
      <c r="O59" s="209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 t="s">
        <v>120</v>
      </c>
      <c r="B60" s="527"/>
      <c r="C60" s="212" t="s">
        <v>223</v>
      </c>
      <c r="D60" s="212"/>
      <c r="E60" s="212"/>
      <c r="F60" s="528" t="s">
        <v>347</v>
      </c>
      <c r="G60" s="529"/>
      <c r="H60" s="529"/>
      <c r="I60" s="529"/>
      <c r="J60" s="529"/>
      <c r="K60" s="529"/>
      <c r="L60" s="529"/>
      <c r="M60" s="530"/>
      <c r="N60" s="211"/>
      <c r="O60" s="209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212"/>
      <c r="D61" s="212"/>
      <c r="E61" s="212"/>
      <c r="F61" s="528"/>
      <c r="G61" s="529"/>
      <c r="H61" s="529"/>
      <c r="I61" s="529"/>
      <c r="J61" s="529"/>
      <c r="K61" s="529"/>
      <c r="L61" s="529"/>
      <c r="M61" s="530"/>
      <c r="N61" s="211"/>
      <c r="O61" s="209"/>
      <c r="P61" s="527"/>
      <c r="Q61" s="527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  <c r="AF61" s="84">
        <f>8*3000</f>
        <v>24000</v>
      </c>
    </row>
    <row r="62" spans="1:32" ht="27" customHeight="1" thickBot="1">
      <c r="A62" s="532"/>
      <c r="B62" s="533"/>
      <c r="C62" s="213"/>
      <c r="D62" s="214"/>
      <c r="E62" s="214"/>
      <c r="F62" s="534"/>
      <c r="G62" s="535"/>
      <c r="H62" s="535"/>
      <c r="I62" s="535"/>
      <c r="J62" s="535"/>
      <c r="K62" s="535"/>
      <c r="L62" s="535"/>
      <c r="M62" s="536"/>
      <c r="N62" s="112"/>
      <c r="O62" s="103"/>
      <c r="P62" s="537"/>
      <c r="Q62" s="537"/>
      <c r="R62" s="537"/>
      <c r="S62" s="537"/>
      <c r="T62" s="537"/>
      <c r="U62" s="537"/>
      <c r="V62" s="538"/>
      <c r="W62" s="538"/>
      <c r="X62" s="538"/>
      <c r="Y62" s="538"/>
      <c r="Z62" s="538"/>
      <c r="AA62" s="538"/>
      <c r="AB62" s="538"/>
      <c r="AC62" s="538"/>
      <c r="AD62" s="539"/>
      <c r="AF62" s="84">
        <f>16*3000</f>
        <v>48000</v>
      </c>
    </row>
    <row r="63" spans="1:32" ht="27.75" thickBot="1">
      <c r="A63" s="524" t="s">
        <v>352</v>
      </c>
      <c r="B63" s="524"/>
      <c r="C63" s="524"/>
      <c r="D63" s="524"/>
      <c r="E63" s="52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25" t="s">
        <v>111</v>
      </c>
      <c r="B64" s="520"/>
      <c r="C64" s="210" t="s">
        <v>2</v>
      </c>
      <c r="D64" s="210" t="s">
        <v>37</v>
      </c>
      <c r="E64" s="210" t="s">
        <v>3</v>
      </c>
      <c r="F64" s="520" t="s">
        <v>109</v>
      </c>
      <c r="G64" s="520"/>
      <c r="H64" s="520"/>
      <c r="I64" s="520"/>
      <c r="J64" s="520"/>
      <c r="K64" s="520" t="s">
        <v>39</v>
      </c>
      <c r="L64" s="520"/>
      <c r="M64" s="210" t="s">
        <v>40</v>
      </c>
      <c r="N64" s="520" t="s">
        <v>41</v>
      </c>
      <c r="O64" s="520"/>
      <c r="P64" s="517" t="s">
        <v>42</v>
      </c>
      <c r="Q64" s="519"/>
      <c r="R64" s="517" t="s">
        <v>43</v>
      </c>
      <c r="S64" s="518"/>
      <c r="T64" s="518"/>
      <c r="U64" s="518"/>
      <c r="V64" s="518"/>
      <c r="W64" s="518"/>
      <c r="X64" s="518"/>
      <c r="Y64" s="518"/>
      <c r="Z64" s="518"/>
      <c r="AA64" s="519"/>
      <c r="AB64" s="520" t="s">
        <v>44</v>
      </c>
      <c r="AC64" s="520"/>
      <c r="AD64" s="521"/>
      <c r="AF64" s="84">
        <f>SUM(AF61:AF63)</f>
        <v>96000</v>
      </c>
    </row>
    <row r="65" spans="1:32" ht="25.5" customHeight="1">
      <c r="A65" s="503">
        <v>1</v>
      </c>
      <c r="B65" s="504"/>
      <c r="C65" s="105" t="s">
        <v>120</v>
      </c>
      <c r="D65" s="205"/>
      <c r="E65" s="208" t="s">
        <v>165</v>
      </c>
      <c r="F65" s="513" t="s">
        <v>353</v>
      </c>
      <c r="G65" s="514"/>
      <c r="H65" s="514"/>
      <c r="I65" s="514"/>
      <c r="J65" s="515"/>
      <c r="K65" s="497" t="s">
        <v>143</v>
      </c>
      <c r="L65" s="497"/>
      <c r="M65" s="51" t="s">
        <v>248</v>
      </c>
      <c r="N65" s="511" t="s">
        <v>180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516"/>
      <c r="AC65" s="522"/>
      <c r="AD65" s="523"/>
      <c r="AF65" s="50"/>
    </row>
    <row r="66" spans="1:32" ht="25.5" customHeight="1">
      <c r="A66" s="503">
        <v>2</v>
      </c>
      <c r="B66" s="504"/>
      <c r="C66" s="105" t="s">
        <v>120</v>
      </c>
      <c r="D66" s="205"/>
      <c r="E66" s="208" t="s">
        <v>165</v>
      </c>
      <c r="F66" s="513" t="s">
        <v>354</v>
      </c>
      <c r="G66" s="514"/>
      <c r="H66" s="514"/>
      <c r="I66" s="514"/>
      <c r="J66" s="515"/>
      <c r="K66" s="497" t="s">
        <v>143</v>
      </c>
      <c r="L66" s="497"/>
      <c r="M66" s="51" t="s">
        <v>248</v>
      </c>
      <c r="N66" s="511" t="s">
        <v>180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3</v>
      </c>
      <c r="B67" s="504"/>
      <c r="C67" s="105" t="s">
        <v>120</v>
      </c>
      <c r="D67" s="205"/>
      <c r="E67" s="208" t="s">
        <v>196</v>
      </c>
      <c r="F67" s="513" t="s">
        <v>339</v>
      </c>
      <c r="G67" s="514"/>
      <c r="H67" s="514"/>
      <c r="I67" s="514"/>
      <c r="J67" s="515"/>
      <c r="K67" s="497" t="s">
        <v>210</v>
      </c>
      <c r="L67" s="497"/>
      <c r="M67" s="51" t="s">
        <v>248</v>
      </c>
      <c r="N67" s="511" t="s">
        <v>223</v>
      </c>
      <c r="O67" s="511"/>
      <c r="P67" s="512">
        <v>50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4</v>
      </c>
      <c r="B68" s="504"/>
      <c r="C68" s="105" t="s">
        <v>120</v>
      </c>
      <c r="D68" s="205"/>
      <c r="E68" s="208" t="s">
        <v>127</v>
      </c>
      <c r="F68" s="513" t="s">
        <v>355</v>
      </c>
      <c r="G68" s="514"/>
      <c r="H68" s="514"/>
      <c r="I68" s="514"/>
      <c r="J68" s="515"/>
      <c r="K68" s="497" t="s">
        <v>210</v>
      </c>
      <c r="L68" s="497"/>
      <c r="M68" s="51" t="s">
        <v>248</v>
      </c>
      <c r="N68" s="511" t="s">
        <v>223</v>
      </c>
      <c r="O68" s="511"/>
      <c r="P68" s="512">
        <v>100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5</v>
      </c>
      <c r="B69" s="504"/>
      <c r="C69" s="105" t="s">
        <v>120</v>
      </c>
      <c r="D69" s="205"/>
      <c r="E69" s="208"/>
      <c r="F69" s="513">
        <v>3045010</v>
      </c>
      <c r="G69" s="514"/>
      <c r="H69" s="514"/>
      <c r="I69" s="514"/>
      <c r="J69" s="515"/>
      <c r="K69" s="516">
        <v>7301</v>
      </c>
      <c r="L69" s="504"/>
      <c r="M69" s="51" t="s">
        <v>248</v>
      </c>
      <c r="N69" s="511" t="s">
        <v>223</v>
      </c>
      <c r="O69" s="511"/>
      <c r="P69" s="512">
        <v>80</v>
      </c>
      <c r="Q69" s="512"/>
      <c r="R69" s="510" t="s">
        <v>215</v>
      </c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6</v>
      </c>
      <c r="B70" s="504"/>
      <c r="C70" s="105" t="s">
        <v>120</v>
      </c>
      <c r="D70" s="205"/>
      <c r="E70" s="208"/>
      <c r="F70" s="513">
        <v>3046006</v>
      </c>
      <c r="G70" s="514"/>
      <c r="H70" s="514"/>
      <c r="I70" s="514"/>
      <c r="J70" s="515"/>
      <c r="K70" s="497" t="s">
        <v>210</v>
      </c>
      <c r="L70" s="497"/>
      <c r="M70" s="51" t="s">
        <v>248</v>
      </c>
      <c r="N70" s="511" t="s">
        <v>223</v>
      </c>
      <c r="O70" s="511"/>
      <c r="P70" s="512">
        <v>300</v>
      </c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7</v>
      </c>
      <c r="B71" s="504"/>
      <c r="C71" s="105" t="s">
        <v>120</v>
      </c>
      <c r="D71" s="205"/>
      <c r="E71" s="208"/>
      <c r="F71" s="505">
        <v>3044008</v>
      </c>
      <c r="G71" s="497"/>
      <c r="H71" s="497"/>
      <c r="I71" s="497"/>
      <c r="J71" s="497"/>
      <c r="K71" s="497" t="s">
        <v>210</v>
      </c>
      <c r="L71" s="497"/>
      <c r="M71" s="51" t="s">
        <v>248</v>
      </c>
      <c r="N71" s="511" t="s">
        <v>223</v>
      </c>
      <c r="O71" s="511"/>
      <c r="P71" s="512">
        <v>300</v>
      </c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8</v>
      </c>
      <c r="B72" s="504"/>
      <c r="C72" s="105" t="s">
        <v>120</v>
      </c>
      <c r="D72" s="205"/>
      <c r="E72" s="208"/>
      <c r="F72" s="505">
        <v>3044006</v>
      </c>
      <c r="G72" s="497"/>
      <c r="H72" s="497"/>
      <c r="I72" s="497"/>
      <c r="J72" s="497"/>
      <c r="K72" s="497" t="s">
        <v>210</v>
      </c>
      <c r="L72" s="497"/>
      <c r="M72" s="51" t="s">
        <v>248</v>
      </c>
      <c r="N72" s="511" t="s">
        <v>223</v>
      </c>
      <c r="O72" s="511"/>
      <c r="P72" s="512">
        <v>300</v>
      </c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9</v>
      </c>
      <c r="B73" s="504"/>
      <c r="C73" s="105"/>
      <c r="D73" s="205"/>
      <c r="E73" s="208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10</v>
      </c>
      <c r="B74" s="504"/>
      <c r="C74" s="105"/>
      <c r="D74" s="205"/>
      <c r="E74" s="208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6.25" customHeight="1" thickBot="1">
      <c r="A75" s="477" t="s">
        <v>356</v>
      </c>
      <c r="B75" s="477"/>
      <c r="C75" s="477"/>
      <c r="D75" s="477"/>
      <c r="E75" s="47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8" t="s">
        <v>111</v>
      </c>
      <c r="B76" s="479"/>
      <c r="C76" s="207" t="s">
        <v>2</v>
      </c>
      <c r="D76" s="207" t="s">
        <v>37</v>
      </c>
      <c r="E76" s="207" t="s">
        <v>3</v>
      </c>
      <c r="F76" s="479" t="s">
        <v>38</v>
      </c>
      <c r="G76" s="479"/>
      <c r="H76" s="479"/>
      <c r="I76" s="479"/>
      <c r="J76" s="479"/>
      <c r="K76" s="499" t="s">
        <v>58</v>
      </c>
      <c r="L76" s="500"/>
      <c r="M76" s="500"/>
      <c r="N76" s="500"/>
      <c r="O76" s="500"/>
      <c r="P76" s="500"/>
      <c r="Q76" s="500"/>
      <c r="R76" s="500"/>
      <c r="S76" s="501"/>
      <c r="T76" s="479" t="s">
        <v>49</v>
      </c>
      <c r="U76" s="479"/>
      <c r="V76" s="499" t="s">
        <v>50</v>
      </c>
      <c r="W76" s="501"/>
      <c r="X76" s="500" t="s">
        <v>51</v>
      </c>
      <c r="Y76" s="500"/>
      <c r="Z76" s="500"/>
      <c r="AA76" s="500"/>
      <c r="AB76" s="500"/>
      <c r="AC76" s="500"/>
      <c r="AD76" s="502"/>
      <c r="AF76" s="50"/>
    </row>
    <row r="77" spans="1:32" ht="33.75" customHeight="1">
      <c r="A77" s="471">
        <v>1</v>
      </c>
      <c r="B77" s="472"/>
      <c r="C77" s="206" t="s">
        <v>112</v>
      </c>
      <c r="D77" s="206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64">
        <f>A77+1</f>
        <v>2</v>
      </c>
      <c r="B78" s="465"/>
      <c r="C78" s="205"/>
      <c r="D78" s="205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ref="A79:A83" si="21">A78+1</f>
        <v>3</v>
      </c>
      <c r="B79" s="465"/>
      <c r="C79" s="205"/>
      <c r="D79" s="205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21"/>
        <v>4</v>
      </c>
      <c r="B80" s="465"/>
      <c r="C80" s="205"/>
      <c r="D80" s="205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1"/>
        <v>5</v>
      </c>
      <c r="B81" s="465"/>
      <c r="C81" s="205"/>
      <c r="D81" s="205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1"/>
        <v>6</v>
      </c>
      <c r="B82" s="465"/>
      <c r="C82" s="205"/>
      <c r="D82" s="205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1"/>
        <v>7</v>
      </c>
      <c r="B83" s="465"/>
      <c r="C83" s="205"/>
      <c r="D83" s="205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7" t="s">
        <v>357</v>
      </c>
      <c r="B84" s="477"/>
      <c r="C84" s="477"/>
      <c r="D84" s="477"/>
      <c r="E84" s="47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8" t="s">
        <v>111</v>
      </c>
      <c r="B85" s="479"/>
      <c r="C85" s="469" t="s">
        <v>52</v>
      </c>
      <c r="D85" s="469"/>
      <c r="E85" s="469" t="s">
        <v>53</v>
      </c>
      <c r="F85" s="469"/>
      <c r="G85" s="469"/>
      <c r="H85" s="469"/>
      <c r="I85" s="469"/>
      <c r="J85" s="469"/>
      <c r="K85" s="469" t="s">
        <v>54</v>
      </c>
      <c r="L85" s="469"/>
      <c r="M85" s="469"/>
      <c r="N85" s="469"/>
      <c r="O85" s="469"/>
      <c r="P85" s="469"/>
      <c r="Q85" s="469"/>
      <c r="R85" s="469"/>
      <c r="S85" s="469"/>
      <c r="T85" s="469" t="s">
        <v>55</v>
      </c>
      <c r="U85" s="469"/>
      <c r="V85" s="469" t="s">
        <v>56</v>
      </c>
      <c r="W85" s="469"/>
      <c r="X85" s="469"/>
      <c r="Y85" s="469" t="s">
        <v>51</v>
      </c>
      <c r="Z85" s="469"/>
      <c r="AA85" s="469"/>
      <c r="AB85" s="469"/>
      <c r="AC85" s="469"/>
      <c r="AD85" s="470"/>
      <c r="AF85" s="50"/>
    </row>
    <row r="86" spans="1:32" ht="30.75" customHeight="1">
      <c r="A86" s="471">
        <v>1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4"/>
      <c r="W86" s="474"/>
      <c r="X86" s="474"/>
      <c r="Y86" s="475"/>
      <c r="Z86" s="475"/>
      <c r="AA86" s="475"/>
      <c r="AB86" s="475"/>
      <c r="AC86" s="475"/>
      <c r="AD86" s="476"/>
      <c r="AF86" s="50"/>
    </row>
    <row r="87" spans="1:32" ht="30.75" customHeight="1">
      <c r="A87" s="464">
        <v>2</v>
      </c>
      <c r="B87" s="465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7"/>
      <c r="U87" s="467"/>
      <c r="V87" s="468"/>
      <c r="W87" s="468"/>
      <c r="X87" s="468"/>
      <c r="Y87" s="457"/>
      <c r="Z87" s="457"/>
      <c r="AA87" s="457"/>
      <c r="AB87" s="457"/>
      <c r="AC87" s="457"/>
      <c r="AD87" s="458"/>
      <c r="AF87" s="50"/>
    </row>
    <row r="88" spans="1:32" ht="30.75" customHeight="1" thickBot="1">
      <c r="A88" s="459">
        <v>3</v>
      </c>
      <c r="B88" s="460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2"/>
      <c r="Z88" s="462"/>
      <c r="AA88" s="462"/>
      <c r="AB88" s="462"/>
      <c r="AC88" s="462"/>
      <c r="AD88" s="463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FB82-6A04-4CE4-BE84-79CD3823D788}">
  <dimension ref="A1:AF90"/>
  <sheetViews>
    <sheetView zoomScale="72" zoomScaleNormal="72" zoomScaleSheetLayoutView="70" workbookViewId="0">
      <selection activeCell="AC25" sqref="AC25:AD2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358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17" t="s">
        <v>17</v>
      </c>
      <c r="L5" s="217" t="s">
        <v>18</v>
      </c>
      <c r="M5" s="217" t="s">
        <v>19</v>
      </c>
      <c r="N5" s="21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6040</v>
      </c>
      <c r="K6" s="15">
        <f>L6+5567+6177+5956+2594+5676+6103</f>
        <v>38113</v>
      </c>
      <c r="L6" s="15">
        <f>3019+3021</f>
        <v>6040</v>
      </c>
      <c r="M6" s="15">
        <f t="shared" ref="M6:M24" si="0">L6-N6</f>
        <v>6040</v>
      </c>
      <c r="N6" s="15">
        <v>0</v>
      </c>
      <c r="O6" s="58">
        <f t="shared" ref="O6:O25" si="1">IF(L6=0,"0",N6/L6)</f>
        <v>0</v>
      </c>
      <c r="P6" s="39">
        <f t="shared" ref="P6:P24" si="2">IF(L6=0,"0",(24-Q6))</f>
        <v>24</v>
      </c>
      <c r="Q6" s="40">
        <f t="shared" ref="Q6:Q24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4" si="4">IF(J6=0,"0",(L6/J6))</f>
        <v>1</v>
      </c>
      <c r="AC6" s="9">
        <f t="shared" ref="AC6:AC24" si="5">IF(P6=0,"0",(P6/24))</f>
        <v>1</v>
      </c>
      <c r="AD6" s="10">
        <f t="shared" ref="AD6:AD24" si="6">AC6*AB6*(1-O6)</f>
        <v>1</v>
      </c>
      <c r="AE6" s="36">
        <f t="shared" ref="AE6:AE13" si="7">$AD$25</f>
        <v>0.50438596491228072</v>
      </c>
      <c r="AF6" s="84">
        <f t="shared" ref="AF6:AF24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1</v>
      </c>
      <c r="H7" s="13">
        <v>28</v>
      </c>
      <c r="I7" s="31">
        <v>90000</v>
      </c>
      <c r="J7" s="5">
        <v>11280</v>
      </c>
      <c r="K7" s="15">
        <f>L7</f>
        <v>11280</v>
      </c>
      <c r="L7" s="15">
        <f>2820*4</f>
        <v>11280</v>
      </c>
      <c r="M7" s="15">
        <f t="shared" si="0"/>
        <v>11280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>
        <v>4</v>
      </c>
      <c r="T7" s="16">
        <v>2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 t="shared" si="7"/>
        <v>0.50438596491228072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5051</v>
      </c>
      <c r="K8" s="15">
        <f>L8+1658+3024+3826+5621+5758+5746+5871+5666+2439+5254+5051</f>
        <v>49914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0.50438596491228072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350</v>
      </c>
      <c r="F9" s="30" t="s">
        <v>119</v>
      </c>
      <c r="G9" s="33">
        <v>1</v>
      </c>
      <c r="H9" s="35">
        <v>24</v>
      </c>
      <c r="I9" s="7">
        <v>4000</v>
      </c>
      <c r="J9" s="14">
        <v>810</v>
      </c>
      <c r="K9" s="15">
        <f>L9</f>
        <v>810</v>
      </c>
      <c r="L9" s="15">
        <v>810</v>
      </c>
      <c r="M9" s="15">
        <f t="shared" si="0"/>
        <v>810</v>
      </c>
      <c r="N9" s="15">
        <v>0</v>
      </c>
      <c r="O9" s="58">
        <f t="shared" si="1"/>
        <v>0</v>
      </c>
      <c r="P9" s="39">
        <f t="shared" si="2"/>
        <v>5</v>
      </c>
      <c r="Q9" s="40">
        <f t="shared" si="3"/>
        <v>19</v>
      </c>
      <c r="R9" s="7"/>
      <c r="S9" s="6">
        <v>19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6">
        <f t="shared" si="7"/>
        <v>0.50438596491228072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5471</v>
      </c>
      <c r="K10" s="15">
        <f>L10+3006+4988+687+4584+5534+5337+2364+5092+2217</f>
        <v>39280</v>
      </c>
      <c r="L10" s="15">
        <f>2734+2737</f>
        <v>5471</v>
      </c>
      <c r="M10" s="15">
        <f t="shared" si="0"/>
        <v>5471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0.50438596491228072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5843</v>
      </c>
      <c r="K11" s="15">
        <f>L11+4668+4429+5671+2067+5444+3967</f>
        <v>32089</v>
      </c>
      <c r="L11" s="15">
        <f>2924+2919</f>
        <v>5843</v>
      </c>
      <c r="M11" s="15">
        <f t="shared" si="0"/>
        <v>5843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0.50438596491228072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48500</v>
      </c>
      <c r="J12" s="14">
        <v>4701</v>
      </c>
      <c r="K12" s="15">
        <f>L12+2120+2858+4163+3861+4361+2294+4491+3957+1094+4596+4805</f>
        <v>43301</v>
      </c>
      <c r="L12" s="15">
        <f>2341+2360</f>
        <v>4701</v>
      </c>
      <c r="M12" s="15">
        <f t="shared" si="0"/>
        <v>4701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6" si="9">AC12*AB12*(1-O12)</f>
        <v>1</v>
      </c>
      <c r="AE12" s="36">
        <f t="shared" si="7"/>
        <v>0.50438596491228072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241</v>
      </c>
      <c r="F13" s="30" t="s">
        <v>125</v>
      </c>
      <c r="G13" s="33">
        <v>2</v>
      </c>
      <c r="H13" s="35">
        <v>24</v>
      </c>
      <c r="I13" s="7">
        <v>20000</v>
      </c>
      <c r="J13" s="14">
        <v>1150</v>
      </c>
      <c r="K13" s="15">
        <f>L13+2312+11362+7908</f>
        <v>22732</v>
      </c>
      <c r="L13" s="15">
        <f>575*2</f>
        <v>1150</v>
      </c>
      <c r="M13" s="15">
        <f t="shared" si="0"/>
        <v>1150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si="9"/>
        <v>0.16666666666666666</v>
      </c>
      <c r="AE13" s="36">
        <f t="shared" si="7"/>
        <v>0.50438596491228072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128</v>
      </c>
      <c r="E14" s="53" t="s">
        <v>323</v>
      </c>
      <c r="F14" s="30" t="s">
        <v>146</v>
      </c>
      <c r="G14" s="33">
        <v>1</v>
      </c>
      <c r="H14" s="35">
        <v>24</v>
      </c>
      <c r="I14" s="7">
        <v>400</v>
      </c>
      <c r="J14" s="14">
        <v>457</v>
      </c>
      <c r="K14" s="15">
        <f>L14</f>
        <v>457</v>
      </c>
      <c r="L14" s="15">
        <v>457</v>
      </c>
      <c r="M14" s="15">
        <f t="shared" ref="M14:M15" si="10">L14-N14</f>
        <v>457</v>
      </c>
      <c r="N14" s="15">
        <v>0</v>
      </c>
      <c r="O14" s="58">
        <f t="shared" ref="O14:O15" si="11">IF(L14=0,"0",N14/L14)</f>
        <v>0</v>
      </c>
      <c r="P14" s="39">
        <f t="shared" ref="P14:P15" si="12">IF(L14=0,"0",(24-Q14))</f>
        <v>3</v>
      </c>
      <c r="Q14" s="40">
        <f t="shared" ref="Q14:Q15" si="13">SUM(R14:AA14)</f>
        <v>21</v>
      </c>
      <c r="R14" s="7"/>
      <c r="S14" s="6"/>
      <c r="T14" s="16"/>
      <c r="U14" s="16"/>
      <c r="V14" s="17"/>
      <c r="W14" s="5">
        <v>21</v>
      </c>
      <c r="X14" s="16"/>
      <c r="Y14" s="16"/>
      <c r="Z14" s="16"/>
      <c r="AA14" s="18"/>
      <c r="AB14" s="8">
        <f t="shared" ref="AB14:AB15" si="14">IF(J14=0,"0",(L14/J14))</f>
        <v>1</v>
      </c>
      <c r="AC14" s="9">
        <f t="shared" ref="AC14:AC15" si="15">IF(P14=0,"0",(P14/24))</f>
        <v>0.125</v>
      </c>
      <c r="AD14" s="10">
        <f t="shared" ref="AD14:AD15" si="16">AC14*AB14*(1-O14)</f>
        <v>0.125</v>
      </c>
      <c r="AE14" s="36">
        <f t="shared" ref="AE14:AE15" si="17">$AD$25</f>
        <v>0.50438596491228072</v>
      </c>
      <c r="AF14" s="84">
        <f t="shared" ref="AF14:AF15" si="18">A14</f>
        <v>8</v>
      </c>
    </row>
    <row r="15" spans="1:32" ht="27" customHeight="1">
      <c r="A15" s="96">
        <v>8</v>
      </c>
      <c r="B15" s="11" t="s">
        <v>57</v>
      </c>
      <c r="C15" s="11" t="s">
        <v>112</v>
      </c>
      <c r="D15" s="52" t="s">
        <v>257</v>
      </c>
      <c r="E15" s="53" t="s">
        <v>321</v>
      </c>
      <c r="F15" s="30" t="s">
        <v>124</v>
      </c>
      <c r="G15" s="33">
        <v>1</v>
      </c>
      <c r="H15" s="35">
        <v>24</v>
      </c>
      <c r="I15" s="7">
        <v>400</v>
      </c>
      <c r="J15" s="14">
        <v>482</v>
      </c>
      <c r="K15" s="15">
        <f>L15</f>
        <v>482</v>
      </c>
      <c r="L15" s="15">
        <v>482</v>
      </c>
      <c r="M15" s="15">
        <f t="shared" si="10"/>
        <v>482</v>
      </c>
      <c r="N15" s="15">
        <v>0</v>
      </c>
      <c r="O15" s="58">
        <f t="shared" si="11"/>
        <v>0</v>
      </c>
      <c r="P15" s="39">
        <f t="shared" si="12"/>
        <v>3</v>
      </c>
      <c r="Q15" s="40">
        <f t="shared" si="13"/>
        <v>21</v>
      </c>
      <c r="R15" s="7"/>
      <c r="S15" s="6"/>
      <c r="T15" s="16"/>
      <c r="U15" s="16"/>
      <c r="V15" s="17"/>
      <c r="W15" s="5">
        <v>21</v>
      </c>
      <c r="X15" s="16"/>
      <c r="Y15" s="16"/>
      <c r="Z15" s="16"/>
      <c r="AA15" s="18"/>
      <c r="AB15" s="8">
        <f t="shared" si="14"/>
        <v>1</v>
      </c>
      <c r="AC15" s="9">
        <f t="shared" si="15"/>
        <v>0.125</v>
      </c>
      <c r="AD15" s="10">
        <f t="shared" si="16"/>
        <v>0.125</v>
      </c>
      <c r="AE15" s="36">
        <f t="shared" si="17"/>
        <v>0.50438596491228072</v>
      </c>
      <c r="AF15" s="84">
        <f t="shared" si="18"/>
        <v>8</v>
      </c>
    </row>
    <row r="16" spans="1:32" ht="27" customHeight="1">
      <c r="A16" s="106">
        <v>9</v>
      </c>
      <c r="B16" s="11" t="s">
        <v>57</v>
      </c>
      <c r="C16" s="34" t="s">
        <v>121</v>
      </c>
      <c r="D16" s="52"/>
      <c r="E16" s="53" t="s">
        <v>319</v>
      </c>
      <c r="F16" s="30" t="s">
        <v>125</v>
      </c>
      <c r="G16" s="33" t="s">
        <v>328</v>
      </c>
      <c r="H16" s="35">
        <v>24</v>
      </c>
      <c r="I16" s="7">
        <v>8000</v>
      </c>
      <c r="J16" s="5">
        <v>2984</v>
      </c>
      <c r="K16" s="15">
        <f>L16+2866+2984</f>
        <v>5850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9"/>
        <v>0</v>
      </c>
      <c r="AE16" s="36">
        <f t="shared" ref="AE16:AE22" si="19">$AD$25</f>
        <v>0.50438596491228072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120</v>
      </c>
      <c r="D17" s="52" t="s">
        <v>165</v>
      </c>
      <c r="E17" s="53" t="s">
        <v>334</v>
      </c>
      <c r="F17" s="12">
        <v>8301</v>
      </c>
      <c r="G17" s="12">
        <v>1</v>
      </c>
      <c r="H17" s="13">
        <v>24</v>
      </c>
      <c r="I17" s="31">
        <v>1000</v>
      </c>
      <c r="J17" s="14">
        <v>1679</v>
      </c>
      <c r="K17" s="15">
        <f>L17+1679</f>
        <v>1679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9"/>
        <v>0.50438596491228072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112</v>
      </c>
      <c r="D18" s="52" t="s">
        <v>117</v>
      </c>
      <c r="E18" s="53" t="s">
        <v>133</v>
      </c>
      <c r="F18" s="30" t="s">
        <v>124</v>
      </c>
      <c r="G18" s="12">
        <v>1</v>
      </c>
      <c r="H18" s="13">
        <v>28</v>
      </c>
      <c r="I18" s="7">
        <v>45000</v>
      </c>
      <c r="J18" s="14">
        <v>5436</v>
      </c>
      <c r="K18" s="15">
        <f>L18+1024+3034+3628+4720+3293+5714</f>
        <v>26849</v>
      </c>
      <c r="L18" s="15">
        <f>2830+2606</f>
        <v>5436</v>
      </c>
      <c r="M18" s="15">
        <f t="shared" si="0"/>
        <v>5436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19"/>
        <v>0.50438596491228072</v>
      </c>
      <c r="AF18" s="84">
        <f t="shared" si="8"/>
        <v>11</v>
      </c>
    </row>
    <row r="19" spans="1:32" ht="27" customHeight="1">
      <c r="A19" s="95">
        <v>12</v>
      </c>
      <c r="B19" s="11" t="s">
        <v>57</v>
      </c>
      <c r="C19" s="34" t="s">
        <v>121</v>
      </c>
      <c r="D19" s="52" t="s">
        <v>131</v>
      </c>
      <c r="E19" s="53" t="s">
        <v>329</v>
      </c>
      <c r="F19" s="30" t="s">
        <v>132</v>
      </c>
      <c r="G19" s="33">
        <v>4</v>
      </c>
      <c r="H19" s="35">
        <v>24</v>
      </c>
      <c r="I19" s="7">
        <v>250000</v>
      </c>
      <c r="J19" s="5">
        <v>21992</v>
      </c>
      <c r="K19" s="15">
        <f>L19+13840+22204</f>
        <v>58036</v>
      </c>
      <c r="L19" s="15">
        <f>2750*4+2748*4</f>
        <v>21992</v>
      </c>
      <c r="M19" s="15">
        <f t="shared" si="0"/>
        <v>21992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19"/>
        <v>0.50438596491228072</v>
      </c>
      <c r="AF19" s="84">
        <f t="shared" si="8"/>
        <v>12</v>
      </c>
    </row>
    <row r="20" spans="1:32" ht="27" customHeight="1">
      <c r="A20" s="113">
        <v>13</v>
      </c>
      <c r="B20" s="11" t="s">
        <v>57</v>
      </c>
      <c r="C20" s="34" t="s">
        <v>120</v>
      </c>
      <c r="D20" s="52" t="s">
        <v>115</v>
      </c>
      <c r="E20" s="53" t="s">
        <v>242</v>
      </c>
      <c r="F20" s="30" t="s">
        <v>119</v>
      </c>
      <c r="G20" s="12">
        <v>1</v>
      </c>
      <c r="H20" s="13">
        <v>28</v>
      </c>
      <c r="I20" s="31">
        <v>15000</v>
      </c>
      <c r="J20" s="5">
        <v>4790</v>
      </c>
      <c r="K20" s="15">
        <f>L20+4957</f>
        <v>9747</v>
      </c>
      <c r="L20" s="15">
        <f>2145+2645</f>
        <v>4790</v>
      </c>
      <c r="M20" s="15">
        <f t="shared" si="0"/>
        <v>4790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19"/>
        <v>0.50438596491228072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120</v>
      </c>
      <c r="D21" s="52" t="s">
        <v>131</v>
      </c>
      <c r="E21" s="53">
        <v>3159001</v>
      </c>
      <c r="F21" s="30" t="s">
        <v>211</v>
      </c>
      <c r="G21" s="33">
        <v>1</v>
      </c>
      <c r="H21" s="35">
        <v>24</v>
      </c>
      <c r="I21" s="7">
        <v>1000</v>
      </c>
      <c r="J21" s="5">
        <v>1233</v>
      </c>
      <c r="K21" s="15">
        <f>L21</f>
        <v>1233</v>
      </c>
      <c r="L21" s="15">
        <f>214+1019</f>
        <v>1233</v>
      </c>
      <c r="M21" s="15">
        <f t="shared" si="0"/>
        <v>1233</v>
      </c>
      <c r="N21" s="15">
        <v>0</v>
      </c>
      <c r="O21" s="58">
        <f t="shared" si="1"/>
        <v>0</v>
      </c>
      <c r="P21" s="39">
        <f t="shared" si="2"/>
        <v>6</v>
      </c>
      <c r="Q21" s="40">
        <f t="shared" si="3"/>
        <v>18</v>
      </c>
      <c r="R21" s="7"/>
      <c r="S21" s="6">
        <v>18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0.25</v>
      </c>
      <c r="AD21" s="10">
        <f>AC21*AB21*(1-O21)</f>
        <v>0.25</v>
      </c>
      <c r="AE21" s="36">
        <f t="shared" si="19"/>
        <v>0.50438596491228072</v>
      </c>
      <c r="AF21" s="84">
        <f t="shared" si="8"/>
        <v>14</v>
      </c>
    </row>
    <row r="22" spans="1:32" ht="27" customHeight="1">
      <c r="A22" s="96">
        <v>14</v>
      </c>
      <c r="B22" s="11" t="s">
        <v>57</v>
      </c>
      <c r="C22" s="34" t="s">
        <v>112</v>
      </c>
      <c r="D22" s="52" t="s">
        <v>131</v>
      </c>
      <c r="E22" s="53" t="s">
        <v>345</v>
      </c>
      <c r="F22" s="30" t="s">
        <v>256</v>
      </c>
      <c r="G22" s="33">
        <v>1</v>
      </c>
      <c r="H22" s="35">
        <v>24</v>
      </c>
      <c r="I22" s="7">
        <v>4000</v>
      </c>
      <c r="J22" s="5">
        <v>935</v>
      </c>
      <c r="K22" s="15">
        <f>L22+3226</f>
        <v>4161</v>
      </c>
      <c r="L22" s="15">
        <f>935</f>
        <v>935</v>
      </c>
      <c r="M22" s="15">
        <f t="shared" si="0"/>
        <v>935</v>
      </c>
      <c r="N22" s="15">
        <v>0</v>
      </c>
      <c r="O22" s="58">
        <f t="shared" si="1"/>
        <v>0</v>
      </c>
      <c r="P22" s="39">
        <f t="shared" si="2"/>
        <v>5</v>
      </c>
      <c r="Q22" s="40">
        <f t="shared" si="3"/>
        <v>19</v>
      </c>
      <c r="R22" s="7"/>
      <c r="S22" s="6"/>
      <c r="T22" s="16"/>
      <c r="U22" s="16"/>
      <c r="V22" s="17"/>
      <c r="W22" s="5">
        <v>19</v>
      </c>
      <c r="X22" s="16"/>
      <c r="Y22" s="16"/>
      <c r="Z22" s="16"/>
      <c r="AA22" s="18"/>
      <c r="AB22" s="8">
        <f t="shared" si="4"/>
        <v>1</v>
      </c>
      <c r="AC22" s="9">
        <f t="shared" si="5"/>
        <v>0.20833333333333334</v>
      </c>
      <c r="AD22" s="10">
        <f>AC22*AB22*(1-O22)</f>
        <v>0.20833333333333334</v>
      </c>
      <c r="AE22" s="36">
        <f t="shared" si="19"/>
        <v>0.50438596491228072</v>
      </c>
      <c r="AF22" s="84">
        <f t="shared" si="8"/>
        <v>14</v>
      </c>
    </row>
    <row r="23" spans="1:32" ht="27" customHeight="1">
      <c r="A23" s="96">
        <v>15</v>
      </c>
      <c r="B23" s="11" t="s">
        <v>57</v>
      </c>
      <c r="C23" s="11" t="s">
        <v>112</v>
      </c>
      <c r="D23" s="52" t="s">
        <v>115</v>
      </c>
      <c r="E23" s="53" t="s">
        <v>224</v>
      </c>
      <c r="F23" s="30" t="s">
        <v>119</v>
      </c>
      <c r="G23" s="33">
        <v>1</v>
      </c>
      <c r="H23" s="35">
        <v>24</v>
      </c>
      <c r="I23" s="7">
        <v>64000</v>
      </c>
      <c r="J23" s="14">
        <v>3899</v>
      </c>
      <c r="K23" s="15">
        <f>L23+4204+5394+5278+1522</f>
        <v>20297</v>
      </c>
      <c r="L23" s="15">
        <f>1328+2571</f>
        <v>3899</v>
      </c>
      <c r="M23" s="15">
        <f t="shared" si="0"/>
        <v>3899</v>
      </c>
      <c r="N23" s="15">
        <v>0</v>
      </c>
      <c r="O23" s="58">
        <f t="shared" si="1"/>
        <v>0</v>
      </c>
      <c r="P23" s="39">
        <f t="shared" si="2"/>
        <v>19</v>
      </c>
      <c r="Q23" s="40">
        <f t="shared" si="3"/>
        <v>5</v>
      </c>
      <c r="R23" s="7"/>
      <c r="S23" s="6">
        <v>5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0.79166666666666663</v>
      </c>
      <c r="AD23" s="10">
        <f t="shared" ref="AD23" si="20">AC23*AB23*(1-O23)</f>
        <v>0.79166666666666663</v>
      </c>
      <c r="AE23" s="36">
        <f t="shared" ref="AE23" si="21">$AD$22</f>
        <v>0.20833333333333334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152</v>
      </c>
      <c r="F24" s="12" t="s">
        <v>114</v>
      </c>
      <c r="G24" s="12">
        <v>4</v>
      </c>
      <c r="H24" s="35">
        <v>20</v>
      </c>
      <c r="I24" s="7">
        <v>500000</v>
      </c>
      <c r="J24" s="14">
        <v>30748</v>
      </c>
      <c r="K24" s="15">
        <f>L24+46004+81588+47056+35856+81716+45768+30748</f>
        <v>368736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>$AD$25</f>
        <v>0.50438596491228072</v>
      </c>
      <c r="AF24" s="84">
        <f t="shared" si="8"/>
        <v>16</v>
      </c>
    </row>
    <row r="25" spans="1:32" ht="31.5" customHeight="1" thickBot="1">
      <c r="A25" s="545" t="s">
        <v>34</v>
      </c>
      <c r="B25" s="546"/>
      <c r="C25" s="546"/>
      <c r="D25" s="546"/>
      <c r="E25" s="546"/>
      <c r="F25" s="546"/>
      <c r="G25" s="546"/>
      <c r="H25" s="547"/>
      <c r="I25" s="22">
        <f t="shared" ref="I25:N25" si="22">SUM(I6:I24)</f>
        <v>1274300</v>
      </c>
      <c r="J25" s="19">
        <f t="shared" si="22"/>
        <v>114981</v>
      </c>
      <c r="K25" s="20">
        <f t="shared" si="22"/>
        <v>735046</v>
      </c>
      <c r="L25" s="21">
        <f t="shared" si="22"/>
        <v>74519</v>
      </c>
      <c r="M25" s="20">
        <f t="shared" si="22"/>
        <v>74519</v>
      </c>
      <c r="N25" s="21">
        <f t="shared" si="22"/>
        <v>0</v>
      </c>
      <c r="O25" s="41">
        <f t="shared" si="1"/>
        <v>0</v>
      </c>
      <c r="P25" s="42">
        <f t="shared" ref="P25:AA25" si="23">SUM(P6:P24)</f>
        <v>230</v>
      </c>
      <c r="Q25" s="43">
        <f t="shared" si="23"/>
        <v>226</v>
      </c>
      <c r="R25" s="23">
        <f t="shared" si="23"/>
        <v>24</v>
      </c>
      <c r="S25" s="24">
        <f t="shared" si="23"/>
        <v>71</v>
      </c>
      <c r="T25" s="24">
        <f t="shared" si="23"/>
        <v>2</v>
      </c>
      <c r="U25" s="24">
        <f t="shared" si="23"/>
        <v>0</v>
      </c>
      <c r="V25" s="25">
        <f t="shared" si="23"/>
        <v>24</v>
      </c>
      <c r="W25" s="26">
        <f t="shared" si="23"/>
        <v>105</v>
      </c>
      <c r="X25" s="27">
        <f t="shared" si="23"/>
        <v>0</v>
      </c>
      <c r="Y25" s="27">
        <f t="shared" si="23"/>
        <v>0</v>
      </c>
      <c r="Z25" s="27">
        <f t="shared" si="23"/>
        <v>0</v>
      </c>
      <c r="AA25" s="27">
        <f t="shared" si="23"/>
        <v>0</v>
      </c>
      <c r="AB25" s="28">
        <f>AVERAGE(AB6:AB24)</f>
        <v>0.78947368421052633</v>
      </c>
      <c r="AC25" s="28">
        <f t="shared" ref="AC25:AD25" si="24">AVERAGE(AC6:AC24)</f>
        <v>0.50438596491228072</v>
      </c>
      <c r="AD25" s="28">
        <f t="shared" si="24"/>
        <v>0.50438596491228072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548" t="s">
        <v>45</v>
      </c>
      <c r="B52" s="548"/>
      <c r="C52" s="548"/>
      <c r="D52" s="548"/>
      <c r="E52" s="54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549" t="s">
        <v>360</v>
      </c>
      <c r="B53" s="550"/>
      <c r="C53" s="550"/>
      <c r="D53" s="550"/>
      <c r="E53" s="550"/>
      <c r="F53" s="550"/>
      <c r="G53" s="550"/>
      <c r="H53" s="550"/>
      <c r="I53" s="550"/>
      <c r="J53" s="550"/>
      <c r="K53" s="550"/>
      <c r="L53" s="550"/>
      <c r="M53" s="551"/>
      <c r="N53" s="552" t="s">
        <v>365</v>
      </c>
      <c r="O53" s="553"/>
      <c r="P53" s="553"/>
      <c r="Q53" s="553"/>
      <c r="R53" s="553"/>
      <c r="S53" s="553"/>
      <c r="T53" s="553"/>
      <c r="U53" s="553"/>
      <c r="V53" s="553"/>
      <c r="W53" s="553"/>
      <c r="X53" s="553"/>
      <c r="Y53" s="553"/>
      <c r="Z53" s="553"/>
      <c r="AA53" s="553"/>
      <c r="AB53" s="553"/>
      <c r="AC53" s="553"/>
      <c r="AD53" s="554"/>
    </row>
    <row r="54" spans="1:32" ht="27" customHeight="1">
      <c r="A54" s="555" t="s">
        <v>2</v>
      </c>
      <c r="B54" s="556"/>
      <c r="C54" s="218" t="s">
        <v>46</v>
      </c>
      <c r="D54" s="218" t="s">
        <v>47</v>
      </c>
      <c r="E54" s="218" t="s">
        <v>107</v>
      </c>
      <c r="F54" s="557" t="s">
        <v>106</v>
      </c>
      <c r="G54" s="558"/>
      <c r="H54" s="558"/>
      <c r="I54" s="558"/>
      <c r="J54" s="558"/>
      <c r="K54" s="558"/>
      <c r="L54" s="558"/>
      <c r="M54" s="559"/>
      <c r="N54" s="67" t="s">
        <v>110</v>
      </c>
      <c r="O54" s="218" t="s">
        <v>46</v>
      </c>
      <c r="P54" s="557" t="s">
        <v>47</v>
      </c>
      <c r="Q54" s="560"/>
      <c r="R54" s="557" t="s">
        <v>38</v>
      </c>
      <c r="S54" s="558"/>
      <c r="T54" s="558"/>
      <c r="U54" s="560"/>
      <c r="V54" s="557" t="s">
        <v>48</v>
      </c>
      <c r="W54" s="558"/>
      <c r="X54" s="558"/>
      <c r="Y54" s="558"/>
      <c r="Z54" s="558"/>
      <c r="AA54" s="558"/>
      <c r="AB54" s="558"/>
      <c r="AC54" s="558"/>
      <c r="AD54" s="559"/>
    </row>
    <row r="55" spans="1:32" ht="27" customHeight="1">
      <c r="A55" s="526" t="s">
        <v>120</v>
      </c>
      <c r="B55" s="527"/>
      <c r="C55" s="220" t="s">
        <v>130</v>
      </c>
      <c r="D55" s="220" t="s">
        <v>128</v>
      </c>
      <c r="E55" s="220" t="s">
        <v>156</v>
      </c>
      <c r="F55" s="528" t="s">
        <v>215</v>
      </c>
      <c r="G55" s="529"/>
      <c r="H55" s="529"/>
      <c r="I55" s="529"/>
      <c r="J55" s="529"/>
      <c r="K55" s="529"/>
      <c r="L55" s="529"/>
      <c r="M55" s="530"/>
      <c r="N55" s="219" t="s">
        <v>120</v>
      </c>
      <c r="O55" s="225" t="s">
        <v>130</v>
      </c>
      <c r="P55" s="540" t="s">
        <v>128</v>
      </c>
      <c r="Q55" s="541"/>
      <c r="R55" s="540" t="s">
        <v>156</v>
      </c>
      <c r="S55" s="542"/>
      <c r="T55" s="542"/>
      <c r="U55" s="541"/>
      <c r="V55" s="510" t="s">
        <v>151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220" t="s">
        <v>142</v>
      </c>
      <c r="D56" s="220" t="s">
        <v>115</v>
      </c>
      <c r="E56" s="220" t="s">
        <v>350</v>
      </c>
      <c r="F56" s="528" t="s">
        <v>361</v>
      </c>
      <c r="G56" s="529"/>
      <c r="H56" s="529"/>
      <c r="I56" s="529"/>
      <c r="J56" s="529"/>
      <c r="K56" s="529"/>
      <c r="L56" s="529"/>
      <c r="M56" s="530"/>
      <c r="N56" s="219" t="s">
        <v>121</v>
      </c>
      <c r="O56" s="225" t="s">
        <v>179</v>
      </c>
      <c r="P56" s="540" t="s">
        <v>115</v>
      </c>
      <c r="Q56" s="541"/>
      <c r="R56" s="540" t="s">
        <v>351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121</v>
      </c>
      <c r="B57" s="527"/>
      <c r="C57" s="220" t="s">
        <v>137</v>
      </c>
      <c r="D57" s="220" t="s">
        <v>196</v>
      </c>
      <c r="E57" s="220" t="s">
        <v>359</v>
      </c>
      <c r="F57" s="528" t="s">
        <v>362</v>
      </c>
      <c r="G57" s="529"/>
      <c r="H57" s="529"/>
      <c r="I57" s="529"/>
      <c r="J57" s="529"/>
      <c r="K57" s="529"/>
      <c r="L57" s="529"/>
      <c r="M57" s="530"/>
      <c r="N57" s="219" t="s">
        <v>112</v>
      </c>
      <c r="O57" s="225" t="s">
        <v>185</v>
      </c>
      <c r="P57" s="540" t="s">
        <v>165</v>
      </c>
      <c r="Q57" s="541"/>
      <c r="R57" s="540" t="s">
        <v>260</v>
      </c>
      <c r="S57" s="542"/>
      <c r="T57" s="542"/>
      <c r="U57" s="541"/>
      <c r="V57" s="510" t="s">
        <v>177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121</v>
      </c>
      <c r="B58" s="527"/>
      <c r="C58" s="220" t="s">
        <v>179</v>
      </c>
      <c r="D58" s="220" t="s">
        <v>115</v>
      </c>
      <c r="E58" s="220" t="s">
        <v>241</v>
      </c>
      <c r="F58" s="528" t="s">
        <v>151</v>
      </c>
      <c r="G58" s="529"/>
      <c r="H58" s="529"/>
      <c r="I58" s="529"/>
      <c r="J58" s="529"/>
      <c r="K58" s="529"/>
      <c r="L58" s="529"/>
      <c r="M58" s="530"/>
      <c r="N58" s="219" t="s">
        <v>112</v>
      </c>
      <c r="O58" s="225" t="s">
        <v>142</v>
      </c>
      <c r="P58" s="540" t="s">
        <v>115</v>
      </c>
      <c r="Q58" s="541"/>
      <c r="R58" s="540" t="s">
        <v>350</v>
      </c>
      <c r="S58" s="542"/>
      <c r="T58" s="542"/>
      <c r="U58" s="541"/>
      <c r="V58" s="510" t="s">
        <v>151</v>
      </c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112</v>
      </c>
      <c r="B59" s="527"/>
      <c r="C59" s="220" t="s">
        <v>179</v>
      </c>
      <c r="D59" s="220" t="s">
        <v>128</v>
      </c>
      <c r="E59" s="220" t="s">
        <v>323</v>
      </c>
      <c r="F59" s="528" t="s">
        <v>118</v>
      </c>
      <c r="G59" s="529"/>
      <c r="H59" s="529"/>
      <c r="I59" s="529"/>
      <c r="J59" s="529"/>
      <c r="K59" s="529"/>
      <c r="L59" s="529"/>
      <c r="M59" s="530"/>
      <c r="N59" s="219" t="s">
        <v>121</v>
      </c>
      <c r="O59" s="225" t="s">
        <v>194</v>
      </c>
      <c r="P59" s="540" t="s">
        <v>131</v>
      </c>
      <c r="Q59" s="541"/>
      <c r="R59" s="540" t="s">
        <v>368</v>
      </c>
      <c r="S59" s="542"/>
      <c r="T59" s="542"/>
      <c r="U59" s="541"/>
      <c r="V59" s="510" t="s">
        <v>118</v>
      </c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 t="s">
        <v>112</v>
      </c>
      <c r="B60" s="527"/>
      <c r="C60" s="220" t="s">
        <v>179</v>
      </c>
      <c r="D60" s="220" t="s">
        <v>257</v>
      </c>
      <c r="E60" s="220" t="s">
        <v>321</v>
      </c>
      <c r="F60" s="528" t="s">
        <v>118</v>
      </c>
      <c r="G60" s="529"/>
      <c r="H60" s="529"/>
      <c r="I60" s="529"/>
      <c r="J60" s="529"/>
      <c r="K60" s="529"/>
      <c r="L60" s="529"/>
      <c r="M60" s="530"/>
      <c r="N60" s="219"/>
      <c r="O60" s="225"/>
      <c r="P60" s="540"/>
      <c r="Q60" s="541"/>
      <c r="R60" s="540"/>
      <c r="S60" s="542"/>
      <c r="T60" s="542"/>
      <c r="U60" s="541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 t="s">
        <v>120</v>
      </c>
      <c r="B61" s="527"/>
      <c r="C61" s="220" t="s">
        <v>147</v>
      </c>
      <c r="D61" s="220" t="s">
        <v>115</v>
      </c>
      <c r="E61" s="220" t="s">
        <v>242</v>
      </c>
      <c r="F61" s="528" t="s">
        <v>363</v>
      </c>
      <c r="G61" s="529"/>
      <c r="H61" s="529"/>
      <c r="I61" s="529"/>
      <c r="J61" s="529"/>
      <c r="K61" s="529"/>
      <c r="L61" s="529"/>
      <c r="M61" s="530"/>
      <c r="N61" s="219"/>
      <c r="O61" s="225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 t="s">
        <v>112</v>
      </c>
      <c r="B62" s="527"/>
      <c r="C62" s="220" t="s">
        <v>223</v>
      </c>
      <c r="D62" s="220" t="s">
        <v>115</v>
      </c>
      <c r="E62" s="220" t="s">
        <v>224</v>
      </c>
      <c r="F62" s="528" t="s">
        <v>364</v>
      </c>
      <c r="G62" s="529"/>
      <c r="H62" s="529"/>
      <c r="I62" s="529"/>
      <c r="J62" s="529"/>
      <c r="K62" s="529"/>
      <c r="L62" s="529"/>
      <c r="M62" s="530"/>
      <c r="N62" s="219"/>
      <c r="O62" s="225"/>
      <c r="P62" s="540"/>
      <c r="Q62" s="541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</row>
    <row r="63" spans="1:32" ht="27" customHeight="1">
      <c r="A63" s="526" t="s">
        <v>120</v>
      </c>
      <c r="B63" s="527"/>
      <c r="C63" s="220" t="s">
        <v>194</v>
      </c>
      <c r="D63" s="220"/>
      <c r="E63" s="220" t="s">
        <v>366</v>
      </c>
      <c r="F63" s="528" t="s">
        <v>367</v>
      </c>
      <c r="G63" s="529"/>
      <c r="H63" s="529"/>
      <c r="I63" s="529"/>
      <c r="J63" s="529"/>
      <c r="K63" s="529"/>
      <c r="L63" s="529"/>
      <c r="M63" s="530"/>
      <c r="N63" s="219"/>
      <c r="O63" s="225"/>
      <c r="P63" s="527"/>
      <c r="Q63" s="527"/>
      <c r="R63" s="527"/>
      <c r="S63" s="527"/>
      <c r="T63" s="527"/>
      <c r="U63" s="527"/>
      <c r="V63" s="510"/>
      <c r="W63" s="510"/>
      <c r="X63" s="510"/>
      <c r="Y63" s="510"/>
      <c r="Z63" s="510"/>
      <c r="AA63" s="510"/>
      <c r="AB63" s="510"/>
      <c r="AC63" s="510"/>
      <c r="AD63" s="531"/>
      <c r="AF63" s="84">
        <f>8*3000</f>
        <v>24000</v>
      </c>
    </row>
    <row r="64" spans="1:32" ht="27" customHeight="1" thickBot="1">
      <c r="A64" s="532"/>
      <c r="B64" s="533"/>
      <c r="C64" s="221"/>
      <c r="D64" s="222"/>
      <c r="E64" s="222"/>
      <c r="F64" s="534"/>
      <c r="G64" s="535"/>
      <c r="H64" s="535"/>
      <c r="I64" s="535"/>
      <c r="J64" s="535"/>
      <c r="K64" s="535"/>
      <c r="L64" s="535"/>
      <c r="M64" s="536"/>
      <c r="N64" s="112"/>
      <c r="O64" s="103"/>
      <c r="P64" s="537"/>
      <c r="Q64" s="537"/>
      <c r="R64" s="537"/>
      <c r="S64" s="537"/>
      <c r="T64" s="537"/>
      <c r="U64" s="537"/>
      <c r="V64" s="538"/>
      <c r="W64" s="538"/>
      <c r="X64" s="538"/>
      <c r="Y64" s="538"/>
      <c r="Z64" s="538"/>
      <c r="AA64" s="538"/>
      <c r="AB64" s="538"/>
      <c r="AC64" s="538"/>
      <c r="AD64" s="539"/>
      <c r="AF64" s="84">
        <f>16*3000</f>
        <v>48000</v>
      </c>
    </row>
    <row r="65" spans="1:32" ht="27.75" thickBot="1">
      <c r="A65" s="524" t="s">
        <v>369</v>
      </c>
      <c r="B65" s="524"/>
      <c r="C65" s="524"/>
      <c r="D65" s="524"/>
      <c r="E65" s="524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525" t="s">
        <v>111</v>
      </c>
      <c r="B66" s="520"/>
      <c r="C66" s="223" t="s">
        <v>2</v>
      </c>
      <c r="D66" s="223" t="s">
        <v>37</v>
      </c>
      <c r="E66" s="223" t="s">
        <v>3</v>
      </c>
      <c r="F66" s="520" t="s">
        <v>109</v>
      </c>
      <c r="G66" s="520"/>
      <c r="H66" s="520"/>
      <c r="I66" s="520"/>
      <c r="J66" s="520"/>
      <c r="K66" s="520" t="s">
        <v>39</v>
      </c>
      <c r="L66" s="520"/>
      <c r="M66" s="223" t="s">
        <v>40</v>
      </c>
      <c r="N66" s="520" t="s">
        <v>41</v>
      </c>
      <c r="O66" s="520"/>
      <c r="P66" s="517" t="s">
        <v>42</v>
      </c>
      <c r="Q66" s="519"/>
      <c r="R66" s="517" t="s">
        <v>43</v>
      </c>
      <c r="S66" s="518"/>
      <c r="T66" s="518"/>
      <c r="U66" s="518"/>
      <c r="V66" s="518"/>
      <c r="W66" s="518"/>
      <c r="X66" s="518"/>
      <c r="Y66" s="518"/>
      <c r="Z66" s="518"/>
      <c r="AA66" s="519"/>
      <c r="AB66" s="520" t="s">
        <v>44</v>
      </c>
      <c r="AC66" s="520"/>
      <c r="AD66" s="521"/>
      <c r="AF66" s="84">
        <f>SUM(AF63:AF65)</f>
        <v>96000</v>
      </c>
    </row>
    <row r="67" spans="1:32" ht="25.5" customHeight="1">
      <c r="A67" s="503">
        <v>1</v>
      </c>
      <c r="B67" s="504"/>
      <c r="C67" s="105" t="s">
        <v>121</v>
      </c>
      <c r="D67" s="227"/>
      <c r="E67" s="224" t="s">
        <v>196</v>
      </c>
      <c r="F67" s="513" t="s">
        <v>197</v>
      </c>
      <c r="G67" s="514"/>
      <c r="H67" s="514"/>
      <c r="I67" s="514"/>
      <c r="J67" s="515"/>
      <c r="K67" s="497" t="s">
        <v>198</v>
      </c>
      <c r="L67" s="497"/>
      <c r="M67" s="51" t="s">
        <v>200</v>
      </c>
      <c r="N67" s="511" t="s">
        <v>137</v>
      </c>
      <c r="O67" s="511"/>
      <c r="P67" s="512">
        <v>50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516"/>
      <c r="AC67" s="522"/>
      <c r="AD67" s="523"/>
      <c r="AF67" s="50"/>
    </row>
    <row r="68" spans="1:32" ht="25.5" customHeight="1">
      <c r="A68" s="503">
        <v>2</v>
      </c>
      <c r="B68" s="504"/>
      <c r="C68" s="105" t="s">
        <v>120</v>
      </c>
      <c r="D68" s="227"/>
      <c r="E68" s="224" t="s">
        <v>370</v>
      </c>
      <c r="F68" s="513" t="s">
        <v>371</v>
      </c>
      <c r="G68" s="514"/>
      <c r="H68" s="514"/>
      <c r="I68" s="514"/>
      <c r="J68" s="515"/>
      <c r="K68" s="497" t="s">
        <v>124</v>
      </c>
      <c r="L68" s="497"/>
      <c r="M68" s="51" t="s">
        <v>248</v>
      </c>
      <c r="N68" s="511" t="s">
        <v>194</v>
      </c>
      <c r="O68" s="511"/>
      <c r="P68" s="512">
        <v>50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3</v>
      </c>
      <c r="B69" s="504"/>
      <c r="C69" s="105" t="s">
        <v>120</v>
      </c>
      <c r="D69" s="227"/>
      <c r="E69" s="224" t="s">
        <v>370</v>
      </c>
      <c r="F69" s="513" t="s">
        <v>372</v>
      </c>
      <c r="G69" s="514"/>
      <c r="H69" s="514"/>
      <c r="I69" s="514"/>
      <c r="J69" s="515"/>
      <c r="K69" s="497">
        <v>7301</v>
      </c>
      <c r="L69" s="497"/>
      <c r="M69" s="51" t="s">
        <v>248</v>
      </c>
      <c r="N69" s="511" t="s">
        <v>194</v>
      </c>
      <c r="O69" s="511"/>
      <c r="P69" s="512">
        <v>50</v>
      </c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4</v>
      </c>
      <c r="B70" s="504"/>
      <c r="C70" s="105" t="s">
        <v>120</v>
      </c>
      <c r="D70" s="227"/>
      <c r="E70" s="224" t="s">
        <v>115</v>
      </c>
      <c r="F70" s="513" t="s">
        <v>338</v>
      </c>
      <c r="G70" s="514"/>
      <c r="H70" s="514"/>
      <c r="I70" s="514"/>
      <c r="J70" s="515"/>
      <c r="K70" s="497" t="s">
        <v>256</v>
      </c>
      <c r="L70" s="497"/>
      <c r="M70" s="51" t="s">
        <v>248</v>
      </c>
      <c r="N70" s="511" t="s">
        <v>194</v>
      </c>
      <c r="O70" s="511"/>
      <c r="P70" s="512"/>
      <c r="Q70" s="512"/>
      <c r="R70" s="510" t="s">
        <v>340</v>
      </c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5</v>
      </c>
      <c r="B71" s="504"/>
      <c r="C71" s="105"/>
      <c r="D71" s="227"/>
      <c r="E71" s="224"/>
      <c r="F71" s="513"/>
      <c r="G71" s="514"/>
      <c r="H71" s="514"/>
      <c r="I71" s="514"/>
      <c r="J71" s="515"/>
      <c r="K71" s="516"/>
      <c r="L71" s="504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6</v>
      </c>
      <c r="B72" s="504"/>
      <c r="C72" s="105"/>
      <c r="D72" s="227"/>
      <c r="E72" s="224"/>
      <c r="F72" s="513"/>
      <c r="G72" s="514"/>
      <c r="H72" s="514"/>
      <c r="I72" s="514"/>
      <c r="J72" s="515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7</v>
      </c>
      <c r="B73" s="504"/>
      <c r="C73" s="105"/>
      <c r="D73" s="227"/>
      <c r="E73" s="224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8</v>
      </c>
      <c r="B74" s="504"/>
      <c r="C74" s="105"/>
      <c r="D74" s="227"/>
      <c r="E74" s="224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5.5" customHeight="1">
      <c r="A75" s="503">
        <v>9</v>
      </c>
      <c r="B75" s="504"/>
      <c r="C75" s="105"/>
      <c r="D75" s="227"/>
      <c r="E75" s="224"/>
      <c r="F75" s="505"/>
      <c r="G75" s="497"/>
      <c r="H75" s="497"/>
      <c r="I75" s="497"/>
      <c r="J75" s="497"/>
      <c r="K75" s="497"/>
      <c r="L75" s="497"/>
      <c r="M75" s="51"/>
      <c r="N75" s="511"/>
      <c r="O75" s="511"/>
      <c r="P75" s="512"/>
      <c r="Q75" s="512"/>
      <c r="R75" s="510"/>
      <c r="S75" s="510"/>
      <c r="T75" s="510"/>
      <c r="U75" s="510"/>
      <c r="V75" s="510"/>
      <c r="W75" s="510"/>
      <c r="X75" s="510"/>
      <c r="Y75" s="510"/>
      <c r="Z75" s="510"/>
      <c r="AA75" s="510"/>
      <c r="AB75" s="497"/>
      <c r="AC75" s="497"/>
      <c r="AD75" s="498"/>
      <c r="AF75" s="50"/>
    </row>
    <row r="76" spans="1:32" ht="25.5" customHeight="1">
      <c r="A76" s="503">
        <v>10</v>
      </c>
      <c r="B76" s="504"/>
      <c r="C76" s="105"/>
      <c r="D76" s="227"/>
      <c r="E76" s="224"/>
      <c r="F76" s="505"/>
      <c r="G76" s="497"/>
      <c r="H76" s="497"/>
      <c r="I76" s="497"/>
      <c r="J76" s="497"/>
      <c r="K76" s="497"/>
      <c r="L76" s="497"/>
      <c r="M76" s="51"/>
      <c r="N76" s="511"/>
      <c r="O76" s="511"/>
      <c r="P76" s="512"/>
      <c r="Q76" s="512"/>
      <c r="R76" s="510"/>
      <c r="S76" s="510"/>
      <c r="T76" s="510"/>
      <c r="U76" s="510"/>
      <c r="V76" s="510"/>
      <c r="W76" s="510"/>
      <c r="X76" s="510"/>
      <c r="Y76" s="510"/>
      <c r="Z76" s="510"/>
      <c r="AA76" s="510"/>
      <c r="AB76" s="497"/>
      <c r="AC76" s="497"/>
      <c r="AD76" s="498"/>
      <c r="AF76" s="50"/>
    </row>
    <row r="77" spans="1:32" ht="26.25" customHeight="1" thickBot="1">
      <c r="A77" s="477" t="s">
        <v>373</v>
      </c>
      <c r="B77" s="477"/>
      <c r="C77" s="477"/>
      <c r="D77" s="477"/>
      <c r="E77" s="477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478" t="s">
        <v>111</v>
      </c>
      <c r="B78" s="479"/>
      <c r="C78" s="226" t="s">
        <v>2</v>
      </c>
      <c r="D78" s="226" t="s">
        <v>37</v>
      </c>
      <c r="E78" s="226" t="s">
        <v>3</v>
      </c>
      <c r="F78" s="479" t="s">
        <v>38</v>
      </c>
      <c r="G78" s="479"/>
      <c r="H78" s="479"/>
      <c r="I78" s="479"/>
      <c r="J78" s="479"/>
      <c r="K78" s="499" t="s">
        <v>58</v>
      </c>
      <c r="L78" s="500"/>
      <c r="M78" s="500"/>
      <c r="N78" s="500"/>
      <c r="O78" s="500"/>
      <c r="P78" s="500"/>
      <c r="Q78" s="500"/>
      <c r="R78" s="500"/>
      <c r="S78" s="501"/>
      <c r="T78" s="479" t="s">
        <v>49</v>
      </c>
      <c r="U78" s="479"/>
      <c r="V78" s="499" t="s">
        <v>50</v>
      </c>
      <c r="W78" s="501"/>
      <c r="X78" s="500" t="s">
        <v>51</v>
      </c>
      <c r="Y78" s="500"/>
      <c r="Z78" s="500"/>
      <c r="AA78" s="500"/>
      <c r="AB78" s="500"/>
      <c r="AC78" s="500"/>
      <c r="AD78" s="502"/>
      <c r="AF78" s="50"/>
    </row>
    <row r="79" spans="1:32" ht="33.75" customHeight="1">
      <c r="A79" s="471">
        <v>1</v>
      </c>
      <c r="B79" s="472"/>
      <c r="C79" s="228" t="s">
        <v>112</v>
      </c>
      <c r="D79" s="228"/>
      <c r="E79" s="65" t="s">
        <v>117</v>
      </c>
      <c r="F79" s="486" t="s">
        <v>116</v>
      </c>
      <c r="G79" s="487"/>
      <c r="H79" s="487"/>
      <c r="I79" s="487"/>
      <c r="J79" s="488"/>
      <c r="K79" s="489" t="s">
        <v>122</v>
      </c>
      <c r="L79" s="490"/>
      <c r="M79" s="490"/>
      <c r="N79" s="490"/>
      <c r="O79" s="490"/>
      <c r="P79" s="490"/>
      <c r="Q79" s="490"/>
      <c r="R79" s="490"/>
      <c r="S79" s="491"/>
      <c r="T79" s="492">
        <v>43675</v>
      </c>
      <c r="U79" s="493"/>
      <c r="V79" s="494"/>
      <c r="W79" s="494"/>
      <c r="X79" s="495"/>
      <c r="Y79" s="495"/>
      <c r="Z79" s="495"/>
      <c r="AA79" s="495"/>
      <c r="AB79" s="495"/>
      <c r="AC79" s="495"/>
      <c r="AD79" s="496"/>
      <c r="AF79" s="50"/>
    </row>
    <row r="80" spans="1:32" ht="30" customHeight="1">
      <c r="A80" s="464">
        <f>A79+1</f>
        <v>2</v>
      </c>
      <c r="B80" s="465"/>
      <c r="C80" s="227"/>
      <c r="D80" s="227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ref="A81:A85" si="25">A80+1</f>
        <v>3</v>
      </c>
      <c r="B81" s="465"/>
      <c r="C81" s="227"/>
      <c r="D81" s="227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5"/>
        <v>4</v>
      </c>
      <c r="B82" s="465"/>
      <c r="C82" s="227"/>
      <c r="D82" s="227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5"/>
        <v>5</v>
      </c>
      <c r="B83" s="465"/>
      <c r="C83" s="227"/>
      <c r="D83" s="227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25"/>
        <v>6</v>
      </c>
      <c r="B84" s="465"/>
      <c r="C84" s="227"/>
      <c r="D84" s="227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0" customHeight="1">
      <c r="A85" s="464">
        <f t="shared" si="25"/>
        <v>7</v>
      </c>
      <c r="B85" s="465"/>
      <c r="C85" s="227"/>
      <c r="D85" s="227"/>
      <c r="E85" s="32"/>
      <c r="F85" s="465"/>
      <c r="G85" s="465"/>
      <c r="H85" s="465"/>
      <c r="I85" s="465"/>
      <c r="J85" s="465"/>
      <c r="K85" s="480"/>
      <c r="L85" s="481"/>
      <c r="M85" s="481"/>
      <c r="N85" s="481"/>
      <c r="O85" s="481"/>
      <c r="P85" s="481"/>
      <c r="Q85" s="481"/>
      <c r="R85" s="481"/>
      <c r="S85" s="482"/>
      <c r="T85" s="483"/>
      <c r="U85" s="483"/>
      <c r="V85" s="483"/>
      <c r="W85" s="483"/>
      <c r="X85" s="484"/>
      <c r="Y85" s="484"/>
      <c r="Z85" s="484"/>
      <c r="AA85" s="484"/>
      <c r="AB85" s="484"/>
      <c r="AC85" s="484"/>
      <c r="AD85" s="485"/>
      <c r="AF85" s="50"/>
    </row>
    <row r="86" spans="1:32" ht="36" thickBot="1">
      <c r="A86" s="477" t="s">
        <v>374</v>
      </c>
      <c r="B86" s="477"/>
      <c r="C86" s="477"/>
      <c r="D86" s="477"/>
      <c r="E86" s="477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478" t="s">
        <v>111</v>
      </c>
      <c r="B87" s="479"/>
      <c r="C87" s="469" t="s">
        <v>52</v>
      </c>
      <c r="D87" s="469"/>
      <c r="E87" s="469" t="s">
        <v>53</v>
      </c>
      <c r="F87" s="469"/>
      <c r="G87" s="469"/>
      <c r="H87" s="469"/>
      <c r="I87" s="469"/>
      <c r="J87" s="469"/>
      <c r="K87" s="469" t="s">
        <v>54</v>
      </c>
      <c r="L87" s="469"/>
      <c r="M87" s="469"/>
      <c r="N87" s="469"/>
      <c r="O87" s="469"/>
      <c r="P87" s="469"/>
      <c r="Q87" s="469"/>
      <c r="R87" s="469"/>
      <c r="S87" s="469"/>
      <c r="T87" s="469" t="s">
        <v>55</v>
      </c>
      <c r="U87" s="469"/>
      <c r="V87" s="469" t="s">
        <v>56</v>
      </c>
      <c r="W87" s="469"/>
      <c r="X87" s="469"/>
      <c r="Y87" s="469" t="s">
        <v>51</v>
      </c>
      <c r="Z87" s="469"/>
      <c r="AA87" s="469"/>
      <c r="AB87" s="469"/>
      <c r="AC87" s="469"/>
      <c r="AD87" s="470"/>
      <c r="AF87" s="50"/>
    </row>
    <row r="88" spans="1:32" ht="30.75" customHeight="1">
      <c r="A88" s="471">
        <v>1</v>
      </c>
      <c r="B88" s="472"/>
      <c r="C88" s="473"/>
      <c r="D88" s="473"/>
      <c r="E88" s="473"/>
      <c r="F88" s="473"/>
      <c r="G88" s="473"/>
      <c r="H88" s="473"/>
      <c r="I88" s="473"/>
      <c r="J88" s="473"/>
      <c r="K88" s="473"/>
      <c r="L88" s="473"/>
      <c r="M88" s="473"/>
      <c r="N88" s="473"/>
      <c r="O88" s="473"/>
      <c r="P88" s="473"/>
      <c r="Q88" s="473"/>
      <c r="R88" s="473"/>
      <c r="S88" s="473"/>
      <c r="T88" s="473"/>
      <c r="U88" s="473"/>
      <c r="V88" s="474"/>
      <c r="W88" s="474"/>
      <c r="X88" s="474"/>
      <c r="Y88" s="475"/>
      <c r="Z88" s="475"/>
      <c r="AA88" s="475"/>
      <c r="AB88" s="475"/>
      <c r="AC88" s="475"/>
      <c r="AD88" s="476"/>
      <c r="AF88" s="50"/>
    </row>
    <row r="89" spans="1:32" ht="30.75" customHeight="1">
      <c r="A89" s="464">
        <v>2</v>
      </c>
      <c r="B89" s="465"/>
      <c r="C89" s="466"/>
      <c r="D89" s="466"/>
      <c r="E89" s="466"/>
      <c r="F89" s="466"/>
      <c r="G89" s="466"/>
      <c r="H89" s="466"/>
      <c r="I89" s="466"/>
      <c r="J89" s="466"/>
      <c r="K89" s="466"/>
      <c r="L89" s="466"/>
      <c r="M89" s="466"/>
      <c r="N89" s="466"/>
      <c r="O89" s="466"/>
      <c r="P89" s="466"/>
      <c r="Q89" s="466"/>
      <c r="R89" s="466"/>
      <c r="S89" s="466"/>
      <c r="T89" s="467"/>
      <c r="U89" s="467"/>
      <c r="V89" s="468"/>
      <c r="W89" s="468"/>
      <c r="X89" s="468"/>
      <c r="Y89" s="457"/>
      <c r="Z89" s="457"/>
      <c r="AA89" s="457"/>
      <c r="AB89" s="457"/>
      <c r="AC89" s="457"/>
      <c r="AD89" s="458"/>
      <c r="AF89" s="50"/>
    </row>
    <row r="90" spans="1:32" ht="30.75" customHeight="1" thickBot="1">
      <c r="A90" s="459">
        <v>3</v>
      </c>
      <c r="B90" s="460"/>
      <c r="C90" s="461"/>
      <c r="D90" s="461"/>
      <c r="E90" s="461"/>
      <c r="F90" s="461"/>
      <c r="G90" s="461"/>
      <c r="H90" s="461"/>
      <c r="I90" s="461"/>
      <c r="J90" s="461"/>
      <c r="K90" s="461"/>
      <c r="L90" s="461"/>
      <c r="M90" s="461"/>
      <c r="N90" s="461"/>
      <c r="O90" s="461"/>
      <c r="P90" s="461"/>
      <c r="Q90" s="461"/>
      <c r="R90" s="461"/>
      <c r="S90" s="461"/>
      <c r="T90" s="461"/>
      <c r="U90" s="461"/>
      <c r="V90" s="461"/>
      <c r="W90" s="461"/>
      <c r="X90" s="461"/>
      <c r="Y90" s="462"/>
      <c r="Z90" s="462"/>
      <c r="AA90" s="462"/>
      <c r="AB90" s="462"/>
      <c r="AC90" s="462"/>
      <c r="AD90" s="463"/>
      <c r="AF90" s="50"/>
    </row>
  </sheetData>
  <mergeCells count="232"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50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9035-5904-465D-AAFF-42C6EF52B856}">
  <dimension ref="A1:AF88"/>
  <sheetViews>
    <sheetView zoomScale="72" zoomScaleNormal="72" zoomScaleSheetLayoutView="70" workbookViewId="0">
      <selection activeCell="A20" sqref="A20:XFD2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375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40" t="s">
        <v>17</v>
      </c>
      <c r="L5" s="240" t="s">
        <v>18</v>
      </c>
      <c r="M5" s="240" t="s">
        <v>19</v>
      </c>
      <c r="N5" s="24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4713</v>
      </c>
      <c r="K6" s="15">
        <f>L6+5567+6177+5956+2594+5676+6103+6040</f>
        <v>42826</v>
      </c>
      <c r="L6" s="15">
        <f>3061+1652</f>
        <v>4713</v>
      </c>
      <c r="M6" s="15">
        <f t="shared" ref="M6:M22" si="0">L6-N6</f>
        <v>4713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20</v>
      </c>
      <c r="Q6" s="40">
        <f t="shared" ref="Q6:Q22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0.83333333333333337</v>
      </c>
      <c r="AD6" s="10">
        <f t="shared" ref="AD6:AD22" si="6">AC6*AB6*(1-O6)</f>
        <v>0.83333333333333337</v>
      </c>
      <c r="AE6" s="36">
        <f t="shared" ref="AE6:AE20" si="7">$AD$23</f>
        <v>0.68382352941176472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90000</v>
      </c>
      <c r="J7" s="5">
        <v>18680</v>
      </c>
      <c r="K7" s="15">
        <f>L7+11280</f>
        <v>29960</v>
      </c>
      <c r="L7" s="15">
        <f>2560*3+2750*4</f>
        <v>18680</v>
      </c>
      <c r="M7" s="15">
        <f t="shared" si="0"/>
        <v>18680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0.68382352941176472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50000</v>
      </c>
      <c r="J8" s="14">
        <v>3104</v>
      </c>
      <c r="K8" s="15">
        <f>L8+1658+3024+3826+5621+5758+5746+5871+5666+2439+5254+5051</f>
        <v>53018</v>
      </c>
      <c r="L8" s="15">
        <f>773+2331</f>
        <v>3104</v>
      </c>
      <c r="M8" s="15">
        <f t="shared" si="0"/>
        <v>3104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>
        <v>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6"/>
        <v>0.75</v>
      </c>
      <c r="AE8" s="36">
        <f t="shared" si="7"/>
        <v>0.68382352941176472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350</v>
      </c>
      <c r="F9" s="30" t="s">
        <v>119</v>
      </c>
      <c r="G9" s="33">
        <v>1</v>
      </c>
      <c r="H9" s="35">
        <v>24</v>
      </c>
      <c r="I9" s="7">
        <v>4000</v>
      </c>
      <c r="J9" s="14">
        <v>1888</v>
      </c>
      <c r="K9" s="15">
        <f>L9+810</f>
        <v>2698</v>
      </c>
      <c r="L9" s="15">
        <f>452+1436</f>
        <v>1888</v>
      </c>
      <c r="M9" s="15">
        <f t="shared" si="0"/>
        <v>1888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0.68382352941176472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5522</v>
      </c>
      <c r="K10" s="15">
        <f>L10+3006+4988+687+4584+5534+5337+2364+5092+2217+5471</f>
        <v>44802</v>
      </c>
      <c r="L10" s="15">
        <f>2752+2770</f>
        <v>5522</v>
      </c>
      <c r="M10" s="15">
        <f t="shared" si="0"/>
        <v>5522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0.68382352941176472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5907</v>
      </c>
      <c r="K11" s="15">
        <f>L11+4668+4429+5671+2067+5444+3967+5843</f>
        <v>37996</v>
      </c>
      <c r="L11" s="15">
        <f>2976+2931</f>
        <v>5907</v>
      </c>
      <c r="M11" s="15">
        <f t="shared" si="0"/>
        <v>5907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0.68382352941176472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48500</v>
      </c>
      <c r="J12" s="14">
        <v>4434</v>
      </c>
      <c r="K12" s="15">
        <f>L12+2120+2858+4163+3861+4361+2294+4491+3957+1094+4596+4805+4701</f>
        <v>47735</v>
      </c>
      <c r="L12" s="15">
        <f>2364+2070</f>
        <v>4434</v>
      </c>
      <c r="M12" s="15">
        <f t="shared" si="0"/>
        <v>4434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>
        <v>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ref="AD12:AD14" si="9">AC12*AB12*(1-O12)</f>
        <v>0.95833333333333337</v>
      </c>
      <c r="AE12" s="36">
        <f t="shared" si="7"/>
        <v>0.68382352941176472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90000</v>
      </c>
      <c r="J13" s="14">
        <v>11384</v>
      </c>
      <c r="K13" s="15">
        <f>L13</f>
        <v>11384</v>
      </c>
      <c r="L13" s="15">
        <f>719*4+2127*4</f>
        <v>11384</v>
      </c>
      <c r="M13" s="15">
        <f t="shared" si="0"/>
        <v>11384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9"/>
        <v>0.70833333333333337</v>
      </c>
      <c r="AE13" s="36">
        <f t="shared" si="7"/>
        <v>0.68382352941176472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/>
      <c r="E14" s="53" t="s">
        <v>319</v>
      </c>
      <c r="F14" s="30" t="s">
        <v>125</v>
      </c>
      <c r="G14" s="33" t="s">
        <v>328</v>
      </c>
      <c r="H14" s="35">
        <v>24</v>
      </c>
      <c r="I14" s="7">
        <v>8000</v>
      </c>
      <c r="J14" s="5">
        <v>2984</v>
      </c>
      <c r="K14" s="15">
        <f>L14+2866+2984</f>
        <v>5850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0.68382352941176472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334</v>
      </c>
      <c r="F15" s="12">
        <v>8301</v>
      </c>
      <c r="G15" s="12">
        <v>1</v>
      </c>
      <c r="H15" s="13">
        <v>24</v>
      </c>
      <c r="I15" s="31">
        <v>1000</v>
      </c>
      <c r="J15" s="14">
        <v>1679</v>
      </c>
      <c r="K15" s="15">
        <f>L15+1679</f>
        <v>1679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0.68382352941176472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4776</v>
      </c>
      <c r="K16" s="15">
        <f>L16+1024+3034+3628+4720+3293+5714+5436</f>
        <v>31625</v>
      </c>
      <c r="L16" s="15">
        <f>2576+2200</f>
        <v>4776</v>
      </c>
      <c r="M16" s="15">
        <f t="shared" si="0"/>
        <v>4776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0.68382352941176472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250000</v>
      </c>
      <c r="J17" s="5">
        <v>20260</v>
      </c>
      <c r="K17" s="15">
        <f>L17+13840+22204+21992</f>
        <v>78296</v>
      </c>
      <c r="L17" s="15">
        <f>2795*4+2270*4</f>
        <v>20260</v>
      </c>
      <c r="M17" s="15">
        <f t="shared" si="0"/>
        <v>20260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0.68382352941176472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242</v>
      </c>
      <c r="F18" s="30" t="s">
        <v>119</v>
      </c>
      <c r="G18" s="12">
        <v>1</v>
      </c>
      <c r="H18" s="13">
        <v>28</v>
      </c>
      <c r="I18" s="31">
        <v>15000</v>
      </c>
      <c r="J18" s="5">
        <v>1584</v>
      </c>
      <c r="K18" s="15">
        <f>L18+4957+4790</f>
        <v>11331</v>
      </c>
      <c r="L18" s="15">
        <v>1584</v>
      </c>
      <c r="M18" s="15">
        <f t="shared" si="0"/>
        <v>1584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>
        <v>16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0.68382352941176472</v>
      </c>
      <c r="AF18" s="84">
        <f t="shared" si="8"/>
        <v>13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115</v>
      </c>
      <c r="E19" s="53" t="s">
        <v>376</v>
      </c>
      <c r="F19" s="30" t="s">
        <v>119</v>
      </c>
      <c r="G19" s="12">
        <v>1</v>
      </c>
      <c r="H19" s="13">
        <v>28</v>
      </c>
      <c r="I19" s="31">
        <v>3000</v>
      </c>
      <c r="J19" s="5">
        <v>2621</v>
      </c>
      <c r="K19" s="15">
        <f>L19</f>
        <v>2621</v>
      </c>
      <c r="L19" s="15">
        <f>2621</f>
        <v>2621</v>
      </c>
      <c r="M19" s="15">
        <f t="shared" ref="M19" si="10">L19-N19</f>
        <v>2621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15</v>
      </c>
      <c r="Q19" s="40">
        <f t="shared" ref="Q19" si="13">SUM(R19:AA19)</f>
        <v>9</v>
      </c>
      <c r="R19" s="7"/>
      <c r="S19" s="6"/>
      <c r="T19" s="16">
        <v>9</v>
      </c>
      <c r="U19" s="16"/>
      <c r="V19" s="17"/>
      <c r="W19" s="5"/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0.625</v>
      </c>
      <c r="AD19" s="10">
        <f t="shared" ref="AD19" si="16">AC19*AB19*(1-O19)</f>
        <v>0.625</v>
      </c>
      <c r="AE19" s="36">
        <f t="shared" si="7"/>
        <v>0.68382352941176472</v>
      </c>
      <c r="AF19" s="84">
        <f t="shared" ref="AF19" si="17">A19</f>
        <v>13</v>
      </c>
    </row>
    <row r="20" spans="1:32" ht="27" customHeight="1">
      <c r="A20" s="96">
        <v>14</v>
      </c>
      <c r="B20" s="11" t="s">
        <v>57</v>
      </c>
      <c r="C20" s="34" t="s">
        <v>121</v>
      </c>
      <c r="D20" s="52" t="s">
        <v>131</v>
      </c>
      <c r="E20" s="53" t="s">
        <v>368</v>
      </c>
      <c r="F20" s="30" t="s">
        <v>210</v>
      </c>
      <c r="G20" s="33">
        <v>1</v>
      </c>
      <c r="H20" s="35">
        <v>24</v>
      </c>
      <c r="I20" s="7">
        <v>90000</v>
      </c>
      <c r="J20" s="5">
        <v>18048</v>
      </c>
      <c r="K20" s="15">
        <f>L20</f>
        <v>18048</v>
      </c>
      <c r="L20" s="15">
        <f>2297*4+2215*4</f>
        <v>18048</v>
      </c>
      <c r="M20" s="15">
        <f t="shared" si="0"/>
        <v>18048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7"/>
        <v>0.68382352941176472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224</v>
      </c>
      <c r="F21" s="30" t="s">
        <v>119</v>
      </c>
      <c r="G21" s="33">
        <v>1</v>
      </c>
      <c r="H21" s="35">
        <v>24</v>
      </c>
      <c r="I21" s="7">
        <v>64000</v>
      </c>
      <c r="J21" s="14">
        <v>5224</v>
      </c>
      <c r="K21" s="15">
        <f>L21+4204+5394+5278+1522+3899</f>
        <v>25521</v>
      </c>
      <c r="L21" s="15">
        <f>2625+2599</f>
        <v>5224</v>
      </c>
      <c r="M21" s="15">
        <f t="shared" si="0"/>
        <v>5224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ref="AD21" si="18">AC21*AB21*(1-O21)</f>
        <v>1</v>
      </c>
      <c r="AE21" s="36">
        <f t="shared" ref="AE21:AE22" si="19">$AD$23</f>
        <v>0.68382352941176472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152</v>
      </c>
      <c r="F22" s="12" t="s">
        <v>114</v>
      </c>
      <c r="G22" s="12">
        <v>4</v>
      </c>
      <c r="H22" s="35">
        <v>20</v>
      </c>
      <c r="I22" s="7">
        <v>500000</v>
      </c>
      <c r="J22" s="14">
        <v>30748</v>
      </c>
      <c r="K22" s="15">
        <f>L22+46004+81588+47056+35856+81716+45768+30748</f>
        <v>368736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19"/>
        <v>0.68382352941176472</v>
      </c>
      <c r="AF22" s="84">
        <f t="shared" si="8"/>
        <v>16</v>
      </c>
    </row>
    <row r="23" spans="1:32" ht="31.5" customHeight="1" thickBot="1">
      <c r="A23" s="545" t="s">
        <v>34</v>
      </c>
      <c r="B23" s="546"/>
      <c r="C23" s="546"/>
      <c r="D23" s="546"/>
      <c r="E23" s="546"/>
      <c r="F23" s="546"/>
      <c r="G23" s="546"/>
      <c r="H23" s="547"/>
      <c r="I23" s="22">
        <f t="shared" ref="I23:N23" si="20">SUM(I6:I22)</f>
        <v>1431500</v>
      </c>
      <c r="J23" s="19">
        <f t="shared" si="20"/>
        <v>143556</v>
      </c>
      <c r="K23" s="20">
        <f t="shared" si="20"/>
        <v>814126</v>
      </c>
      <c r="L23" s="21">
        <f t="shared" si="20"/>
        <v>108145</v>
      </c>
      <c r="M23" s="20">
        <f t="shared" si="20"/>
        <v>108145</v>
      </c>
      <c r="N23" s="21">
        <f t="shared" si="20"/>
        <v>0</v>
      </c>
      <c r="O23" s="41">
        <f t="shared" si="1"/>
        <v>0</v>
      </c>
      <c r="P23" s="42">
        <f t="shared" ref="P23:AA23" si="21">SUM(P6:P22)</f>
        <v>279</v>
      </c>
      <c r="Q23" s="43">
        <f t="shared" si="21"/>
        <v>129</v>
      </c>
      <c r="R23" s="23">
        <f t="shared" si="21"/>
        <v>24</v>
      </c>
      <c r="S23" s="24">
        <f t="shared" si="21"/>
        <v>48</v>
      </c>
      <c r="T23" s="24">
        <f t="shared" si="21"/>
        <v>9</v>
      </c>
      <c r="U23" s="24">
        <f t="shared" si="21"/>
        <v>0</v>
      </c>
      <c r="V23" s="25">
        <f t="shared" si="21"/>
        <v>24</v>
      </c>
      <c r="W23" s="26">
        <f t="shared" si="21"/>
        <v>24</v>
      </c>
      <c r="X23" s="27">
        <f t="shared" si="21"/>
        <v>0</v>
      </c>
      <c r="Y23" s="27">
        <f t="shared" si="21"/>
        <v>0</v>
      </c>
      <c r="Z23" s="27">
        <f t="shared" si="21"/>
        <v>0</v>
      </c>
      <c r="AA23" s="27">
        <f t="shared" si="21"/>
        <v>0</v>
      </c>
      <c r="AB23" s="28">
        <f>AVERAGE(AB6:AB22)</f>
        <v>0.82352941176470584</v>
      </c>
      <c r="AC23" s="28">
        <f t="shared" ref="AC23:AD23" si="22">AVERAGE(AC6:AC22)</f>
        <v>0.68382352941176472</v>
      </c>
      <c r="AD23" s="28">
        <f t="shared" si="22"/>
        <v>0.68382352941176472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8" t="s">
        <v>45</v>
      </c>
      <c r="B50" s="548"/>
      <c r="C50" s="548"/>
      <c r="D50" s="548"/>
      <c r="E50" s="5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9" t="s">
        <v>377</v>
      </c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1"/>
      <c r="N51" s="552" t="s">
        <v>380</v>
      </c>
      <c r="O51" s="553"/>
      <c r="P51" s="553"/>
      <c r="Q51" s="553"/>
      <c r="R51" s="553"/>
      <c r="S51" s="553"/>
      <c r="T51" s="553"/>
      <c r="U51" s="553"/>
      <c r="V51" s="553"/>
      <c r="W51" s="553"/>
      <c r="X51" s="553"/>
      <c r="Y51" s="553"/>
      <c r="Z51" s="553"/>
      <c r="AA51" s="553"/>
      <c r="AB51" s="553"/>
      <c r="AC51" s="553"/>
      <c r="AD51" s="554"/>
    </row>
    <row r="52" spans="1:32" ht="27" customHeight="1">
      <c r="A52" s="555" t="s">
        <v>2</v>
      </c>
      <c r="B52" s="556"/>
      <c r="C52" s="239" t="s">
        <v>46</v>
      </c>
      <c r="D52" s="239" t="s">
        <v>47</v>
      </c>
      <c r="E52" s="239" t="s">
        <v>107</v>
      </c>
      <c r="F52" s="557" t="s">
        <v>106</v>
      </c>
      <c r="G52" s="558"/>
      <c r="H52" s="558"/>
      <c r="I52" s="558"/>
      <c r="J52" s="558"/>
      <c r="K52" s="558"/>
      <c r="L52" s="558"/>
      <c r="M52" s="559"/>
      <c r="N52" s="67" t="s">
        <v>110</v>
      </c>
      <c r="O52" s="239" t="s">
        <v>46</v>
      </c>
      <c r="P52" s="557" t="s">
        <v>47</v>
      </c>
      <c r="Q52" s="560"/>
      <c r="R52" s="557" t="s">
        <v>38</v>
      </c>
      <c r="S52" s="558"/>
      <c r="T52" s="558"/>
      <c r="U52" s="560"/>
      <c r="V52" s="557" t="s">
        <v>48</v>
      </c>
      <c r="W52" s="558"/>
      <c r="X52" s="558"/>
      <c r="Y52" s="558"/>
      <c r="Z52" s="558"/>
      <c r="AA52" s="558"/>
      <c r="AB52" s="558"/>
      <c r="AC52" s="558"/>
      <c r="AD52" s="559"/>
    </row>
    <row r="53" spans="1:32" ht="27" customHeight="1">
      <c r="A53" s="526" t="s">
        <v>120</v>
      </c>
      <c r="B53" s="527"/>
      <c r="C53" s="236" t="s">
        <v>130</v>
      </c>
      <c r="D53" s="236" t="s">
        <v>128</v>
      </c>
      <c r="E53" s="236" t="s">
        <v>156</v>
      </c>
      <c r="F53" s="528" t="s">
        <v>378</v>
      </c>
      <c r="G53" s="529"/>
      <c r="H53" s="529"/>
      <c r="I53" s="529"/>
      <c r="J53" s="529"/>
      <c r="K53" s="529"/>
      <c r="L53" s="529"/>
      <c r="M53" s="530"/>
      <c r="N53" s="235" t="s">
        <v>112</v>
      </c>
      <c r="O53" s="233" t="s">
        <v>142</v>
      </c>
      <c r="P53" s="540" t="s">
        <v>115</v>
      </c>
      <c r="Q53" s="541"/>
      <c r="R53" s="540" t="s">
        <v>350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121</v>
      </c>
      <c r="B54" s="527"/>
      <c r="C54" s="236" t="s">
        <v>137</v>
      </c>
      <c r="D54" s="236" t="s">
        <v>196</v>
      </c>
      <c r="E54" s="236" t="s">
        <v>359</v>
      </c>
      <c r="F54" s="528" t="s">
        <v>379</v>
      </c>
      <c r="G54" s="529"/>
      <c r="H54" s="529"/>
      <c r="I54" s="529"/>
      <c r="J54" s="529"/>
      <c r="K54" s="529"/>
      <c r="L54" s="529"/>
      <c r="M54" s="530"/>
      <c r="N54" s="235" t="s">
        <v>112</v>
      </c>
      <c r="O54" s="233" t="s">
        <v>261</v>
      </c>
      <c r="P54" s="540" t="s">
        <v>257</v>
      </c>
      <c r="Q54" s="541"/>
      <c r="R54" s="540" t="s">
        <v>262</v>
      </c>
      <c r="S54" s="542"/>
      <c r="T54" s="542"/>
      <c r="U54" s="541"/>
      <c r="V54" s="510" t="s">
        <v>177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236" t="s">
        <v>185</v>
      </c>
      <c r="D55" s="236" t="s">
        <v>165</v>
      </c>
      <c r="E55" s="236" t="s">
        <v>260</v>
      </c>
      <c r="F55" s="528" t="s">
        <v>177</v>
      </c>
      <c r="G55" s="529"/>
      <c r="H55" s="529"/>
      <c r="I55" s="529"/>
      <c r="J55" s="529"/>
      <c r="K55" s="529"/>
      <c r="L55" s="529"/>
      <c r="M55" s="530"/>
      <c r="N55" s="235" t="s">
        <v>112</v>
      </c>
      <c r="O55" s="233" t="s">
        <v>239</v>
      </c>
      <c r="P55" s="540" t="s">
        <v>115</v>
      </c>
      <c r="Q55" s="541"/>
      <c r="R55" s="540" t="s">
        <v>116</v>
      </c>
      <c r="S55" s="542"/>
      <c r="T55" s="542"/>
      <c r="U55" s="541"/>
      <c r="V55" s="510" t="s">
        <v>177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121</v>
      </c>
      <c r="B56" s="527"/>
      <c r="C56" s="236" t="s">
        <v>179</v>
      </c>
      <c r="D56" s="236" t="s">
        <v>115</v>
      </c>
      <c r="E56" s="236" t="s">
        <v>351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235" t="s">
        <v>112</v>
      </c>
      <c r="O56" s="233" t="s">
        <v>194</v>
      </c>
      <c r="P56" s="540" t="s">
        <v>115</v>
      </c>
      <c r="Q56" s="541"/>
      <c r="R56" s="540" t="s">
        <v>322</v>
      </c>
      <c r="S56" s="542"/>
      <c r="T56" s="542"/>
      <c r="U56" s="541"/>
      <c r="V56" s="510" t="s">
        <v>294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120</v>
      </c>
      <c r="B57" s="527"/>
      <c r="C57" s="236" t="s">
        <v>147</v>
      </c>
      <c r="D57" s="236" t="s">
        <v>115</v>
      </c>
      <c r="E57" s="236" t="s">
        <v>376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235"/>
      <c r="O57" s="233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121</v>
      </c>
      <c r="B58" s="527"/>
      <c r="C58" s="236" t="s">
        <v>194</v>
      </c>
      <c r="D58" s="236" t="s">
        <v>131</v>
      </c>
      <c r="E58" s="236" t="s">
        <v>368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235"/>
      <c r="O58" s="233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112</v>
      </c>
      <c r="B59" s="527"/>
      <c r="C59" s="236" t="s">
        <v>142</v>
      </c>
      <c r="D59" s="236" t="s">
        <v>115</v>
      </c>
      <c r="E59" s="236" t="s">
        <v>350</v>
      </c>
      <c r="F59" s="528" t="s">
        <v>381</v>
      </c>
      <c r="G59" s="529"/>
      <c r="H59" s="529"/>
      <c r="I59" s="529"/>
      <c r="J59" s="529"/>
      <c r="K59" s="529"/>
      <c r="L59" s="529"/>
      <c r="M59" s="530"/>
      <c r="N59" s="235"/>
      <c r="O59" s="233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236"/>
      <c r="D60" s="236"/>
      <c r="E60" s="236"/>
      <c r="F60" s="528"/>
      <c r="G60" s="529"/>
      <c r="H60" s="529"/>
      <c r="I60" s="529"/>
      <c r="J60" s="529"/>
      <c r="K60" s="529"/>
      <c r="L60" s="529"/>
      <c r="M60" s="530"/>
      <c r="N60" s="235"/>
      <c r="O60" s="233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236"/>
      <c r="D61" s="236"/>
      <c r="E61" s="236"/>
      <c r="F61" s="528"/>
      <c r="G61" s="529"/>
      <c r="H61" s="529"/>
      <c r="I61" s="529"/>
      <c r="J61" s="529"/>
      <c r="K61" s="529"/>
      <c r="L61" s="529"/>
      <c r="M61" s="530"/>
      <c r="N61" s="235"/>
      <c r="O61" s="233"/>
      <c r="P61" s="527"/>
      <c r="Q61" s="527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  <c r="AF61" s="84">
        <f>8*3000</f>
        <v>24000</v>
      </c>
    </row>
    <row r="62" spans="1:32" ht="27" customHeight="1" thickBot="1">
      <c r="A62" s="532"/>
      <c r="B62" s="533"/>
      <c r="C62" s="237"/>
      <c r="D62" s="238"/>
      <c r="E62" s="238"/>
      <c r="F62" s="534"/>
      <c r="G62" s="535"/>
      <c r="H62" s="535"/>
      <c r="I62" s="535"/>
      <c r="J62" s="535"/>
      <c r="K62" s="535"/>
      <c r="L62" s="535"/>
      <c r="M62" s="536"/>
      <c r="N62" s="112"/>
      <c r="O62" s="103"/>
      <c r="P62" s="537"/>
      <c r="Q62" s="537"/>
      <c r="R62" s="537"/>
      <c r="S62" s="537"/>
      <c r="T62" s="537"/>
      <c r="U62" s="537"/>
      <c r="V62" s="538"/>
      <c r="W62" s="538"/>
      <c r="X62" s="538"/>
      <c r="Y62" s="538"/>
      <c r="Z62" s="538"/>
      <c r="AA62" s="538"/>
      <c r="AB62" s="538"/>
      <c r="AC62" s="538"/>
      <c r="AD62" s="539"/>
      <c r="AF62" s="84">
        <f>16*3000</f>
        <v>48000</v>
      </c>
    </row>
    <row r="63" spans="1:32" ht="27.75" thickBot="1">
      <c r="A63" s="524" t="s">
        <v>382</v>
      </c>
      <c r="B63" s="524"/>
      <c r="C63" s="524"/>
      <c r="D63" s="524"/>
      <c r="E63" s="52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25" t="s">
        <v>111</v>
      </c>
      <c r="B64" s="520"/>
      <c r="C64" s="234" t="s">
        <v>2</v>
      </c>
      <c r="D64" s="234" t="s">
        <v>37</v>
      </c>
      <c r="E64" s="234" t="s">
        <v>3</v>
      </c>
      <c r="F64" s="520" t="s">
        <v>109</v>
      </c>
      <c r="G64" s="520"/>
      <c r="H64" s="520"/>
      <c r="I64" s="520"/>
      <c r="J64" s="520"/>
      <c r="K64" s="520" t="s">
        <v>39</v>
      </c>
      <c r="L64" s="520"/>
      <c r="M64" s="234" t="s">
        <v>40</v>
      </c>
      <c r="N64" s="520" t="s">
        <v>41</v>
      </c>
      <c r="O64" s="520"/>
      <c r="P64" s="517" t="s">
        <v>42</v>
      </c>
      <c r="Q64" s="519"/>
      <c r="R64" s="517" t="s">
        <v>43</v>
      </c>
      <c r="S64" s="518"/>
      <c r="T64" s="518"/>
      <c r="U64" s="518"/>
      <c r="V64" s="518"/>
      <c r="W64" s="518"/>
      <c r="X64" s="518"/>
      <c r="Y64" s="518"/>
      <c r="Z64" s="518"/>
      <c r="AA64" s="519"/>
      <c r="AB64" s="520" t="s">
        <v>44</v>
      </c>
      <c r="AC64" s="520"/>
      <c r="AD64" s="521"/>
      <c r="AF64" s="84">
        <f>SUM(AF61:AF63)</f>
        <v>96000</v>
      </c>
    </row>
    <row r="65" spans="1:32" ht="25.5" customHeight="1">
      <c r="A65" s="503">
        <v>1</v>
      </c>
      <c r="B65" s="504"/>
      <c r="C65" s="105" t="s">
        <v>112</v>
      </c>
      <c r="D65" s="229"/>
      <c r="E65" s="232" t="s">
        <v>115</v>
      </c>
      <c r="F65" s="513" t="s">
        <v>383</v>
      </c>
      <c r="G65" s="514"/>
      <c r="H65" s="514"/>
      <c r="I65" s="514"/>
      <c r="J65" s="515"/>
      <c r="K65" s="497">
        <v>7301</v>
      </c>
      <c r="L65" s="497"/>
      <c r="M65" s="51" t="s">
        <v>384</v>
      </c>
      <c r="N65" s="511" t="s">
        <v>201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516"/>
      <c r="AC65" s="522"/>
      <c r="AD65" s="523"/>
      <c r="AF65" s="50"/>
    </row>
    <row r="66" spans="1:32" ht="25.5" customHeight="1">
      <c r="A66" s="503">
        <v>2</v>
      </c>
      <c r="B66" s="504"/>
      <c r="C66" s="105"/>
      <c r="D66" s="229"/>
      <c r="E66" s="232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3</v>
      </c>
      <c r="B67" s="504"/>
      <c r="C67" s="105"/>
      <c r="D67" s="229"/>
      <c r="E67" s="232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4</v>
      </c>
      <c r="B68" s="504"/>
      <c r="C68" s="105"/>
      <c r="D68" s="229"/>
      <c r="E68" s="232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5</v>
      </c>
      <c r="B69" s="504"/>
      <c r="C69" s="105"/>
      <c r="D69" s="229"/>
      <c r="E69" s="232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6</v>
      </c>
      <c r="B70" s="504"/>
      <c r="C70" s="105"/>
      <c r="D70" s="229"/>
      <c r="E70" s="232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7</v>
      </c>
      <c r="B71" s="504"/>
      <c r="C71" s="105"/>
      <c r="D71" s="229"/>
      <c r="E71" s="232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8</v>
      </c>
      <c r="B72" s="504"/>
      <c r="C72" s="105"/>
      <c r="D72" s="229"/>
      <c r="E72" s="232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9</v>
      </c>
      <c r="B73" s="504"/>
      <c r="C73" s="105"/>
      <c r="D73" s="229"/>
      <c r="E73" s="232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10</v>
      </c>
      <c r="B74" s="504"/>
      <c r="C74" s="105"/>
      <c r="D74" s="229"/>
      <c r="E74" s="232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6.25" customHeight="1" thickBot="1">
      <c r="A75" s="477" t="s">
        <v>385</v>
      </c>
      <c r="B75" s="477"/>
      <c r="C75" s="477"/>
      <c r="D75" s="477"/>
      <c r="E75" s="47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8" t="s">
        <v>111</v>
      </c>
      <c r="B76" s="479"/>
      <c r="C76" s="231" t="s">
        <v>2</v>
      </c>
      <c r="D76" s="231" t="s">
        <v>37</v>
      </c>
      <c r="E76" s="231" t="s">
        <v>3</v>
      </c>
      <c r="F76" s="479" t="s">
        <v>38</v>
      </c>
      <c r="G76" s="479"/>
      <c r="H76" s="479"/>
      <c r="I76" s="479"/>
      <c r="J76" s="479"/>
      <c r="K76" s="499" t="s">
        <v>58</v>
      </c>
      <c r="L76" s="500"/>
      <c r="M76" s="500"/>
      <c r="N76" s="500"/>
      <c r="O76" s="500"/>
      <c r="P76" s="500"/>
      <c r="Q76" s="500"/>
      <c r="R76" s="500"/>
      <c r="S76" s="501"/>
      <c r="T76" s="479" t="s">
        <v>49</v>
      </c>
      <c r="U76" s="479"/>
      <c r="V76" s="499" t="s">
        <v>50</v>
      </c>
      <c r="W76" s="501"/>
      <c r="X76" s="500" t="s">
        <v>51</v>
      </c>
      <c r="Y76" s="500"/>
      <c r="Z76" s="500"/>
      <c r="AA76" s="500"/>
      <c r="AB76" s="500"/>
      <c r="AC76" s="500"/>
      <c r="AD76" s="502"/>
      <c r="AF76" s="50"/>
    </row>
    <row r="77" spans="1:32" ht="33.75" customHeight="1">
      <c r="A77" s="471">
        <v>1</v>
      </c>
      <c r="B77" s="472"/>
      <c r="C77" s="230" t="s">
        <v>112</v>
      </c>
      <c r="D77" s="230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64">
        <f>A77+1</f>
        <v>2</v>
      </c>
      <c r="B78" s="465"/>
      <c r="C78" s="229"/>
      <c r="D78" s="229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ref="A79:A83" si="23">A78+1</f>
        <v>3</v>
      </c>
      <c r="B79" s="465"/>
      <c r="C79" s="229"/>
      <c r="D79" s="229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23"/>
        <v>4</v>
      </c>
      <c r="B80" s="465"/>
      <c r="C80" s="229"/>
      <c r="D80" s="229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3"/>
        <v>5</v>
      </c>
      <c r="B81" s="465"/>
      <c r="C81" s="229"/>
      <c r="D81" s="229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3"/>
        <v>6</v>
      </c>
      <c r="B82" s="465"/>
      <c r="C82" s="229"/>
      <c r="D82" s="229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3"/>
        <v>7</v>
      </c>
      <c r="B83" s="465"/>
      <c r="C83" s="229"/>
      <c r="D83" s="229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7" t="s">
        <v>386</v>
      </c>
      <c r="B84" s="477"/>
      <c r="C84" s="477"/>
      <c r="D84" s="477"/>
      <c r="E84" s="47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8" t="s">
        <v>111</v>
      </c>
      <c r="B85" s="479"/>
      <c r="C85" s="469" t="s">
        <v>52</v>
      </c>
      <c r="D85" s="469"/>
      <c r="E85" s="469" t="s">
        <v>53</v>
      </c>
      <c r="F85" s="469"/>
      <c r="G85" s="469"/>
      <c r="H85" s="469"/>
      <c r="I85" s="469"/>
      <c r="J85" s="469"/>
      <c r="K85" s="469" t="s">
        <v>54</v>
      </c>
      <c r="L85" s="469"/>
      <c r="M85" s="469"/>
      <c r="N85" s="469"/>
      <c r="O85" s="469"/>
      <c r="P85" s="469"/>
      <c r="Q85" s="469"/>
      <c r="R85" s="469"/>
      <c r="S85" s="469"/>
      <c r="T85" s="469" t="s">
        <v>55</v>
      </c>
      <c r="U85" s="469"/>
      <c r="V85" s="469" t="s">
        <v>56</v>
      </c>
      <c r="W85" s="469"/>
      <c r="X85" s="469"/>
      <c r="Y85" s="469" t="s">
        <v>51</v>
      </c>
      <c r="Z85" s="469"/>
      <c r="AA85" s="469"/>
      <c r="AB85" s="469"/>
      <c r="AC85" s="469"/>
      <c r="AD85" s="470"/>
      <c r="AF85" s="50"/>
    </row>
    <row r="86" spans="1:32" ht="30.75" customHeight="1">
      <c r="A86" s="471">
        <v>1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4"/>
      <c r="W86" s="474"/>
      <c r="X86" s="474"/>
      <c r="Y86" s="475"/>
      <c r="Z86" s="475"/>
      <c r="AA86" s="475"/>
      <c r="AB86" s="475"/>
      <c r="AC86" s="475"/>
      <c r="AD86" s="476"/>
      <c r="AF86" s="50"/>
    </row>
    <row r="87" spans="1:32" ht="30.75" customHeight="1">
      <c r="A87" s="464">
        <v>2</v>
      </c>
      <c r="B87" s="465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7"/>
      <c r="U87" s="467"/>
      <c r="V87" s="468"/>
      <c r="W87" s="468"/>
      <c r="X87" s="468"/>
      <c r="Y87" s="457"/>
      <c r="Z87" s="457"/>
      <c r="AA87" s="457"/>
      <c r="AB87" s="457"/>
      <c r="AC87" s="457"/>
      <c r="AD87" s="458"/>
      <c r="AF87" s="50"/>
    </row>
    <row r="88" spans="1:32" ht="30.75" customHeight="1" thickBot="1">
      <c r="A88" s="459">
        <v>3</v>
      </c>
      <c r="B88" s="460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2"/>
      <c r="Z88" s="462"/>
      <c r="AA88" s="462"/>
      <c r="AB88" s="462"/>
      <c r="AC88" s="462"/>
      <c r="AD88" s="463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0C3F-C26A-4933-B4C1-F70D98903C1D}">
  <dimension ref="A1:AF89"/>
  <sheetViews>
    <sheetView topLeftCell="A13" zoomScale="72" zoomScaleNormal="72" zoomScaleSheetLayoutView="70" workbookViewId="0">
      <selection activeCell="Y20" sqref="Y2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387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41" t="s">
        <v>17</v>
      </c>
      <c r="L5" s="241" t="s">
        <v>18</v>
      </c>
      <c r="M5" s="241" t="s">
        <v>19</v>
      </c>
      <c r="N5" s="24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6089</v>
      </c>
      <c r="K6" s="15">
        <f>L6+5567+6177+5956+2594+5676+6103+6040+4713</f>
        <v>48915</v>
      </c>
      <c r="L6" s="15">
        <f>2998+3091</f>
        <v>6089</v>
      </c>
      <c r="M6" s="15">
        <f t="shared" ref="M6:M23" si="0">L6-N6</f>
        <v>6089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24</v>
      </c>
      <c r="Q6" s="40">
        <f t="shared" ref="Q6:Q23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1</v>
      </c>
      <c r="AD6" s="10">
        <f t="shared" ref="AD6:AD23" si="6">AC6*AB6*(1-O6)</f>
        <v>1</v>
      </c>
      <c r="AE6" s="36">
        <f t="shared" ref="AE6:AE19" si="7">$AD$24</f>
        <v>0.68518518518518523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90000</v>
      </c>
      <c r="J7" s="5">
        <v>16392</v>
      </c>
      <c r="K7" s="15">
        <f>L7+11280+18680</f>
        <v>46352</v>
      </c>
      <c r="L7" s="15">
        <f>2669*3+2795*3</f>
        <v>16392</v>
      </c>
      <c r="M7" s="15">
        <f t="shared" si="0"/>
        <v>16392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0.68518518518518523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4798</v>
      </c>
      <c r="K8" s="15">
        <f>L8+1658+3024+3826+5621+5758+5746+5871+5666+2439+5254+5051+3104</f>
        <v>57816</v>
      </c>
      <c r="L8" s="15">
        <f>1932+2866</f>
        <v>4798</v>
      </c>
      <c r="M8" s="15">
        <f t="shared" si="0"/>
        <v>4798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0.68518518518518523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350</v>
      </c>
      <c r="F9" s="30" t="s">
        <v>119</v>
      </c>
      <c r="G9" s="33">
        <v>1</v>
      </c>
      <c r="H9" s="35">
        <v>24</v>
      </c>
      <c r="I9" s="7">
        <v>4000</v>
      </c>
      <c r="J9" s="14">
        <v>1451</v>
      </c>
      <c r="K9" s="15">
        <f>L9+810+1888</f>
        <v>4149</v>
      </c>
      <c r="L9" s="15">
        <f>1451</f>
        <v>1451</v>
      </c>
      <c r="M9" s="15">
        <f t="shared" si="0"/>
        <v>1451</v>
      </c>
      <c r="N9" s="15">
        <v>0</v>
      </c>
      <c r="O9" s="58">
        <f t="shared" si="1"/>
        <v>0</v>
      </c>
      <c r="P9" s="39">
        <f t="shared" si="2"/>
        <v>8</v>
      </c>
      <c r="Q9" s="40">
        <f t="shared" si="3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6">
        <f t="shared" si="7"/>
        <v>0.68518518518518523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3835</v>
      </c>
      <c r="K10" s="15">
        <f>L10+3006+4988+687+4584+5534+5337+2364+5092+2217+5471+5522</f>
        <v>48637</v>
      </c>
      <c r="L10" s="15">
        <f>2721+1114</f>
        <v>3835</v>
      </c>
      <c r="M10" s="15">
        <f t="shared" si="0"/>
        <v>3835</v>
      </c>
      <c r="N10" s="15">
        <v>0</v>
      </c>
      <c r="O10" s="58">
        <f t="shared" si="1"/>
        <v>0</v>
      </c>
      <c r="P10" s="39">
        <f t="shared" si="2"/>
        <v>20</v>
      </c>
      <c r="Q10" s="40">
        <f t="shared" si="3"/>
        <v>4</v>
      </c>
      <c r="R10" s="7"/>
      <c r="S10" s="6"/>
      <c r="T10" s="16"/>
      <c r="U10" s="16"/>
      <c r="V10" s="17"/>
      <c r="W10" s="5">
        <v>4</v>
      </c>
      <c r="X10" s="16"/>
      <c r="Y10" s="16"/>
      <c r="Z10" s="16"/>
      <c r="AA10" s="18"/>
      <c r="AB10" s="8">
        <f t="shared" si="4"/>
        <v>1</v>
      </c>
      <c r="AC10" s="9">
        <f t="shared" si="5"/>
        <v>0.83333333333333337</v>
      </c>
      <c r="AD10" s="10">
        <f>AC10*AB10*(1-O10)</f>
        <v>0.83333333333333337</v>
      </c>
      <c r="AE10" s="36">
        <f t="shared" si="7"/>
        <v>0.68518518518518523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3309</v>
      </c>
      <c r="K11" s="15">
        <f>L11+4668+4429+5671+2067+5444+3967+5843+5907</f>
        <v>41305</v>
      </c>
      <c r="L11" s="15">
        <f>328+2981</f>
        <v>3309</v>
      </c>
      <c r="M11" s="15">
        <f t="shared" si="0"/>
        <v>3309</v>
      </c>
      <c r="N11" s="15">
        <v>0</v>
      </c>
      <c r="O11" s="58">
        <f t="shared" si="1"/>
        <v>0</v>
      </c>
      <c r="P11" s="39">
        <f t="shared" si="2"/>
        <v>14</v>
      </c>
      <c r="Q11" s="40">
        <f t="shared" si="3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0.58333333333333337</v>
      </c>
      <c r="AD11" s="10">
        <f>AC11*AB11*(1-O11)</f>
        <v>0.58333333333333337</v>
      </c>
      <c r="AE11" s="36">
        <f t="shared" si="7"/>
        <v>0.68518518518518523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48500</v>
      </c>
      <c r="J12" s="14">
        <v>2171</v>
      </c>
      <c r="K12" s="15">
        <f>L12+2120+2858+4163+3861+4361+2294+4491+3957+1094+4596+4805+4701+4434</f>
        <v>49906</v>
      </c>
      <c r="L12" s="15">
        <f>196+1975</f>
        <v>2171</v>
      </c>
      <c r="M12" s="15">
        <f t="shared" si="0"/>
        <v>2171</v>
      </c>
      <c r="N12" s="15">
        <v>0</v>
      </c>
      <c r="O12" s="58">
        <f t="shared" si="1"/>
        <v>0</v>
      </c>
      <c r="P12" s="39">
        <f t="shared" si="2"/>
        <v>13</v>
      </c>
      <c r="Q12" s="40">
        <f t="shared" si="3"/>
        <v>11</v>
      </c>
      <c r="R12" s="7"/>
      <c r="S12" s="6">
        <v>11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0.54166666666666663</v>
      </c>
      <c r="AD12" s="10">
        <f t="shared" ref="AD12:AD14" si="9">AC12*AB12*(1-O12)</f>
        <v>0.54166666666666663</v>
      </c>
      <c r="AE12" s="36">
        <f t="shared" si="7"/>
        <v>0.68518518518518523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90000</v>
      </c>
      <c r="J13" s="14">
        <v>20364</v>
      </c>
      <c r="K13" s="15">
        <f>L13+11384</f>
        <v>31748</v>
      </c>
      <c r="L13" s="15">
        <f>2561*4+2530*4</f>
        <v>20364</v>
      </c>
      <c r="M13" s="15">
        <f t="shared" si="0"/>
        <v>20364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0.68518518518518523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</f>
        <v>350</v>
      </c>
      <c r="L14" s="15">
        <v>350</v>
      </c>
      <c r="M14" s="15">
        <f t="shared" si="0"/>
        <v>350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7"/>
        <v>0.68518518518518523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388</v>
      </c>
      <c r="F15" s="12" t="s">
        <v>247</v>
      </c>
      <c r="G15" s="12">
        <v>1</v>
      </c>
      <c r="H15" s="13">
        <v>24</v>
      </c>
      <c r="I15" s="31">
        <v>6100</v>
      </c>
      <c r="J15" s="14">
        <v>5017</v>
      </c>
      <c r="K15" s="15">
        <f>L15</f>
        <v>5017</v>
      </c>
      <c r="L15" s="15">
        <f>2663+2354</f>
        <v>5017</v>
      </c>
      <c r="M15" s="15">
        <f t="shared" si="0"/>
        <v>5017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0.68518518518518523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4500</v>
      </c>
      <c r="K16" s="15">
        <f>L16+1024+3034+3628+4720+3293+5714+5436+4776</f>
        <v>36125</v>
      </c>
      <c r="L16" s="15">
        <f>2067+2433</f>
        <v>4500</v>
      </c>
      <c r="M16" s="15">
        <f t="shared" si="0"/>
        <v>4500</v>
      </c>
      <c r="N16" s="15">
        <v>0</v>
      </c>
      <c r="O16" s="58">
        <f t="shared" si="1"/>
        <v>0</v>
      </c>
      <c r="P16" s="39">
        <f t="shared" si="2"/>
        <v>23</v>
      </c>
      <c r="Q16" s="40">
        <f t="shared" si="3"/>
        <v>1</v>
      </c>
      <c r="R16" s="7"/>
      <c r="S16" s="6">
        <v>1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6">
        <f t="shared" si="7"/>
        <v>0.68518518518518523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250000</v>
      </c>
      <c r="J17" s="5">
        <v>22164</v>
      </c>
      <c r="K17" s="15">
        <f>L17+13840+22204+21992+20260</f>
        <v>100460</v>
      </c>
      <c r="L17" s="15">
        <f>2737*4+2804*4</f>
        <v>22164</v>
      </c>
      <c r="M17" s="15">
        <f t="shared" si="0"/>
        <v>22164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0.68518518518518523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376</v>
      </c>
      <c r="F18" s="30" t="s">
        <v>119</v>
      </c>
      <c r="G18" s="12">
        <v>1</v>
      </c>
      <c r="H18" s="13">
        <v>28</v>
      </c>
      <c r="I18" s="31">
        <v>3000</v>
      </c>
      <c r="J18" s="5">
        <v>5355</v>
      </c>
      <c r="K18" s="15">
        <f>L18+2621</f>
        <v>7976</v>
      </c>
      <c r="L18" s="15">
        <f>2646+2709</f>
        <v>5355</v>
      </c>
      <c r="M18" s="15">
        <f t="shared" si="0"/>
        <v>5355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0.68518518518518523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115</v>
      </c>
      <c r="E19" s="53" t="s">
        <v>322</v>
      </c>
      <c r="F19" s="30" t="s">
        <v>146</v>
      </c>
      <c r="G19" s="33">
        <v>1</v>
      </c>
      <c r="H19" s="35">
        <v>24</v>
      </c>
      <c r="I19" s="7">
        <v>400</v>
      </c>
      <c r="J19" s="5">
        <v>450</v>
      </c>
      <c r="K19" s="15">
        <f>L19</f>
        <v>450</v>
      </c>
      <c r="L19" s="15">
        <v>450</v>
      </c>
      <c r="M19" s="15">
        <f t="shared" si="0"/>
        <v>450</v>
      </c>
      <c r="N19" s="15">
        <v>0</v>
      </c>
      <c r="O19" s="58">
        <f t="shared" si="1"/>
        <v>0</v>
      </c>
      <c r="P19" s="39">
        <f t="shared" si="2"/>
        <v>3</v>
      </c>
      <c r="Q19" s="40">
        <f t="shared" si="3"/>
        <v>21</v>
      </c>
      <c r="R19" s="7"/>
      <c r="S19" s="6"/>
      <c r="T19" s="16"/>
      <c r="U19" s="16"/>
      <c r="V19" s="17"/>
      <c r="W19" s="5">
        <v>21</v>
      </c>
      <c r="X19" s="16"/>
      <c r="Y19" s="16"/>
      <c r="Z19" s="16"/>
      <c r="AA19" s="18"/>
      <c r="AB19" s="8">
        <f t="shared" si="4"/>
        <v>1</v>
      </c>
      <c r="AC19" s="9">
        <f t="shared" si="5"/>
        <v>0.125</v>
      </c>
      <c r="AD19" s="10">
        <f>AC19*AB19*(1-O19)</f>
        <v>0.125</v>
      </c>
      <c r="AE19" s="36">
        <f t="shared" si="7"/>
        <v>0.68518518518518523</v>
      </c>
      <c r="AF19" s="84">
        <f t="shared" si="8"/>
        <v>14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115</v>
      </c>
      <c r="E20" s="53" t="s">
        <v>324</v>
      </c>
      <c r="F20" s="30" t="s">
        <v>146</v>
      </c>
      <c r="G20" s="33">
        <v>1</v>
      </c>
      <c r="H20" s="35">
        <v>24</v>
      </c>
      <c r="I20" s="7">
        <v>50</v>
      </c>
      <c r="J20" s="5">
        <v>72</v>
      </c>
      <c r="K20" s="15">
        <f t="shared" ref="K20:K21" si="10">L20</f>
        <v>72</v>
      </c>
      <c r="L20" s="15">
        <v>72</v>
      </c>
      <c r="M20" s="15">
        <f t="shared" ref="M20:M21" si="11">L20-N20</f>
        <v>72</v>
      </c>
      <c r="N20" s="15">
        <v>0</v>
      </c>
      <c r="O20" s="58">
        <f t="shared" ref="O20:O21" si="12">IF(L20=0,"0",N20/L20)</f>
        <v>0</v>
      </c>
      <c r="P20" s="39">
        <f t="shared" ref="P20:P21" si="13">IF(L20=0,"0",(24-Q20))</f>
        <v>2</v>
      </c>
      <c r="Q20" s="40">
        <f t="shared" ref="Q20:Q21" si="14">SUM(R20:AA20)</f>
        <v>22</v>
      </c>
      <c r="R20" s="7"/>
      <c r="S20" s="6"/>
      <c r="T20" s="16"/>
      <c r="U20" s="16"/>
      <c r="V20" s="17"/>
      <c r="W20" s="5">
        <v>22</v>
      </c>
      <c r="X20" s="16"/>
      <c r="Y20" s="16"/>
      <c r="Z20" s="16"/>
      <c r="AA20" s="18"/>
      <c r="AB20" s="8">
        <f t="shared" ref="AB20:AB21" si="15">IF(J20=0,"0",(L20/J20))</f>
        <v>1</v>
      </c>
      <c r="AC20" s="9">
        <f t="shared" ref="AC20:AC21" si="16">IF(P20=0,"0",(P20/24))</f>
        <v>8.3333333333333329E-2</v>
      </c>
      <c r="AD20" s="10">
        <f t="shared" ref="AD20:AD21" si="17">AC20*AB20*(1-O20)</f>
        <v>8.3333333333333329E-2</v>
      </c>
      <c r="AE20" s="36">
        <f t="shared" ref="AE20:AE21" si="18">$AD$24</f>
        <v>0.68518518518518523</v>
      </c>
      <c r="AF20" s="84">
        <f t="shared" ref="AF20:AF21" si="19">A20</f>
        <v>14</v>
      </c>
    </row>
    <row r="21" spans="1:32" ht="27" customHeight="1">
      <c r="A21" s="96">
        <v>14</v>
      </c>
      <c r="B21" s="11" t="s">
        <v>57</v>
      </c>
      <c r="C21" s="34" t="s">
        <v>120</v>
      </c>
      <c r="D21" s="52" t="s">
        <v>131</v>
      </c>
      <c r="E21" s="53" t="s">
        <v>389</v>
      </c>
      <c r="F21" s="30" t="s">
        <v>210</v>
      </c>
      <c r="G21" s="33">
        <v>1</v>
      </c>
      <c r="H21" s="35">
        <v>24</v>
      </c>
      <c r="I21" s="7">
        <v>5500</v>
      </c>
      <c r="J21" s="5">
        <v>3445</v>
      </c>
      <c r="K21" s="15">
        <f t="shared" si="10"/>
        <v>3445</v>
      </c>
      <c r="L21" s="15">
        <f>2611+834</f>
        <v>3445</v>
      </c>
      <c r="M21" s="15">
        <f t="shared" si="11"/>
        <v>3445</v>
      </c>
      <c r="N21" s="15">
        <v>0</v>
      </c>
      <c r="O21" s="58">
        <f t="shared" si="12"/>
        <v>0</v>
      </c>
      <c r="P21" s="39">
        <f t="shared" si="13"/>
        <v>17</v>
      </c>
      <c r="Q21" s="40">
        <f t="shared" si="14"/>
        <v>7</v>
      </c>
      <c r="R21" s="7"/>
      <c r="S21" s="6"/>
      <c r="T21" s="16">
        <v>7</v>
      </c>
      <c r="U21" s="16"/>
      <c r="V21" s="17"/>
      <c r="W21" s="5"/>
      <c r="X21" s="16"/>
      <c r="Y21" s="16"/>
      <c r="Z21" s="16"/>
      <c r="AA21" s="18"/>
      <c r="AB21" s="8">
        <f t="shared" si="15"/>
        <v>1</v>
      </c>
      <c r="AC21" s="9">
        <f t="shared" si="16"/>
        <v>0.70833333333333337</v>
      </c>
      <c r="AD21" s="10">
        <f t="shared" si="17"/>
        <v>0.70833333333333337</v>
      </c>
      <c r="AE21" s="36">
        <f t="shared" si="18"/>
        <v>0.68518518518518523</v>
      </c>
      <c r="AF21" s="84">
        <f t="shared" si="19"/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224</v>
      </c>
      <c r="F22" s="30" t="s">
        <v>119</v>
      </c>
      <c r="G22" s="33">
        <v>1</v>
      </c>
      <c r="H22" s="35">
        <v>24</v>
      </c>
      <c r="I22" s="7">
        <v>64000</v>
      </c>
      <c r="J22" s="14">
        <v>5152</v>
      </c>
      <c r="K22" s="15">
        <f>L22+4204+5394+5278+1522+3899+5224</f>
        <v>30673</v>
      </c>
      <c r="L22" s="15">
        <f>2619+2533</f>
        <v>5152</v>
      </c>
      <c r="M22" s="15">
        <f t="shared" si="0"/>
        <v>5152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ref="AD22" si="20">AC22*AB22*(1-O22)</f>
        <v>1</v>
      </c>
      <c r="AE22" s="36">
        <f>$AD$24</f>
        <v>0.68518518518518523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152</v>
      </c>
      <c r="F23" s="12" t="s">
        <v>114</v>
      </c>
      <c r="G23" s="12">
        <v>4</v>
      </c>
      <c r="H23" s="35">
        <v>20</v>
      </c>
      <c r="I23" s="7">
        <v>500000</v>
      </c>
      <c r="J23" s="14">
        <v>30748</v>
      </c>
      <c r="K23" s="15">
        <f>L23+46004+81588+47056+35856+81716+45768+30748</f>
        <v>368736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>$AD$24</f>
        <v>0.68518518518518523</v>
      </c>
      <c r="AF23" s="84">
        <f t="shared" si="8"/>
        <v>16</v>
      </c>
    </row>
    <row r="24" spans="1:32" ht="31.5" customHeight="1" thickBot="1">
      <c r="A24" s="545" t="s">
        <v>34</v>
      </c>
      <c r="B24" s="546"/>
      <c r="C24" s="546"/>
      <c r="D24" s="546"/>
      <c r="E24" s="546"/>
      <c r="F24" s="546"/>
      <c r="G24" s="546"/>
      <c r="H24" s="547"/>
      <c r="I24" s="22">
        <f t="shared" ref="I24:N24" si="21">SUM(I6:I23)</f>
        <v>1379850</v>
      </c>
      <c r="J24" s="19">
        <f t="shared" si="21"/>
        <v>135662</v>
      </c>
      <c r="K24" s="20">
        <f t="shared" si="21"/>
        <v>882132</v>
      </c>
      <c r="L24" s="21">
        <f t="shared" si="21"/>
        <v>104914</v>
      </c>
      <c r="M24" s="20">
        <f t="shared" si="21"/>
        <v>104914</v>
      </c>
      <c r="N24" s="21">
        <f t="shared" si="21"/>
        <v>0</v>
      </c>
      <c r="O24" s="41">
        <f t="shared" si="1"/>
        <v>0</v>
      </c>
      <c r="P24" s="42">
        <f t="shared" ref="P24:AA24" si="22">SUM(P6:P23)</f>
        <v>296</v>
      </c>
      <c r="Q24" s="43">
        <f t="shared" si="22"/>
        <v>136</v>
      </c>
      <c r="R24" s="23">
        <f t="shared" si="22"/>
        <v>0</v>
      </c>
      <c r="S24" s="24">
        <f t="shared" si="22"/>
        <v>40</v>
      </c>
      <c r="T24" s="24">
        <f t="shared" si="22"/>
        <v>7</v>
      </c>
      <c r="U24" s="24">
        <f t="shared" si="22"/>
        <v>0</v>
      </c>
      <c r="V24" s="25">
        <f t="shared" si="22"/>
        <v>24</v>
      </c>
      <c r="W24" s="26">
        <f t="shared" si="22"/>
        <v>65</v>
      </c>
      <c r="X24" s="27">
        <f t="shared" si="22"/>
        <v>0</v>
      </c>
      <c r="Y24" s="27">
        <f t="shared" si="22"/>
        <v>0</v>
      </c>
      <c r="Z24" s="27">
        <f t="shared" si="22"/>
        <v>0</v>
      </c>
      <c r="AA24" s="27">
        <f t="shared" si="22"/>
        <v>0</v>
      </c>
      <c r="AB24" s="28">
        <f>AVERAGE(AB6:AB23)</f>
        <v>0.94444444444444442</v>
      </c>
      <c r="AC24" s="4">
        <f t="shared" ref="AC24:AD24" si="23">AVERAGE(AC6:AC23)</f>
        <v>0.68518518518518523</v>
      </c>
      <c r="AD24" s="4">
        <f t="shared" si="23"/>
        <v>0.68518518518518523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48" t="s">
        <v>45</v>
      </c>
      <c r="B51" s="548"/>
      <c r="C51" s="548"/>
      <c r="D51" s="548"/>
      <c r="E51" s="5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49" t="s">
        <v>390</v>
      </c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1"/>
      <c r="N52" s="552" t="s">
        <v>392</v>
      </c>
      <c r="O52" s="553"/>
      <c r="P52" s="553"/>
      <c r="Q52" s="553"/>
      <c r="R52" s="553"/>
      <c r="S52" s="553"/>
      <c r="T52" s="553"/>
      <c r="U52" s="553"/>
      <c r="V52" s="553"/>
      <c r="W52" s="553"/>
      <c r="X52" s="553"/>
      <c r="Y52" s="553"/>
      <c r="Z52" s="553"/>
      <c r="AA52" s="553"/>
      <c r="AB52" s="553"/>
      <c r="AC52" s="553"/>
      <c r="AD52" s="554"/>
    </row>
    <row r="53" spans="1:32" ht="27" customHeight="1">
      <c r="A53" s="555" t="s">
        <v>2</v>
      </c>
      <c r="B53" s="556"/>
      <c r="C53" s="242" t="s">
        <v>46</v>
      </c>
      <c r="D53" s="242" t="s">
        <v>47</v>
      </c>
      <c r="E53" s="242" t="s">
        <v>107</v>
      </c>
      <c r="F53" s="557" t="s">
        <v>106</v>
      </c>
      <c r="G53" s="558"/>
      <c r="H53" s="558"/>
      <c r="I53" s="558"/>
      <c r="J53" s="558"/>
      <c r="K53" s="558"/>
      <c r="L53" s="558"/>
      <c r="M53" s="559"/>
      <c r="N53" s="67" t="s">
        <v>110</v>
      </c>
      <c r="O53" s="242" t="s">
        <v>46</v>
      </c>
      <c r="P53" s="557" t="s">
        <v>47</v>
      </c>
      <c r="Q53" s="560"/>
      <c r="R53" s="557" t="s">
        <v>38</v>
      </c>
      <c r="S53" s="558"/>
      <c r="T53" s="558"/>
      <c r="U53" s="560"/>
      <c r="V53" s="557" t="s">
        <v>48</v>
      </c>
      <c r="W53" s="558"/>
      <c r="X53" s="558"/>
      <c r="Y53" s="558"/>
      <c r="Z53" s="558"/>
      <c r="AA53" s="558"/>
      <c r="AB53" s="558"/>
      <c r="AC53" s="558"/>
      <c r="AD53" s="559"/>
    </row>
    <row r="54" spans="1:32" ht="27" customHeight="1">
      <c r="A54" s="526" t="s">
        <v>120</v>
      </c>
      <c r="B54" s="527"/>
      <c r="C54" s="244" t="s">
        <v>130</v>
      </c>
      <c r="D54" s="244" t="s">
        <v>128</v>
      </c>
      <c r="E54" s="244" t="s">
        <v>156</v>
      </c>
      <c r="F54" s="528" t="s">
        <v>282</v>
      </c>
      <c r="G54" s="529"/>
      <c r="H54" s="529"/>
      <c r="I54" s="529"/>
      <c r="J54" s="529"/>
      <c r="K54" s="529"/>
      <c r="L54" s="529"/>
      <c r="M54" s="530"/>
      <c r="N54" s="243" t="s">
        <v>112</v>
      </c>
      <c r="O54" s="249" t="s">
        <v>142</v>
      </c>
      <c r="P54" s="540" t="s">
        <v>115</v>
      </c>
      <c r="Q54" s="541"/>
      <c r="R54" s="540" t="s">
        <v>350</v>
      </c>
      <c r="S54" s="542"/>
      <c r="T54" s="542"/>
      <c r="U54" s="541"/>
      <c r="V54" s="510" t="s">
        <v>151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244" t="s">
        <v>142</v>
      </c>
      <c r="D55" s="244" t="s">
        <v>115</v>
      </c>
      <c r="E55" s="244" t="s">
        <v>350</v>
      </c>
      <c r="F55" s="528" t="s">
        <v>391</v>
      </c>
      <c r="G55" s="529"/>
      <c r="H55" s="529"/>
      <c r="I55" s="529"/>
      <c r="J55" s="529"/>
      <c r="K55" s="529"/>
      <c r="L55" s="529"/>
      <c r="M55" s="530"/>
      <c r="N55" s="243" t="s">
        <v>120</v>
      </c>
      <c r="O55" s="249" t="s">
        <v>147</v>
      </c>
      <c r="P55" s="540" t="s">
        <v>115</v>
      </c>
      <c r="Q55" s="541"/>
      <c r="R55" s="540" t="s">
        <v>242</v>
      </c>
      <c r="S55" s="542"/>
      <c r="T55" s="542"/>
      <c r="U55" s="541"/>
      <c r="V55" s="510" t="s">
        <v>151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244" t="s">
        <v>194</v>
      </c>
      <c r="D56" s="244" t="s">
        <v>115</v>
      </c>
      <c r="E56" s="244" t="s">
        <v>322</v>
      </c>
      <c r="F56" s="528" t="s">
        <v>269</v>
      </c>
      <c r="G56" s="529"/>
      <c r="H56" s="529"/>
      <c r="I56" s="529"/>
      <c r="J56" s="529"/>
      <c r="K56" s="529"/>
      <c r="L56" s="529"/>
      <c r="M56" s="530"/>
      <c r="N56" s="243"/>
      <c r="O56" s="249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244" t="s">
        <v>194</v>
      </c>
      <c r="D57" s="244" t="s">
        <v>115</v>
      </c>
      <c r="E57" s="244" t="s">
        <v>324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243"/>
      <c r="O57" s="249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120</v>
      </c>
      <c r="B58" s="527"/>
      <c r="C58" s="244" t="s">
        <v>194</v>
      </c>
      <c r="D58" s="244" t="s">
        <v>131</v>
      </c>
      <c r="E58" s="244" t="s">
        <v>389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243"/>
      <c r="O58" s="249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123</v>
      </c>
      <c r="B59" s="527"/>
      <c r="C59" s="244" t="s">
        <v>180</v>
      </c>
      <c r="D59" s="244"/>
      <c r="E59" s="244" t="s">
        <v>388</v>
      </c>
      <c r="F59" s="528" t="s">
        <v>118</v>
      </c>
      <c r="G59" s="529"/>
      <c r="H59" s="529"/>
      <c r="I59" s="529"/>
      <c r="J59" s="529"/>
      <c r="K59" s="529"/>
      <c r="L59" s="529"/>
      <c r="M59" s="530"/>
      <c r="N59" s="243"/>
      <c r="O59" s="249"/>
      <c r="P59" s="540"/>
      <c r="Q59" s="541"/>
      <c r="R59" s="540"/>
      <c r="S59" s="542"/>
      <c r="T59" s="542"/>
      <c r="U59" s="541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244"/>
      <c r="D60" s="244"/>
      <c r="E60" s="244"/>
      <c r="F60" s="528"/>
      <c r="G60" s="529"/>
      <c r="H60" s="529"/>
      <c r="I60" s="529"/>
      <c r="J60" s="529"/>
      <c r="K60" s="529"/>
      <c r="L60" s="529"/>
      <c r="M60" s="530"/>
      <c r="N60" s="243"/>
      <c r="O60" s="249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244"/>
      <c r="D61" s="244"/>
      <c r="E61" s="244"/>
      <c r="F61" s="528"/>
      <c r="G61" s="529"/>
      <c r="H61" s="529"/>
      <c r="I61" s="529"/>
      <c r="J61" s="529"/>
      <c r="K61" s="529"/>
      <c r="L61" s="529"/>
      <c r="M61" s="530"/>
      <c r="N61" s="243"/>
      <c r="O61" s="249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/>
      <c r="B62" s="527"/>
      <c r="C62" s="244"/>
      <c r="D62" s="244"/>
      <c r="E62" s="244"/>
      <c r="F62" s="528"/>
      <c r="G62" s="529"/>
      <c r="H62" s="529"/>
      <c r="I62" s="529"/>
      <c r="J62" s="529"/>
      <c r="K62" s="529"/>
      <c r="L62" s="529"/>
      <c r="M62" s="530"/>
      <c r="N62" s="243"/>
      <c r="O62" s="249"/>
      <c r="P62" s="527"/>
      <c r="Q62" s="527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  <c r="AF62" s="84">
        <f>8*3000</f>
        <v>24000</v>
      </c>
    </row>
    <row r="63" spans="1:32" ht="27" customHeight="1" thickBot="1">
      <c r="A63" s="532"/>
      <c r="B63" s="533"/>
      <c r="C63" s="245"/>
      <c r="D63" s="246"/>
      <c r="E63" s="246"/>
      <c r="F63" s="534"/>
      <c r="G63" s="535"/>
      <c r="H63" s="535"/>
      <c r="I63" s="535"/>
      <c r="J63" s="535"/>
      <c r="K63" s="535"/>
      <c r="L63" s="535"/>
      <c r="M63" s="536"/>
      <c r="N63" s="112"/>
      <c r="O63" s="103"/>
      <c r="P63" s="537"/>
      <c r="Q63" s="537"/>
      <c r="R63" s="537"/>
      <c r="S63" s="537"/>
      <c r="T63" s="537"/>
      <c r="U63" s="537"/>
      <c r="V63" s="538"/>
      <c r="W63" s="538"/>
      <c r="X63" s="538"/>
      <c r="Y63" s="538"/>
      <c r="Z63" s="538"/>
      <c r="AA63" s="538"/>
      <c r="AB63" s="538"/>
      <c r="AC63" s="538"/>
      <c r="AD63" s="539"/>
      <c r="AF63" s="84">
        <f>16*3000</f>
        <v>48000</v>
      </c>
    </row>
    <row r="64" spans="1:32" ht="27.75" thickBot="1">
      <c r="A64" s="524" t="s">
        <v>393</v>
      </c>
      <c r="B64" s="524"/>
      <c r="C64" s="524"/>
      <c r="D64" s="524"/>
      <c r="E64" s="52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25" t="s">
        <v>111</v>
      </c>
      <c r="B65" s="520"/>
      <c r="C65" s="247" t="s">
        <v>2</v>
      </c>
      <c r="D65" s="247" t="s">
        <v>37</v>
      </c>
      <c r="E65" s="247" t="s">
        <v>3</v>
      </c>
      <c r="F65" s="520" t="s">
        <v>109</v>
      </c>
      <c r="G65" s="520"/>
      <c r="H65" s="520"/>
      <c r="I65" s="520"/>
      <c r="J65" s="520"/>
      <c r="K65" s="520" t="s">
        <v>39</v>
      </c>
      <c r="L65" s="520"/>
      <c r="M65" s="247" t="s">
        <v>40</v>
      </c>
      <c r="N65" s="520" t="s">
        <v>41</v>
      </c>
      <c r="O65" s="520"/>
      <c r="P65" s="517" t="s">
        <v>42</v>
      </c>
      <c r="Q65" s="519"/>
      <c r="R65" s="517" t="s">
        <v>43</v>
      </c>
      <c r="S65" s="518"/>
      <c r="T65" s="518"/>
      <c r="U65" s="518"/>
      <c r="V65" s="518"/>
      <c r="W65" s="518"/>
      <c r="X65" s="518"/>
      <c r="Y65" s="518"/>
      <c r="Z65" s="518"/>
      <c r="AA65" s="519"/>
      <c r="AB65" s="520" t="s">
        <v>44</v>
      </c>
      <c r="AC65" s="520"/>
      <c r="AD65" s="521"/>
      <c r="AF65" s="84">
        <f>SUM(AF62:AF64)</f>
        <v>96000</v>
      </c>
    </row>
    <row r="66" spans="1:32" ht="25.5" customHeight="1">
      <c r="A66" s="503">
        <v>1</v>
      </c>
      <c r="B66" s="504"/>
      <c r="C66" s="105" t="s">
        <v>112</v>
      </c>
      <c r="D66" s="251"/>
      <c r="E66" s="248" t="s">
        <v>115</v>
      </c>
      <c r="F66" s="513" t="s">
        <v>383</v>
      </c>
      <c r="G66" s="514"/>
      <c r="H66" s="514"/>
      <c r="I66" s="514"/>
      <c r="J66" s="515"/>
      <c r="K66" s="497">
        <v>7301</v>
      </c>
      <c r="L66" s="497"/>
      <c r="M66" s="51" t="s">
        <v>384</v>
      </c>
      <c r="N66" s="511" t="s">
        <v>201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516"/>
      <c r="AC66" s="522"/>
      <c r="AD66" s="523"/>
      <c r="AF66" s="50"/>
    </row>
    <row r="67" spans="1:32" ht="25.5" customHeight="1">
      <c r="A67" s="503">
        <v>2</v>
      </c>
      <c r="B67" s="504"/>
      <c r="C67" s="105" t="s">
        <v>112</v>
      </c>
      <c r="D67" s="251"/>
      <c r="E67" s="248" t="s">
        <v>115</v>
      </c>
      <c r="F67" s="513" t="s">
        <v>322</v>
      </c>
      <c r="G67" s="514"/>
      <c r="H67" s="514"/>
      <c r="I67" s="514"/>
      <c r="J67" s="515"/>
      <c r="K67" s="497" t="s">
        <v>146</v>
      </c>
      <c r="L67" s="497"/>
      <c r="M67" s="51" t="s">
        <v>200</v>
      </c>
      <c r="N67" s="511" t="s">
        <v>194</v>
      </c>
      <c r="O67" s="511"/>
      <c r="P67" s="512">
        <v>50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3</v>
      </c>
      <c r="B68" s="504"/>
      <c r="C68" s="105"/>
      <c r="D68" s="251"/>
      <c r="E68" s="248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4</v>
      </c>
      <c r="B69" s="504"/>
      <c r="C69" s="105"/>
      <c r="D69" s="251"/>
      <c r="E69" s="248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5</v>
      </c>
      <c r="B70" s="504"/>
      <c r="C70" s="105"/>
      <c r="D70" s="251"/>
      <c r="E70" s="248"/>
      <c r="F70" s="513"/>
      <c r="G70" s="514"/>
      <c r="H70" s="514"/>
      <c r="I70" s="514"/>
      <c r="J70" s="515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6</v>
      </c>
      <c r="B71" s="504"/>
      <c r="C71" s="105"/>
      <c r="D71" s="251"/>
      <c r="E71" s="248"/>
      <c r="F71" s="513"/>
      <c r="G71" s="514"/>
      <c r="H71" s="514"/>
      <c r="I71" s="514"/>
      <c r="J71" s="515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7</v>
      </c>
      <c r="B72" s="504"/>
      <c r="C72" s="105"/>
      <c r="D72" s="251"/>
      <c r="E72" s="248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8</v>
      </c>
      <c r="B73" s="504"/>
      <c r="C73" s="105"/>
      <c r="D73" s="251"/>
      <c r="E73" s="248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9</v>
      </c>
      <c r="B74" s="504"/>
      <c r="C74" s="105"/>
      <c r="D74" s="251"/>
      <c r="E74" s="248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5.5" customHeight="1">
      <c r="A75" s="503">
        <v>10</v>
      </c>
      <c r="B75" s="504"/>
      <c r="C75" s="105"/>
      <c r="D75" s="251"/>
      <c r="E75" s="248"/>
      <c r="F75" s="505"/>
      <c r="G75" s="497"/>
      <c r="H75" s="497"/>
      <c r="I75" s="497"/>
      <c r="J75" s="497"/>
      <c r="K75" s="497"/>
      <c r="L75" s="497"/>
      <c r="M75" s="51"/>
      <c r="N75" s="511"/>
      <c r="O75" s="511"/>
      <c r="P75" s="512"/>
      <c r="Q75" s="512"/>
      <c r="R75" s="510"/>
      <c r="S75" s="510"/>
      <c r="T75" s="510"/>
      <c r="U75" s="510"/>
      <c r="V75" s="510"/>
      <c r="W75" s="510"/>
      <c r="X75" s="510"/>
      <c r="Y75" s="510"/>
      <c r="Z75" s="510"/>
      <c r="AA75" s="510"/>
      <c r="AB75" s="497"/>
      <c r="AC75" s="497"/>
      <c r="AD75" s="498"/>
      <c r="AF75" s="50"/>
    </row>
    <row r="76" spans="1:32" ht="26.25" customHeight="1" thickBot="1">
      <c r="A76" s="477" t="s">
        <v>394</v>
      </c>
      <c r="B76" s="477"/>
      <c r="C76" s="477"/>
      <c r="D76" s="477"/>
      <c r="E76" s="47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8" t="s">
        <v>111</v>
      </c>
      <c r="B77" s="479"/>
      <c r="C77" s="250" t="s">
        <v>2</v>
      </c>
      <c r="D77" s="250" t="s">
        <v>37</v>
      </c>
      <c r="E77" s="250" t="s">
        <v>3</v>
      </c>
      <c r="F77" s="479" t="s">
        <v>38</v>
      </c>
      <c r="G77" s="479"/>
      <c r="H77" s="479"/>
      <c r="I77" s="479"/>
      <c r="J77" s="479"/>
      <c r="K77" s="499" t="s">
        <v>58</v>
      </c>
      <c r="L77" s="500"/>
      <c r="M77" s="500"/>
      <c r="N77" s="500"/>
      <c r="O77" s="500"/>
      <c r="P77" s="500"/>
      <c r="Q77" s="500"/>
      <c r="R77" s="500"/>
      <c r="S77" s="501"/>
      <c r="T77" s="479" t="s">
        <v>49</v>
      </c>
      <c r="U77" s="479"/>
      <c r="V77" s="499" t="s">
        <v>50</v>
      </c>
      <c r="W77" s="501"/>
      <c r="X77" s="500" t="s">
        <v>51</v>
      </c>
      <c r="Y77" s="500"/>
      <c r="Z77" s="500"/>
      <c r="AA77" s="500"/>
      <c r="AB77" s="500"/>
      <c r="AC77" s="500"/>
      <c r="AD77" s="502"/>
      <c r="AF77" s="50"/>
    </row>
    <row r="78" spans="1:32" ht="33.75" customHeight="1">
      <c r="A78" s="471">
        <v>1</v>
      </c>
      <c r="B78" s="472"/>
      <c r="C78" s="252" t="s">
        <v>112</v>
      </c>
      <c r="D78" s="252"/>
      <c r="E78" s="65" t="s">
        <v>117</v>
      </c>
      <c r="F78" s="486" t="s">
        <v>116</v>
      </c>
      <c r="G78" s="487"/>
      <c r="H78" s="487"/>
      <c r="I78" s="487"/>
      <c r="J78" s="488"/>
      <c r="K78" s="489" t="s">
        <v>122</v>
      </c>
      <c r="L78" s="490"/>
      <c r="M78" s="490"/>
      <c r="N78" s="490"/>
      <c r="O78" s="490"/>
      <c r="P78" s="490"/>
      <c r="Q78" s="490"/>
      <c r="R78" s="490"/>
      <c r="S78" s="491"/>
      <c r="T78" s="492">
        <v>43675</v>
      </c>
      <c r="U78" s="493"/>
      <c r="V78" s="494"/>
      <c r="W78" s="494"/>
      <c r="X78" s="495"/>
      <c r="Y78" s="495"/>
      <c r="Z78" s="495"/>
      <c r="AA78" s="495"/>
      <c r="AB78" s="495"/>
      <c r="AC78" s="495"/>
      <c r="AD78" s="496"/>
      <c r="AF78" s="50"/>
    </row>
    <row r="79" spans="1:32" ht="30" customHeight="1">
      <c r="A79" s="464">
        <f>A78+1</f>
        <v>2</v>
      </c>
      <c r="B79" s="465"/>
      <c r="C79" s="251"/>
      <c r="D79" s="251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ref="A80:A84" si="24">A79+1</f>
        <v>3</v>
      </c>
      <c r="B80" s="465"/>
      <c r="C80" s="251"/>
      <c r="D80" s="251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4"/>
        <v>4</v>
      </c>
      <c r="B81" s="465"/>
      <c r="C81" s="251"/>
      <c r="D81" s="251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4"/>
        <v>5</v>
      </c>
      <c r="B82" s="465"/>
      <c r="C82" s="251"/>
      <c r="D82" s="251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4"/>
        <v>6</v>
      </c>
      <c r="B83" s="465"/>
      <c r="C83" s="251"/>
      <c r="D83" s="251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24"/>
        <v>7</v>
      </c>
      <c r="B84" s="465"/>
      <c r="C84" s="251"/>
      <c r="D84" s="251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7" t="s">
        <v>395</v>
      </c>
      <c r="B85" s="477"/>
      <c r="C85" s="477"/>
      <c r="D85" s="477"/>
      <c r="E85" s="47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8" t="s">
        <v>111</v>
      </c>
      <c r="B86" s="479"/>
      <c r="C86" s="469" t="s">
        <v>52</v>
      </c>
      <c r="D86" s="469"/>
      <c r="E86" s="469" t="s">
        <v>53</v>
      </c>
      <c r="F86" s="469"/>
      <c r="G86" s="469"/>
      <c r="H86" s="469"/>
      <c r="I86" s="469"/>
      <c r="J86" s="469"/>
      <c r="K86" s="469" t="s">
        <v>54</v>
      </c>
      <c r="L86" s="469"/>
      <c r="M86" s="469"/>
      <c r="N86" s="469"/>
      <c r="O86" s="469"/>
      <c r="P86" s="469"/>
      <c r="Q86" s="469"/>
      <c r="R86" s="469"/>
      <c r="S86" s="469"/>
      <c r="T86" s="469" t="s">
        <v>55</v>
      </c>
      <c r="U86" s="469"/>
      <c r="V86" s="469" t="s">
        <v>56</v>
      </c>
      <c r="W86" s="469"/>
      <c r="X86" s="469"/>
      <c r="Y86" s="469" t="s">
        <v>51</v>
      </c>
      <c r="Z86" s="469"/>
      <c r="AA86" s="469"/>
      <c r="AB86" s="469"/>
      <c r="AC86" s="469"/>
      <c r="AD86" s="470"/>
      <c r="AF86" s="50"/>
    </row>
    <row r="87" spans="1:32" ht="30.75" customHeight="1">
      <c r="A87" s="471">
        <v>1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4"/>
      <c r="W87" s="474"/>
      <c r="X87" s="474"/>
      <c r="Y87" s="475"/>
      <c r="Z87" s="475"/>
      <c r="AA87" s="475"/>
      <c r="AB87" s="475"/>
      <c r="AC87" s="475"/>
      <c r="AD87" s="476"/>
      <c r="AF87" s="50"/>
    </row>
    <row r="88" spans="1:32" ht="30.75" customHeight="1">
      <c r="A88" s="464">
        <v>2</v>
      </c>
      <c r="B88" s="465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7"/>
      <c r="U88" s="467"/>
      <c r="V88" s="468"/>
      <c r="W88" s="468"/>
      <c r="X88" s="468"/>
      <c r="Y88" s="457"/>
      <c r="Z88" s="457"/>
      <c r="AA88" s="457"/>
      <c r="AB88" s="457"/>
      <c r="AC88" s="457"/>
      <c r="AD88" s="458"/>
      <c r="AF88" s="50"/>
    </row>
    <row r="89" spans="1:32" ht="30.75" customHeight="1" thickBot="1">
      <c r="A89" s="459">
        <v>3</v>
      </c>
      <c r="B89" s="460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  <c r="Y89" s="462"/>
      <c r="Z89" s="462"/>
      <c r="AA89" s="462"/>
      <c r="AB89" s="462"/>
      <c r="AC89" s="462"/>
      <c r="AD89" s="463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3598-3609-408D-9150-8F0A4E960DAC}">
  <dimension ref="A1:AF89"/>
  <sheetViews>
    <sheetView zoomScale="72" zoomScaleNormal="72" zoomScaleSheetLayoutView="70" workbookViewId="0">
      <selection activeCell="A13" sqref="A13:XFD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396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64" t="s">
        <v>17</v>
      </c>
      <c r="L5" s="264" t="s">
        <v>18</v>
      </c>
      <c r="M5" s="264" t="s">
        <v>19</v>
      </c>
      <c r="N5" s="26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5522</v>
      </c>
      <c r="K6" s="15">
        <f>L6+5567+6177+5956+2594+5676+6103+6040+4713+6089</f>
        <v>54437</v>
      </c>
      <c r="L6" s="15">
        <f>3083+2439</f>
        <v>5522</v>
      </c>
      <c r="M6" s="15">
        <f t="shared" ref="M6:M23" si="0">L6-N6</f>
        <v>5522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23</v>
      </c>
      <c r="Q6" s="40">
        <f t="shared" ref="Q6:Q23" si="3">SUM(R6:AA6)</f>
        <v>1</v>
      </c>
      <c r="R6" s="7"/>
      <c r="S6" s="6">
        <v>1</v>
      </c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0.95833333333333337</v>
      </c>
      <c r="AD6" s="10">
        <f t="shared" ref="AD6:AD23" si="6">AC6*AB6*(1-O6)</f>
        <v>0.95833333333333337</v>
      </c>
      <c r="AE6" s="36">
        <f t="shared" ref="AE6:AE19" si="7">$AD$24</f>
        <v>0.58575999132368095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90000</v>
      </c>
      <c r="J7" s="5">
        <v>16392</v>
      </c>
      <c r="K7" s="15">
        <f>L7+11280+18680+16392</f>
        <v>62777</v>
      </c>
      <c r="L7" s="15">
        <f>2796*3+2679*3</f>
        <v>16425</v>
      </c>
      <c r="M7" s="15">
        <f t="shared" si="0"/>
        <v>16425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1.0020131771595902</v>
      </c>
      <c r="AC7" s="9">
        <f t="shared" si="5"/>
        <v>1</v>
      </c>
      <c r="AD7" s="10">
        <f t="shared" si="6"/>
        <v>1.0020131771595902</v>
      </c>
      <c r="AE7" s="36">
        <f t="shared" si="7"/>
        <v>0.58575999132368095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5662</v>
      </c>
      <c r="K8" s="15">
        <f>L8+1658+3024+3826+5621+5758+5746+5871+5666+2439+5254+5051+3104+4798</f>
        <v>63478</v>
      </c>
      <c r="L8" s="15">
        <f>2894+2768</f>
        <v>5662</v>
      </c>
      <c r="M8" s="15">
        <f t="shared" si="0"/>
        <v>5662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0.58575999132368095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350</v>
      </c>
      <c r="F9" s="30" t="s">
        <v>119</v>
      </c>
      <c r="G9" s="33">
        <v>1</v>
      </c>
      <c r="H9" s="35">
        <v>24</v>
      </c>
      <c r="I9" s="7">
        <v>4000</v>
      </c>
      <c r="J9" s="14">
        <v>2260</v>
      </c>
      <c r="K9" s="15">
        <f>L9+810+1888+1451</f>
        <v>6409</v>
      </c>
      <c r="L9" s="15">
        <f>1210+1050</f>
        <v>2260</v>
      </c>
      <c r="M9" s="15">
        <f t="shared" si="0"/>
        <v>2260</v>
      </c>
      <c r="N9" s="15">
        <v>0</v>
      </c>
      <c r="O9" s="58">
        <f t="shared" si="1"/>
        <v>0</v>
      </c>
      <c r="P9" s="39">
        <f t="shared" si="2"/>
        <v>11</v>
      </c>
      <c r="Q9" s="40">
        <f t="shared" si="3"/>
        <v>13</v>
      </c>
      <c r="R9" s="7"/>
      <c r="S9" s="6">
        <v>13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0.45833333333333331</v>
      </c>
      <c r="AD9" s="10">
        <f t="shared" si="6"/>
        <v>0.45833333333333331</v>
      </c>
      <c r="AE9" s="36">
        <f t="shared" si="7"/>
        <v>0.58575999132368095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3835</v>
      </c>
      <c r="K10" s="15">
        <f>L10+3006+4988+687+4584+5534+5337+2364+5092+2217+5471+5522+3835</f>
        <v>48637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0.58575999132368095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3086</v>
      </c>
      <c r="K11" s="15">
        <f>L11+4668+4429+5671+2067+5444+3967+5843+5907+3309</f>
        <v>44391</v>
      </c>
      <c r="L11" s="15">
        <f>220+2866</f>
        <v>3086</v>
      </c>
      <c r="M11" s="15">
        <f t="shared" si="0"/>
        <v>3086</v>
      </c>
      <c r="N11" s="15">
        <v>0</v>
      </c>
      <c r="O11" s="58">
        <f t="shared" si="1"/>
        <v>0</v>
      </c>
      <c r="P11" s="39">
        <f t="shared" si="2"/>
        <v>13</v>
      </c>
      <c r="Q11" s="40">
        <f t="shared" si="3"/>
        <v>11</v>
      </c>
      <c r="R11" s="7"/>
      <c r="S11" s="6">
        <v>11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0.54166666666666663</v>
      </c>
      <c r="AD11" s="10">
        <f>AC11*AB11*(1-O11)</f>
        <v>0.54166666666666663</v>
      </c>
      <c r="AE11" s="36">
        <f t="shared" si="7"/>
        <v>0.58575999132368095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68500</v>
      </c>
      <c r="J12" s="14">
        <v>2304</v>
      </c>
      <c r="K12" s="15">
        <f>L12+2120+2858+4163+3861+4361+2294+4491+3957+1094+4596+4805+4701+4434+2171</f>
        <v>52210</v>
      </c>
      <c r="L12" s="15">
        <f>2304</f>
        <v>2304</v>
      </c>
      <c r="M12" s="15">
        <f t="shared" si="0"/>
        <v>2304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ref="AD12:AD15" si="9">AC12*AB12*(1-O12)</f>
        <v>0.58333333333333337</v>
      </c>
      <c r="AE12" s="36">
        <f t="shared" si="7"/>
        <v>0.58575999132368095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90000</v>
      </c>
      <c r="J13" s="14">
        <v>9004</v>
      </c>
      <c r="K13" s="15">
        <f>L13+11384+20364</f>
        <v>40752</v>
      </c>
      <c r="L13" s="15">
        <f>2251*4</f>
        <v>9004</v>
      </c>
      <c r="M13" s="15">
        <f t="shared" si="0"/>
        <v>9004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>
        <v>14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9"/>
        <v>0.41666666666666669</v>
      </c>
      <c r="AE13" s="36">
        <f t="shared" si="7"/>
        <v>0.58575999132368095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121</v>
      </c>
      <c r="D14" s="52" t="s">
        <v>115</v>
      </c>
      <c r="E14" s="53" t="s">
        <v>263</v>
      </c>
      <c r="F14" s="30" t="s">
        <v>125</v>
      </c>
      <c r="G14" s="33">
        <v>4</v>
      </c>
      <c r="H14" s="35">
        <v>24</v>
      </c>
      <c r="I14" s="7">
        <v>520000</v>
      </c>
      <c r="J14" s="14">
        <v>11600</v>
      </c>
      <c r="K14" s="15">
        <f>L14</f>
        <v>11600</v>
      </c>
      <c r="L14" s="15">
        <f>2900*4</f>
        <v>11600</v>
      </c>
      <c r="M14" s="15">
        <f t="shared" ref="M14" si="10">L14-N14</f>
        <v>11600</v>
      </c>
      <c r="N14" s="15">
        <v>0</v>
      </c>
      <c r="O14" s="58">
        <f t="shared" ref="O14" si="11">IF(L14=0,"0",N14/L14)</f>
        <v>0</v>
      </c>
      <c r="P14" s="39">
        <f t="shared" ref="P14" si="12">IF(L14=0,"0",(24-Q14))</f>
        <v>13</v>
      </c>
      <c r="Q14" s="40">
        <f t="shared" ref="Q14" si="13">SUM(R14:AA14)</f>
        <v>11</v>
      </c>
      <c r="R14" s="7"/>
      <c r="S14" s="6"/>
      <c r="T14" s="16">
        <v>11</v>
      </c>
      <c r="U14" s="16"/>
      <c r="V14" s="17"/>
      <c r="W14" s="5"/>
      <c r="X14" s="16"/>
      <c r="Y14" s="16"/>
      <c r="Z14" s="16"/>
      <c r="AA14" s="18"/>
      <c r="AB14" s="8">
        <f t="shared" ref="AB14" si="14">IF(J14=0,"0",(L14/J14))</f>
        <v>1</v>
      </c>
      <c r="AC14" s="9">
        <f t="shared" ref="AC14" si="15">IF(P14=0,"0",(P14/24))</f>
        <v>0.54166666666666663</v>
      </c>
      <c r="AD14" s="10">
        <f t="shared" ref="AD14" si="16">AC14*AB14*(1-O14)</f>
        <v>0.54166666666666663</v>
      </c>
      <c r="AE14" s="36">
        <f t="shared" si="7"/>
        <v>0.58575999132368095</v>
      </c>
      <c r="AF14" s="84">
        <f t="shared" ref="AF14" si="17">A14</f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383</v>
      </c>
      <c r="F15" s="30" t="s">
        <v>211</v>
      </c>
      <c r="G15" s="33">
        <v>1</v>
      </c>
      <c r="H15" s="35">
        <v>24</v>
      </c>
      <c r="I15" s="7">
        <v>300</v>
      </c>
      <c r="J15" s="5">
        <v>350</v>
      </c>
      <c r="K15" s="15">
        <f>L15+350</f>
        <v>350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0.58575999132368095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123</v>
      </c>
      <c r="D16" s="52"/>
      <c r="E16" s="53" t="s">
        <v>388</v>
      </c>
      <c r="F16" s="12" t="s">
        <v>247</v>
      </c>
      <c r="G16" s="12">
        <v>1</v>
      </c>
      <c r="H16" s="13">
        <v>24</v>
      </c>
      <c r="I16" s="31">
        <v>6100</v>
      </c>
      <c r="J16" s="14">
        <v>2603</v>
      </c>
      <c r="K16" s="15">
        <f>L16+5017</f>
        <v>7620</v>
      </c>
      <c r="L16" s="15">
        <v>2603</v>
      </c>
      <c r="M16" s="15">
        <f t="shared" si="0"/>
        <v>2603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>
        <v>13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6">
        <f t="shared" si="7"/>
        <v>0.58575999132368095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112</v>
      </c>
      <c r="D17" s="52" t="s">
        <v>117</v>
      </c>
      <c r="E17" s="53" t="s">
        <v>133</v>
      </c>
      <c r="F17" s="30" t="s">
        <v>124</v>
      </c>
      <c r="G17" s="12">
        <v>1</v>
      </c>
      <c r="H17" s="13">
        <v>28</v>
      </c>
      <c r="I17" s="7">
        <v>45000</v>
      </c>
      <c r="J17" s="14">
        <v>4981</v>
      </c>
      <c r="K17" s="15">
        <f>L17+1024+3034+3628+4720+3293+5714+5436+4776+4500</f>
        <v>41106</v>
      </c>
      <c r="L17" s="15">
        <f>2756+2225</f>
        <v>4981</v>
      </c>
      <c r="M17" s="15">
        <f t="shared" si="0"/>
        <v>4981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0.58575999132368095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131</v>
      </c>
      <c r="E18" s="53" t="s">
        <v>329</v>
      </c>
      <c r="F18" s="30" t="s">
        <v>132</v>
      </c>
      <c r="G18" s="33">
        <v>4</v>
      </c>
      <c r="H18" s="35">
        <v>24</v>
      </c>
      <c r="I18" s="7">
        <v>250000</v>
      </c>
      <c r="J18" s="5">
        <v>21932</v>
      </c>
      <c r="K18" s="15">
        <f>L18+13840+22204+21992+20260+22164</f>
        <v>122392</v>
      </c>
      <c r="L18" s="15">
        <f>2808*4+2675*4</f>
        <v>21932</v>
      </c>
      <c r="M18" s="15">
        <f t="shared" si="0"/>
        <v>21932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0.58575999132368095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115</v>
      </c>
      <c r="E19" s="53" t="s">
        <v>376</v>
      </c>
      <c r="F19" s="30" t="s">
        <v>119</v>
      </c>
      <c r="G19" s="12">
        <v>1</v>
      </c>
      <c r="H19" s="13">
        <v>28</v>
      </c>
      <c r="I19" s="31">
        <v>3000</v>
      </c>
      <c r="J19" s="5">
        <v>699</v>
      </c>
      <c r="K19" s="15">
        <f>L19+2621+5355</f>
        <v>8675</v>
      </c>
      <c r="L19" s="15">
        <v>699</v>
      </c>
      <c r="M19" s="15">
        <f t="shared" si="0"/>
        <v>699</v>
      </c>
      <c r="N19" s="15">
        <v>0</v>
      </c>
      <c r="O19" s="58">
        <f t="shared" si="1"/>
        <v>0</v>
      </c>
      <c r="P19" s="39">
        <f t="shared" si="2"/>
        <v>4</v>
      </c>
      <c r="Q19" s="40">
        <f t="shared" si="3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4"/>
        <v>1</v>
      </c>
      <c r="AC19" s="9">
        <f t="shared" si="5"/>
        <v>0.16666666666666666</v>
      </c>
      <c r="AD19" s="10">
        <f t="shared" si="6"/>
        <v>0.16666666666666666</v>
      </c>
      <c r="AE19" s="36">
        <f t="shared" si="7"/>
        <v>0.58575999132368095</v>
      </c>
      <c r="AF19" s="84">
        <f t="shared" si="8"/>
        <v>13</v>
      </c>
    </row>
    <row r="20" spans="1:32" ht="27" customHeight="1">
      <c r="A20" s="113">
        <v>13</v>
      </c>
      <c r="B20" s="11" t="s">
        <v>57</v>
      </c>
      <c r="C20" s="34" t="s">
        <v>120</v>
      </c>
      <c r="D20" s="52" t="s">
        <v>115</v>
      </c>
      <c r="E20" s="53" t="s">
        <v>242</v>
      </c>
      <c r="F20" s="30" t="s">
        <v>119</v>
      </c>
      <c r="G20" s="12">
        <v>1</v>
      </c>
      <c r="H20" s="13">
        <v>28</v>
      </c>
      <c r="I20" s="31">
        <v>15000</v>
      </c>
      <c r="J20" s="5">
        <v>3198</v>
      </c>
      <c r="K20" s="15">
        <f>L20+4957+4790+1584</f>
        <v>14529</v>
      </c>
      <c r="L20" s="15">
        <f>1998+1200</f>
        <v>3198</v>
      </c>
      <c r="M20" s="15">
        <f t="shared" si="0"/>
        <v>3198</v>
      </c>
      <c r="N20" s="15">
        <v>0</v>
      </c>
      <c r="O20" s="58">
        <f t="shared" si="1"/>
        <v>0</v>
      </c>
      <c r="P20" s="39">
        <f t="shared" si="2"/>
        <v>17</v>
      </c>
      <c r="Q20" s="40">
        <f t="shared" si="3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6">
        <f>$AD$21</f>
        <v>0.70833333333333337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120</v>
      </c>
      <c r="D21" s="52" t="s">
        <v>131</v>
      </c>
      <c r="E21" s="53" t="s">
        <v>389</v>
      </c>
      <c r="F21" s="30" t="s">
        <v>210</v>
      </c>
      <c r="G21" s="33">
        <v>1</v>
      </c>
      <c r="H21" s="35">
        <v>24</v>
      </c>
      <c r="I21" s="7">
        <v>5500</v>
      </c>
      <c r="J21" s="5">
        <v>2641</v>
      </c>
      <c r="K21" s="15">
        <f>L21+3445</f>
        <v>6086</v>
      </c>
      <c r="L21" s="15">
        <f>2507+134</f>
        <v>2641</v>
      </c>
      <c r="M21" s="15">
        <f t="shared" si="0"/>
        <v>2641</v>
      </c>
      <c r="N21" s="15">
        <v>0</v>
      </c>
      <c r="O21" s="58">
        <f t="shared" si="1"/>
        <v>0</v>
      </c>
      <c r="P21" s="39">
        <f t="shared" si="2"/>
        <v>17</v>
      </c>
      <c r="Q21" s="40">
        <f t="shared" si="3"/>
        <v>7</v>
      </c>
      <c r="R21" s="7"/>
      <c r="S21" s="6"/>
      <c r="T21" s="16"/>
      <c r="U21" s="16"/>
      <c r="V21" s="17"/>
      <c r="W21" s="5">
        <v>7</v>
      </c>
      <c r="X21" s="16"/>
      <c r="Y21" s="16"/>
      <c r="Z21" s="16"/>
      <c r="AA21" s="18"/>
      <c r="AB21" s="8">
        <f t="shared" si="4"/>
        <v>1</v>
      </c>
      <c r="AC21" s="9">
        <f t="shared" si="5"/>
        <v>0.70833333333333337</v>
      </c>
      <c r="AD21" s="10">
        <f t="shared" ref="AD21:AD22" si="18">AC21*AB21*(1-O21)</f>
        <v>0.70833333333333337</v>
      </c>
      <c r="AE21" s="36">
        <f>$AD$24</f>
        <v>0.58575999132368095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224</v>
      </c>
      <c r="F22" s="30" t="s">
        <v>119</v>
      </c>
      <c r="G22" s="33">
        <v>1</v>
      </c>
      <c r="H22" s="35">
        <v>24</v>
      </c>
      <c r="I22" s="7">
        <v>64000</v>
      </c>
      <c r="J22" s="14">
        <v>5164</v>
      </c>
      <c r="K22" s="15">
        <f>L22+4204+5394+5278+1522+3899+5224+5152</f>
        <v>35837</v>
      </c>
      <c r="L22" s="15">
        <f>2528+2636</f>
        <v>5164</v>
      </c>
      <c r="M22" s="15">
        <f t="shared" si="0"/>
        <v>5164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18"/>
        <v>1</v>
      </c>
      <c r="AE22" s="36">
        <f>$AD$24</f>
        <v>0.58575999132368095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152</v>
      </c>
      <c r="F23" s="12" t="s">
        <v>114</v>
      </c>
      <c r="G23" s="12">
        <v>4</v>
      </c>
      <c r="H23" s="35">
        <v>20</v>
      </c>
      <c r="I23" s="7">
        <v>500000</v>
      </c>
      <c r="J23" s="14">
        <v>30748</v>
      </c>
      <c r="K23" s="15">
        <f>L23+46004+81588+47056+35856+81716+45768+30748</f>
        <v>368736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>$AD$24</f>
        <v>0.58575999132368095</v>
      </c>
      <c r="AF23" s="84">
        <f t="shared" si="8"/>
        <v>16</v>
      </c>
    </row>
    <row r="24" spans="1:32" ht="31.5" customHeight="1" thickBot="1">
      <c r="A24" s="545" t="s">
        <v>34</v>
      </c>
      <c r="B24" s="546"/>
      <c r="C24" s="546"/>
      <c r="D24" s="546"/>
      <c r="E24" s="546"/>
      <c r="F24" s="546"/>
      <c r="G24" s="546"/>
      <c r="H24" s="547"/>
      <c r="I24" s="22">
        <f t="shared" ref="I24:N24" si="19">SUM(I6:I23)</f>
        <v>1934400</v>
      </c>
      <c r="J24" s="19">
        <f t="shared" si="19"/>
        <v>131981</v>
      </c>
      <c r="K24" s="20">
        <f t="shared" si="19"/>
        <v>990022</v>
      </c>
      <c r="L24" s="21">
        <f t="shared" si="19"/>
        <v>97081</v>
      </c>
      <c r="M24" s="20">
        <f t="shared" si="19"/>
        <v>97081</v>
      </c>
      <c r="N24" s="21">
        <f t="shared" si="19"/>
        <v>0</v>
      </c>
      <c r="O24" s="41">
        <f t="shared" si="1"/>
        <v>0</v>
      </c>
      <c r="P24" s="42">
        <f t="shared" ref="P24:AA24" si="20">SUM(P6:P23)</f>
        <v>253</v>
      </c>
      <c r="Q24" s="43">
        <f t="shared" si="20"/>
        <v>179</v>
      </c>
      <c r="R24" s="23">
        <f t="shared" si="20"/>
        <v>0</v>
      </c>
      <c r="S24" s="24">
        <f t="shared" si="20"/>
        <v>69</v>
      </c>
      <c r="T24" s="24">
        <f t="shared" si="20"/>
        <v>11</v>
      </c>
      <c r="U24" s="24">
        <f t="shared" si="20"/>
        <v>0</v>
      </c>
      <c r="V24" s="25">
        <f t="shared" si="20"/>
        <v>24</v>
      </c>
      <c r="W24" s="26">
        <f t="shared" si="20"/>
        <v>51</v>
      </c>
      <c r="X24" s="27">
        <f t="shared" si="20"/>
        <v>0</v>
      </c>
      <c r="Y24" s="27">
        <f t="shared" si="20"/>
        <v>0</v>
      </c>
      <c r="Z24" s="27">
        <f t="shared" si="20"/>
        <v>0</v>
      </c>
      <c r="AA24" s="27">
        <f t="shared" si="20"/>
        <v>24</v>
      </c>
      <c r="AB24" s="28">
        <f>AVERAGE(AB6:AB23)</f>
        <v>0.83344517650886607</v>
      </c>
      <c r="AC24" s="4">
        <f>AVERAGE(AC6:AC23)</f>
        <v>0.58564814814814825</v>
      </c>
      <c r="AD24" s="4">
        <f>AVERAGE(AD6:AD23)</f>
        <v>0.58575999132368095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48" t="s">
        <v>45</v>
      </c>
      <c r="B51" s="548"/>
      <c r="C51" s="548"/>
      <c r="D51" s="548"/>
      <c r="E51" s="5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49" t="s">
        <v>397</v>
      </c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1"/>
      <c r="N52" s="552" t="s">
        <v>401</v>
      </c>
      <c r="O52" s="553"/>
      <c r="P52" s="553"/>
      <c r="Q52" s="553"/>
      <c r="R52" s="553"/>
      <c r="S52" s="553"/>
      <c r="T52" s="553"/>
      <c r="U52" s="553"/>
      <c r="V52" s="553"/>
      <c r="W52" s="553"/>
      <c r="X52" s="553"/>
      <c r="Y52" s="553"/>
      <c r="Z52" s="553"/>
      <c r="AA52" s="553"/>
      <c r="AB52" s="553"/>
      <c r="AC52" s="553"/>
      <c r="AD52" s="554"/>
    </row>
    <row r="53" spans="1:32" ht="27" customHeight="1">
      <c r="A53" s="555" t="s">
        <v>2</v>
      </c>
      <c r="B53" s="556"/>
      <c r="C53" s="263" t="s">
        <v>46</v>
      </c>
      <c r="D53" s="263" t="s">
        <v>47</v>
      </c>
      <c r="E53" s="263" t="s">
        <v>107</v>
      </c>
      <c r="F53" s="557" t="s">
        <v>106</v>
      </c>
      <c r="G53" s="558"/>
      <c r="H53" s="558"/>
      <c r="I53" s="558"/>
      <c r="J53" s="558"/>
      <c r="K53" s="558"/>
      <c r="L53" s="558"/>
      <c r="M53" s="559"/>
      <c r="N53" s="67" t="s">
        <v>110</v>
      </c>
      <c r="O53" s="263" t="s">
        <v>46</v>
      </c>
      <c r="P53" s="557" t="s">
        <v>47</v>
      </c>
      <c r="Q53" s="560"/>
      <c r="R53" s="557" t="s">
        <v>38</v>
      </c>
      <c r="S53" s="558"/>
      <c r="T53" s="558"/>
      <c r="U53" s="560"/>
      <c r="V53" s="557" t="s">
        <v>48</v>
      </c>
      <c r="W53" s="558"/>
      <c r="X53" s="558"/>
      <c r="Y53" s="558"/>
      <c r="Z53" s="558"/>
      <c r="AA53" s="558"/>
      <c r="AB53" s="558"/>
      <c r="AC53" s="558"/>
      <c r="AD53" s="559"/>
    </row>
    <row r="54" spans="1:32" ht="27" customHeight="1">
      <c r="A54" s="526" t="s">
        <v>112</v>
      </c>
      <c r="B54" s="527"/>
      <c r="C54" s="260" t="s">
        <v>185</v>
      </c>
      <c r="D54" s="260" t="s">
        <v>165</v>
      </c>
      <c r="E54" s="260" t="s">
        <v>238</v>
      </c>
      <c r="F54" s="528" t="s">
        <v>398</v>
      </c>
      <c r="G54" s="529"/>
      <c r="H54" s="529"/>
      <c r="I54" s="529"/>
      <c r="J54" s="529"/>
      <c r="K54" s="529"/>
      <c r="L54" s="529"/>
      <c r="M54" s="530"/>
      <c r="N54" s="259" t="s">
        <v>121</v>
      </c>
      <c r="O54" s="257" t="s">
        <v>142</v>
      </c>
      <c r="P54" s="540" t="s">
        <v>128</v>
      </c>
      <c r="Q54" s="541"/>
      <c r="R54" s="540" t="s">
        <v>402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260" t="s">
        <v>142</v>
      </c>
      <c r="D55" s="260" t="s">
        <v>115</v>
      </c>
      <c r="E55" s="260" t="s">
        <v>350</v>
      </c>
      <c r="F55" s="528" t="s">
        <v>399</v>
      </c>
      <c r="G55" s="529"/>
      <c r="H55" s="529"/>
      <c r="I55" s="529"/>
      <c r="J55" s="529"/>
      <c r="K55" s="529"/>
      <c r="L55" s="529"/>
      <c r="M55" s="530"/>
      <c r="N55" s="259" t="s">
        <v>121</v>
      </c>
      <c r="O55" s="257" t="s">
        <v>194</v>
      </c>
      <c r="P55" s="540" t="s">
        <v>131</v>
      </c>
      <c r="Q55" s="541"/>
      <c r="R55" s="540" t="s">
        <v>368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260" t="s">
        <v>261</v>
      </c>
      <c r="D56" s="260" t="s">
        <v>257</v>
      </c>
      <c r="E56" s="260" t="s">
        <v>258</v>
      </c>
      <c r="F56" s="528" t="s">
        <v>400</v>
      </c>
      <c r="G56" s="529"/>
      <c r="H56" s="529"/>
      <c r="I56" s="529"/>
      <c r="J56" s="529"/>
      <c r="K56" s="529"/>
      <c r="L56" s="529"/>
      <c r="M56" s="530"/>
      <c r="N56" s="259" t="s">
        <v>112</v>
      </c>
      <c r="O56" s="257" t="s">
        <v>261</v>
      </c>
      <c r="P56" s="540" t="s">
        <v>257</v>
      </c>
      <c r="Q56" s="541"/>
      <c r="R56" s="540" t="s">
        <v>258</v>
      </c>
      <c r="S56" s="542"/>
      <c r="T56" s="542"/>
      <c r="U56" s="541"/>
      <c r="V56" s="510" t="s">
        <v>151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260" t="s">
        <v>239</v>
      </c>
      <c r="D57" s="260" t="s">
        <v>115</v>
      </c>
      <c r="E57" s="260" t="s">
        <v>116</v>
      </c>
      <c r="F57" s="528" t="s">
        <v>400</v>
      </c>
      <c r="G57" s="529"/>
      <c r="H57" s="529"/>
      <c r="I57" s="529"/>
      <c r="J57" s="529"/>
      <c r="K57" s="529"/>
      <c r="L57" s="529"/>
      <c r="M57" s="530"/>
      <c r="N57" s="259" t="s">
        <v>112</v>
      </c>
      <c r="O57" s="257" t="s">
        <v>239</v>
      </c>
      <c r="P57" s="540" t="s">
        <v>115</v>
      </c>
      <c r="Q57" s="541"/>
      <c r="R57" s="540" t="s">
        <v>116</v>
      </c>
      <c r="S57" s="542"/>
      <c r="T57" s="542"/>
      <c r="U57" s="541"/>
      <c r="V57" s="510" t="s">
        <v>151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121</v>
      </c>
      <c r="B58" s="527"/>
      <c r="C58" s="260" t="s">
        <v>179</v>
      </c>
      <c r="D58" s="260" t="s">
        <v>115</v>
      </c>
      <c r="E58" s="260" t="s">
        <v>263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259" t="s">
        <v>120</v>
      </c>
      <c r="O58" s="257" t="s">
        <v>147</v>
      </c>
      <c r="P58" s="540" t="s">
        <v>115</v>
      </c>
      <c r="Q58" s="541"/>
      <c r="R58" s="540" t="s">
        <v>242</v>
      </c>
      <c r="S58" s="542"/>
      <c r="T58" s="542"/>
      <c r="U58" s="541"/>
      <c r="V58" s="510" t="s">
        <v>151</v>
      </c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120</v>
      </c>
      <c r="B59" s="527"/>
      <c r="C59" s="260" t="s">
        <v>147</v>
      </c>
      <c r="D59" s="260" t="s">
        <v>115</v>
      </c>
      <c r="E59" s="260" t="s">
        <v>242</v>
      </c>
      <c r="F59" s="528" t="s">
        <v>381</v>
      </c>
      <c r="G59" s="529"/>
      <c r="H59" s="529"/>
      <c r="I59" s="529"/>
      <c r="J59" s="529"/>
      <c r="K59" s="529"/>
      <c r="L59" s="529"/>
      <c r="M59" s="530"/>
      <c r="N59" s="259"/>
      <c r="O59" s="257"/>
      <c r="P59" s="540"/>
      <c r="Q59" s="541"/>
      <c r="R59" s="540"/>
      <c r="S59" s="542"/>
      <c r="T59" s="542"/>
      <c r="U59" s="541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260"/>
      <c r="D60" s="260"/>
      <c r="E60" s="260"/>
      <c r="F60" s="528"/>
      <c r="G60" s="529"/>
      <c r="H60" s="529"/>
      <c r="I60" s="529"/>
      <c r="J60" s="529"/>
      <c r="K60" s="529"/>
      <c r="L60" s="529"/>
      <c r="M60" s="530"/>
      <c r="N60" s="259"/>
      <c r="O60" s="257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260"/>
      <c r="D61" s="260"/>
      <c r="E61" s="260"/>
      <c r="F61" s="528"/>
      <c r="G61" s="529"/>
      <c r="H61" s="529"/>
      <c r="I61" s="529"/>
      <c r="J61" s="529"/>
      <c r="K61" s="529"/>
      <c r="L61" s="529"/>
      <c r="M61" s="530"/>
      <c r="N61" s="259"/>
      <c r="O61" s="257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/>
      <c r="B62" s="527"/>
      <c r="C62" s="260"/>
      <c r="D62" s="260"/>
      <c r="E62" s="260"/>
      <c r="F62" s="528"/>
      <c r="G62" s="529"/>
      <c r="H62" s="529"/>
      <c r="I62" s="529"/>
      <c r="J62" s="529"/>
      <c r="K62" s="529"/>
      <c r="L62" s="529"/>
      <c r="M62" s="530"/>
      <c r="N62" s="259"/>
      <c r="O62" s="257"/>
      <c r="P62" s="527"/>
      <c r="Q62" s="527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  <c r="AF62" s="84">
        <f>8*3000</f>
        <v>24000</v>
      </c>
    </row>
    <row r="63" spans="1:32" ht="27" customHeight="1" thickBot="1">
      <c r="A63" s="532"/>
      <c r="B63" s="533"/>
      <c r="C63" s="261"/>
      <c r="D63" s="262"/>
      <c r="E63" s="262"/>
      <c r="F63" s="534"/>
      <c r="G63" s="535"/>
      <c r="H63" s="535"/>
      <c r="I63" s="535"/>
      <c r="J63" s="535"/>
      <c r="K63" s="535"/>
      <c r="L63" s="535"/>
      <c r="M63" s="536"/>
      <c r="N63" s="112"/>
      <c r="O63" s="103"/>
      <c r="P63" s="537"/>
      <c r="Q63" s="537"/>
      <c r="R63" s="537"/>
      <c r="S63" s="537"/>
      <c r="T63" s="537"/>
      <c r="U63" s="537"/>
      <c r="V63" s="538"/>
      <c r="W63" s="538"/>
      <c r="X63" s="538"/>
      <c r="Y63" s="538"/>
      <c r="Z63" s="538"/>
      <c r="AA63" s="538"/>
      <c r="AB63" s="538"/>
      <c r="AC63" s="538"/>
      <c r="AD63" s="539"/>
      <c r="AF63" s="84">
        <f>16*3000</f>
        <v>48000</v>
      </c>
    </row>
    <row r="64" spans="1:32" ht="27.75" thickBot="1">
      <c r="A64" s="524" t="s">
        <v>403</v>
      </c>
      <c r="B64" s="524"/>
      <c r="C64" s="524"/>
      <c r="D64" s="524"/>
      <c r="E64" s="52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25" t="s">
        <v>111</v>
      </c>
      <c r="B65" s="520"/>
      <c r="C65" s="258" t="s">
        <v>2</v>
      </c>
      <c r="D65" s="258" t="s">
        <v>37</v>
      </c>
      <c r="E65" s="258" t="s">
        <v>3</v>
      </c>
      <c r="F65" s="520" t="s">
        <v>109</v>
      </c>
      <c r="G65" s="520"/>
      <c r="H65" s="520"/>
      <c r="I65" s="520"/>
      <c r="J65" s="520"/>
      <c r="K65" s="520" t="s">
        <v>39</v>
      </c>
      <c r="L65" s="520"/>
      <c r="M65" s="258" t="s">
        <v>40</v>
      </c>
      <c r="N65" s="520" t="s">
        <v>41</v>
      </c>
      <c r="O65" s="520"/>
      <c r="P65" s="517" t="s">
        <v>42</v>
      </c>
      <c r="Q65" s="519"/>
      <c r="R65" s="517" t="s">
        <v>43</v>
      </c>
      <c r="S65" s="518"/>
      <c r="T65" s="518"/>
      <c r="U65" s="518"/>
      <c r="V65" s="518"/>
      <c r="W65" s="518"/>
      <c r="X65" s="518"/>
      <c r="Y65" s="518"/>
      <c r="Z65" s="518"/>
      <c r="AA65" s="519"/>
      <c r="AB65" s="520" t="s">
        <v>44</v>
      </c>
      <c r="AC65" s="520"/>
      <c r="AD65" s="521"/>
      <c r="AF65" s="84">
        <f>SUM(AF62:AF64)</f>
        <v>96000</v>
      </c>
    </row>
    <row r="66" spans="1:32" ht="25.5" customHeight="1">
      <c r="A66" s="503">
        <v>1</v>
      </c>
      <c r="B66" s="504"/>
      <c r="C66" s="105" t="s">
        <v>123</v>
      </c>
      <c r="D66" s="253"/>
      <c r="E66" s="256"/>
      <c r="F66" s="513" t="s">
        <v>404</v>
      </c>
      <c r="G66" s="514"/>
      <c r="H66" s="514"/>
      <c r="I66" s="514"/>
      <c r="J66" s="515"/>
      <c r="K66" s="497" t="s">
        <v>119</v>
      </c>
      <c r="L66" s="497"/>
      <c r="M66" s="51" t="s">
        <v>248</v>
      </c>
      <c r="N66" s="511" t="s">
        <v>214</v>
      </c>
      <c r="O66" s="511"/>
      <c r="P66" s="512">
        <v>200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516"/>
      <c r="AC66" s="522"/>
      <c r="AD66" s="523"/>
      <c r="AF66" s="50"/>
    </row>
    <row r="67" spans="1:32" ht="25.5" customHeight="1">
      <c r="A67" s="503">
        <v>2</v>
      </c>
      <c r="B67" s="504"/>
      <c r="C67" s="105" t="s">
        <v>123</v>
      </c>
      <c r="D67" s="253"/>
      <c r="E67" s="256"/>
      <c r="F67" s="513" t="s">
        <v>405</v>
      </c>
      <c r="G67" s="514"/>
      <c r="H67" s="514"/>
      <c r="I67" s="514"/>
      <c r="J67" s="515"/>
      <c r="K67" s="497" t="s">
        <v>119</v>
      </c>
      <c r="L67" s="497"/>
      <c r="M67" s="51" t="s">
        <v>248</v>
      </c>
      <c r="N67" s="511" t="s">
        <v>214</v>
      </c>
      <c r="O67" s="511"/>
      <c r="P67" s="512">
        <v>200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3</v>
      </c>
      <c r="B68" s="504"/>
      <c r="C68" s="105" t="s">
        <v>123</v>
      </c>
      <c r="D68" s="253"/>
      <c r="E68" s="256"/>
      <c r="F68" s="513" t="s">
        <v>406</v>
      </c>
      <c r="G68" s="514"/>
      <c r="H68" s="514"/>
      <c r="I68" s="514"/>
      <c r="J68" s="515"/>
      <c r="K68" s="497" t="s">
        <v>247</v>
      </c>
      <c r="L68" s="497"/>
      <c r="M68" s="51" t="s">
        <v>248</v>
      </c>
      <c r="N68" s="511" t="s">
        <v>180</v>
      </c>
      <c r="O68" s="511"/>
      <c r="P68" s="512"/>
      <c r="Q68" s="512"/>
      <c r="R68" s="510" t="s">
        <v>407</v>
      </c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4</v>
      </c>
      <c r="B69" s="504"/>
      <c r="C69" s="105"/>
      <c r="D69" s="253"/>
      <c r="E69" s="256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5</v>
      </c>
      <c r="B70" s="504"/>
      <c r="C70" s="105"/>
      <c r="D70" s="253"/>
      <c r="E70" s="256"/>
      <c r="F70" s="513"/>
      <c r="G70" s="514"/>
      <c r="H70" s="514"/>
      <c r="I70" s="514"/>
      <c r="J70" s="515"/>
      <c r="K70" s="516"/>
      <c r="L70" s="504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6</v>
      </c>
      <c r="B71" s="504"/>
      <c r="C71" s="105"/>
      <c r="D71" s="253"/>
      <c r="E71" s="256"/>
      <c r="F71" s="513"/>
      <c r="G71" s="514"/>
      <c r="H71" s="514"/>
      <c r="I71" s="514"/>
      <c r="J71" s="515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7</v>
      </c>
      <c r="B72" s="504"/>
      <c r="C72" s="105"/>
      <c r="D72" s="253"/>
      <c r="E72" s="256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8</v>
      </c>
      <c r="B73" s="504"/>
      <c r="C73" s="105"/>
      <c r="D73" s="253"/>
      <c r="E73" s="256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9</v>
      </c>
      <c r="B74" s="504"/>
      <c r="C74" s="105"/>
      <c r="D74" s="253"/>
      <c r="E74" s="256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5.5" customHeight="1">
      <c r="A75" s="503">
        <v>10</v>
      </c>
      <c r="B75" s="504"/>
      <c r="C75" s="105"/>
      <c r="D75" s="253"/>
      <c r="E75" s="256"/>
      <c r="F75" s="505"/>
      <c r="G75" s="497"/>
      <c r="H75" s="497"/>
      <c r="I75" s="497"/>
      <c r="J75" s="497"/>
      <c r="K75" s="497"/>
      <c r="L75" s="497"/>
      <c r="M75" s="51"/>
      <c r="N75" s="511"/>
      <c r="O75" s="511"/>
      <c r="P75" s="512"/>
      <c r="Q75" s="512"/>
      <c r="R75" s="510"/>
      <c r="S75" s="510"/>
      <c r="T75" s="510"/>
      <c r="U75" s="510"/>
      <c r="V75" s="510"/>
      <c r="W75" s="510"/>
      <c r="X75" s="510"/>
      <c r="Y75" s="510"/>
      <c r="Z75" s="510"/>
      <c r="AA75" s="510"/>
      <c r="AB75" s="497"/>
      <c r="AC75" s="497"/>
      <c r="AD75" s="498"/>
      <c r="AF75" s="50"/>
    </row>
    <row r="76" spans="1:32" ht="26.25" customHeight="1" thickBot="1">
      <c r="A76" s="477" t="s">
        <v>408</v>
      </c>
      <c r="B76" s="477"/>
      <c r="C76" s="477"/>
      <c r="D76" s="477"/>
      <c r="E76" s="47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8" t="s">
        <v>111</v>
      </c>
      <c r="B77" s="479"/>
      <c r="C77" s="255" t="s">
        <v>2</v>
      </c>
      <c r="D77" s="255" t="s">
        <v>37</v>
      </c>
      <c r="E77" s="255" t="s">
        <v>3</v>
      </c>
      <c r="F77" s="479" t="s">
        <v>38</v>
      </c>
      <c r="G77" s="479"/>
      <c r="H77" s="479"/>
      <c r="I77" s="479"/>
      <c r="J77" s="479"/>
      <c r="K77" s="499" t="s">
        <v>58</v>
      </c>
      <c r="L77" s="500"/>
      <c r="M77" s="500"/>
      <c r="N77" s="500"/>
      <c r="O77" s="500"/>
      <c r="P77" s="500"/>
      <c r="Q77" s="500"/>
      <c r="R77" s="500"/>
      <c r="S77" s="501"/>
      <c r="T77" s="479" t="s">
        <v>49</v>
      </c>
      <c r="U77" s="479"/>
      <c r="V77" s="499" t="s">
        <v>50</v>
      </c>
      <c r="W77" s="501"/>
      <c r="X77" s="500" t="s">
        <v>51</v>
      </c>
      <c r="Y77" s="500"/>
      <c r="Z77" s="500"/>
      <c r="AA77" s="500"/>
      <c r="AB77" s="500"/>
      <c r="AC77" s="500"/>
      <c r="AD77" s="502"/>
      <c r="AF77" s="50"/>
    </row>
    <row r="78" spans="1:32" ht="33.75" customHeight="1">
      <c r="A78" s="471">
        <v>1</v>
      </c>
      <c r="B78" s="472"/>
      <c r="C78" s="254" t="s">
        <v>112</v>
      </c>
      <c r="D78" s="254"/>
      <c r="E78" s="65" t="s">
        <v>117</v>
      </c>
      <c r="F78" s="486" t="s">
        <v>116</v>
      </c>
      <c r="G78" s="487"/>
      <c r="H78" s="487"/>
      <c r="I78" s="487"/>
      <c r="J78" s="488"/>
      <c r="K78" s="489" t="s">
        <v>122</v>
      </c>
      <c r="L78" s="490"/>
      <c r="M78" s="490"/>
      <c r="N78" s="490"/>
      <c r="O78" s="490"/>
      <c r="P78" s="490"/>
      <c r="Q78" s="490"/>
      <c r="R78" s="490"/>
      <c r="S78" s="491"/>
      <c r="T78" s="492">
        <v>43675</v>
      </c>
      <c r="U78" s="493"/>
      <c r="V78" s="494"/>
      <c r="W78" s="494"/>
      <c r="X78" s="495"/>
      <c r="Y78" s="495"/>
      <c r="Z78" s="495"/>
      <c r="AA78" s="495"/>
      <c r="AB78" s="495"/>
      <c r="AC78" s="495"/>
      <c r="AD78" s="496"/>
      <c r="AF78" s="50"/>
    </row>
    <row r="79" spans="1:32" ht="30" customHeight="1">
      <c r="A79" s="464">
        <f>A78+1</f>
        <v>2</v>
      </c>
      <c r="B79" s="465"/>
      <c r="C79" s="253"/>
      <c r="D79" s="253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ref="A80:A84" si="21">A79+1</f>
        <v>3</v>
      </c>
      <c r="B80" s="465"/>
      <c r="C80" s="253"/>
      <c r="D80" s="253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1"/>
        <v>4</v>
      </c>
      <c r="B81" s="465"/>
      <c r="C81" s="253"/>
      <c r="D81" s="253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1"/>
        <v>5</v>
      </c>
      <c r="B82" s="465"/>
      <c r="C82" s="253"/>
      <c r="D82" s="253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1"/>
        <v>6</v>
      </c>
      <c r="B83" s="465"/>
      <c r="C83" s="253"/>
      <c r="D83" s="253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21"/>
        <v>7</v>
      </c>
      <c r="B84" s="465"/>
      <c r="C84" s="253"/>
      <c r="D84" s="253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7" t="s">
        <v>409</v>
      </c>
      <c r="B85" s="477"/>
      <c r="C85" s="477"/>
      <c r="D85" s="477"/>
      <c r="E85" s="47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8" t="s">
        <v>111</v>
      </c>
      <c r="B86" s="479"/>
      <c r="C86" s="469" t="s">
        <v>52</v>
      </c>
      <c r="D86" s="469"/>
      <c r="E86" s="469" t="s">
        <v>53</v>
      </c>
      <c r="F86" s="469"/>
      <c r="G86" s="469"/>
      <c r="H86" s="469"/>
      <c r="I86" s="469"/>
      <c r="J86" s="469"/>
      <c r="K86" s="469" t="s">
        <v>54</v>
      </c>
      <c r="L86" s="469"/>
      <c r="M86" s="469"/>
      <c r="N86" s="469"/>
      <c r="O86" s="469"/>
      <c r="P86" s="469"/>
      <c r="Q86" s="469"/>
      <c r="R86" s="469"/>
      <c r="S86" s="469"/>
      <c r="T86" s="469" t="s">
        <v>55</v>
      </c>
      <c r="U86" s="469"/>
      <c r="V86" s="469" t="s">
        <v>56</v>
      </c>
      <c r="W86" s="469"/>
      <c r="X86" s="469"/>
      <c r="Y86" s="469" t="s">
        <v>51</v>
      </c>
      <c r="Z86" s="469"/>
      <c r="AA86" s="469"/>
      <c r="AB86" s="469"/>
      <c r="AC86" s="469"/>
      <c r="AD86" s="470"/>
      <c r="AF86" s="50"/>
    </row>
    <row r="87" spans="1:32" ht="30.75" customHeight="1">
      <c r="A87" s="471">
        <v>1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4"/>
      <c r="W87" s="474"/>
      <c r="X87" s="474"/>
      <c r="Y87" s="475"/>
      <c r="Z87" s="475"/>
      <c r="AA87" s="475"/>
      <c r="AB87" s="475"/>
      <c r="AC87" s="475"/>
      <c r="AD87" s="476"/>
      <c r="AF87" s="50"/>
    </row>
    <row r="88" spans="1:32" ht="30.75" customHeight="1">
      <c r="A88" s="464">
        <v>2</v>
      </c>
      <c r="B88" s="465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7"/>
      <c r="U88" s="467"/>
      <c r="V88" s="468"/>
      <c r="W88" s="468"/>
      <c r="X88" s="468"/>
      <c r="Y88" s="457"/>
      <c r="Z88" s="457"/>
      <c r="AA88" s="457"/>
      <c r="AB88" s="457"/>
      <c r="AC88" s="457"/>
      <c r="AD88" s="458"/>
      <c r="AF88" s="50"/>
    </row>
    <row r="89" spans="1:32" ht="30.75" customHeight="1" thickBot="1">
      <c r="A89" s="459">
        <v>3</v>
      </c>
      <c r="B89" s="460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  <c r="Y89" s="462"/>
      <c r="Z89" s="462"/>
      <c r="AA89" s="462"/>
      <c r="AB89" s="462"/>
      <c r="AC89" s="462"/>
      <c r="AD89" s="463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9B41-81EA-4458-8D26-7A10C4073FF5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410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65" t="s">
        <v>17</v>
      </c>
      <c r="L5" s="265" t="s">
        <v>18</v>
      </c>
      <c r="M5" s="265" t="s">
        <v>19</v>
      </c>
      <c r="N5" s="26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2602</v>
      </c>
      <c r="K6" s="15">
        <f>L6+5567+6177+5956+2594+5676+6103+6040+4713+6089+5522</f>
        <v>57039</v>
      </c>
      <c r="L6" s="15">
        <v>2602</v>
      </c>
      <c r="M6" s="15">
        <f t="shared" ref="M6:M21" si="0">L6-N6</f>
        <v>2602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10</v>
      </c>
      <c r="Q6" s="40">
        <f t="shared" ref="Q6:Q21" si="3">SUM(R6:AA6)</f>
        <v>14</v>
      </c>
      <c r="R6" s="7"/>
      <c r="S6" s="6"/>
      <c r="T6" s="16"/>
      <c r="U6" s="16"/>
      <c r="V6" s="17">
        <v>14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0.41666666666666669</v>
      </c>
      <c r="AD6" s="10">
        <f t="shared" ref="AD6:AD21" si="6">AC6*AB6*(1-O6)</f>
        <v>0.41666666666666669</v>
      </c>
      <c r="AE6" s="36">
        <f t="shared" ref="AE6:AE16" si="7">$AD$22</f>
        <v>0.21093749999999997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90000</v>
      </c>
      <c r="J7" s="5">
        <v>6954</v>
      </c>
      <c r="K7" s="15">
        <f>L7+11280+18680+16392+16425</f>
        <v>69731</v>
      </c>
      <c r="L7" s="15">
        <f>2318*3</f>
        <v>6954</v>
      </c>
      <c r="M7" s="15">
        <f t="shared" si="0"/>
        <v>6954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/>
      <c r="T7" s="16"/>
      <c r="U7" s="16"/>
      <c r="V7" s="17">
        <v>14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0.21093749999999997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2420</v>
      </c>
      <c r="K8" s="15">
        <f>L8+1658+3024+3826+5621+5758+5746+5871+5666+2439+5254+5051+3104+4798+5662</f>
        <v>65898</v>
      </c>
      <c r="L8" s="15">
        <v>2420</v>
      </c>
      <c r="M8" s="15">
        <f t="shared" si="0"/>
        <v>2420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0.21093749999999997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128</v>
      </c>
      <c r="E9" s="53" t="s">
        <v>402</v>
      </c>
      <c r="F9" s="30" t="s">
        <v>211</v>
      </c>
      <c r="G9" s="33">
        <v>4</v>
      </c>
      <c r="H9" s="35">
        <v>24</v>
      </c>
      <c r="I9" s="7">
        <v>90000</v>
      </c>
      <c r="J9" s="14">
        <v>4608</v>
      </c>
      <c r="K9" s="15">
        <f>L9</f>
        <v>4608</v>
      </c>
      <c r="L9" s="15">
        <f>1152*4</f>
        <v>4608</v>
      </c>
      <c r="M9" s="15">
        <f t="shared" si="0"/>
        <v>4608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/>
      <c r="T9" s="16"/>
      <c r="U9" s="16"/>
      <c r="V9" s="17">
        <v>14</v>
      </c>
      <c r="W9" s="5"/>
      <c r="X9" s="16"/>
      <c r="Y9" s="16"/>
      <c r="Z9" s="16"/>
      <c r="AA9" s="18">
        <v>4</v>
      </c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0.21093749999999997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131</v>
      </c>
      <c r="E10" s="53" t="s">
        <v>158</v>
      </c>
      <c r="F10" s="30" t="s">
        <v>124</v>
      </c>
      <c r="G10" s="33">
        <v>1</v>
      </c>
      <c r="H10" s="35">
        <v>24</v>
      </c>
      <c r="I10" s="7">
        <v>45000</v>
      </c>
      <c r="J10" s="5">
        <v>3835</v>
      </c>
      <c r="K10" s="15">
        <f>L10+3006+4988+687+4584+5534+5337+2364+5092+2217+5471+5522+3835</f>
        <v>48637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0.21093749999999997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364</v>
      </c>
      <c r="K11" s="15">
        <f>L11+4668+4429+5671+2067+5444+3967+5843+5907+3309+3086</f>
        <v>44755</v>
      </c>
      <c r="L11" s="15">
        <v>364</v>
      </c>
      <c r="M11" s="15">
        <f t="shared" si="0"/>
        <v>364</v>
      </c>
      <c r="N11" s="15">
        <v>0</v>
      </c>
      <c r="O11" s="58">
        <f t="shared" si="1"/>
        <v>0</v>
      </c>
      <c r="P11" s="39">
        <f t="shared" si="2"/>
        <v>2</v>
      </c>
      <c r="Q11" s="40">
        <f t="shared" si="3"/>
        <v>22</v>
      </c>
      <c r="R11" s="7"/>
      <c r="S11" s="6">
        <v>8</v>
      </c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8.3333333333333329E-2</v>
      </c>
      <c r="AD11" s="10">
        <f>AC11*AB11*(1-O11)</f>
        <v>8.3333333333333329E-2</v>
      </c>
      <c r="AE11" s="36">
        <f t="shared" si="7"/>
        <v>0.21093749999999997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68500</v>
      </c>
      <c r="J12" s="14">
        <v>2304</v>
      </c>
      <c r="K12" s="15">
        <f>L12+2120+2858+4163+3861+4361+2294+4491+3957+1094+4596+4805+4701+4434+2171+2304</f>
        <v>52210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ref="AD12:AD14" si="9">AC12*AB12*(1-O12)</f>
        <v>0</v>
      </c>
      <c r="AE12" s="36">
        <f t="shared" si="7"/>
        <v>0.21093749999999997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263</v>
      </c>
      <c r="F13" s="30" t="s">
        <v>125</v>
      </c>
      <c r="G13" s="33">
        <v>4</v>
      </c>
      <c r="H13" s="35">
        <v>24</v>
      </c>
      <c r="I13" s="7">
        <v>520000</v>
      </c>
      <c r="J13" s="14">
        <v>9308</v>
      </c>
      <c r="K13" s="15">
        <f>L13+11600</f>
        <v>20908</v>
      </c>
      <c r="L13" s="15">
        <f>2327*4</f>
        <v>9308</v>
      </c>
      <c r="M13" s="15">
        <f t="shared" si="0"/>
        <v>9308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/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9"/>
        <v>0.41666666666666669</v>
      </c>
      <c r="AE13" s="36">
        <f t="shared" si="7"/>
        <v>0.21093749999999997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L14+350</f>
        <v>350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0.21093749999999997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388</v>
      </c>
      <c r="F15" s="12" t="s">
        <v>247</v>
      </c>
      <c r="G15" s="12">
        <v>1</v>
      </c>
      <c r="H15" s="13">
        <v>24</v>
      </c>
      <c r="I15" s="31">
        <v>6100</v>
      </c>
      <c r="J15" s="14">
        <v>2603</v>
      </c>
      <c r="K15" s="15">
        <f>L15+5017+2603</f>
        <v>7620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0.21093749999999997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1983</v>
      </c>
      <c r="K16" s="15">
        <f>L16+1024+3034+3628+4720+3293+5714+5436+4776+4500+4981</f>
        <v>43089</v>
      </c>
      <c r="L16" s="15">
        <v>1983</v>
      </c>
      <c r="M16" s="15">
        <f t="shared" si="0"/>
        <v>1983</v>
      </c>
      <c r="N16" s="15">
        <v>0</v>
      </c>
      <c r="O16" s="58">
        <f t="shared" si="1"/>
        <v>0</v>
      </c>
      <c r="P16" s="39">
        <f t="shared" si="2"/>
        <v>10</v>
      </c>
      <c r="Q16" s="40">
        <f t="shared" si="3"/>
        <v>14</v>
      </c>
      <c r="R16" s="7"/>
      <c r="S16" s="6"/>
      <c r="T16" s="16"/>
      <c r="U16" s="16"/>
      <c r="V16" s="17">
        <v>14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0.41666666666666669</v>
      </c>
      <c r="AD16" s="10">
        <f t="shared" si="6"/>
        <v>0.41666666666666669</v>
      </c>
      <c r="AE16" s="36">
        <f t="shared" si="7"/>
        <v>0.21093749999999997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250000</v>
      </c>
      <c r="J17" s="5">
        <v>9424</v>
      </c>
      <c r="K17" s="15">
        <f>L17+13840+22204+21992+20260+22164+21932</f>
        <v>131816</v>
      </c>
      <c r="L17" s="15">
        <f>2356*4</f>
        <v>9424</v>
      </c>
      <c r="M17" s="15">
        <f t="shared" si="0"/>
        <v>9424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>
        <v>14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ref="AE17:AE19" si="10">$AD$22</f>
        <v>0.21093749999999997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242</v>
      </c>
      <c r="F18" s="30" t="s">
        <v>119</v>
      </c>
      <c r="G18" s="12">
        <v>1</v>
      </c>
      <c r="H18" s="13">
        <v>28</v>
      </c>
      <c r="I18" s="31">
        <v>15000</v>
      </c>
      <c r="J18" s="5">
        <v>339</v>
      </c>
      <c r="K18" s="15">
        <f>L18+4957+4790+1584+3198</f>
        <v>14868</v>
      </c>
      <c r="L18" s="15">
        <v>339</v>
      </c>
      <c r="M18" s="15">
        <f t="shared" si="0"/>
        <v>339</v>
      </c>
      <c r="N18" s="15">
        <v>0</v>
      </c>
      <c r="O18" s="58">
        <f t="shared" si="1"/>
        <v>0</v>
      </c>
      <c r="P18" s="39">
        <f t="shared" si="2"/>
        <v>3</v>
      </c>
      <c r="Q18" s="40">
        <f t="shared" si="3"/>
        <v>21</v>
      </c>
      <c r="R18" s="7"/>
      <c r="S18" s="6">
        <v>7</v>
      </c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0.125</v>
      </c>
      <c r="AD18" s="10">
        <f t="shared" si="6"/>
        <v>0.125</v>
      </c>
      <c r="AE18" s="36">
        <f t="shared" si="10"/>
        <v>0.21093749999999997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131</v>
      </c>
      <c r="E19" s="53" t="s">
        <v>368</v>
      </c>
      <c r="F19" s="30" t="s">
        <v>210</v>
      </c>
      <c r="G19" s="33">
        <v>1</v>
      </c>
      <c r="H19" s="35">
        <v>24</v>
      </c>
      <c r="I19" s="7">
        <v>90000</v>
      </c>
      <c r="J19" s="5">
        <v>18048</v>
      </c>
      <c r="K19" s="15">
        <f>L19+18048</f>
        <v>18048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>AC19*AB19*(1-O19)</f>
        <v>0</v>
      </c>
      <c r="AE19" s="36">
        <f t="shared" si="10"/>
        <v>0.21093749999999997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224</v>
      </c>
      <c r="F20" s="30" t="s">
        <v>119</v>
      </c>
      <c r="G20" s="33">
        <v>1</v>
      </c>
      <c r="H20" s="35">
        <v>24</v>
      </c>
      <c r="I20" s="7">
        <v>64000</v>
      </c>
      <c r="J20" s="14">
        <v>2208</v>
      </c>
      <c r="K20" s="15">
        <f>L20+4204+5394+5278+1522+3899+5224+5152+5164</f>
        <v>38045</v>
      </c>
      <c r="L20" s="15">
        <v>2208</v>
      </c>
      <c r="M20" s="15">
        <f t="shared" si="0"/>
        <v>2208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/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>$AD$22</f>
        <v>0.21093749999999997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30748</v>
      </c>
      <c r="K21" s="15">
        <f>L21+46004+81588+47056+35856+81716+45768+30748</f>
        <v>368736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>$AD$22</f>
        <v>0.21093749999999997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1">SUM(I6:I21)</f>
        <v>2011900</v>
      </c>
      <c r="J22" s="19">
        <f t="shared" si="11"/>
        <v>98098</v>
      </c>
      <c r="K22" s="20">
        <f t="shared" si="11"/>
        <v>986358</v>
      </c>
      <c r="L22" s="21">
        <f t="shared" si="11"/>
        <v>40210</v>
      </c>
      <c r="M22" s="20">
        <f t="shared" si="11"/>
        <v>40210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81</v>
      </c>
      <c r="Q22" s="43">
        <f t="shared" si="12"/>
        <v>303</v>
      </c>
      <c r="R22" s="23">
        <f t="shared" si="12"/>
        <v>0</v>
      </c>
      <c r="S22" s="24">
        <f t="shared" si="12"/>
        <v>63</v>
      </c>
      <c r="T22" s="24">
        <f t="shared" si="12"/>
        <v>0</v>
      </c>
      <c r="U22" s="24">
        <f t="shared" si="12"/>
        <v>0</v>
      </c>
      <c r="V22" s="25">
        <f t="shared" si="12"/>
        <v>164</v>
      </c>
      <c r="W22" s="26">
        <f t="shared" si="12"/>
        <v>24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52</v>
      </c>
      <c r="AB22" s="28">
        <f>AVERAGE(AB6:AB21)</f>
        <v>0.625</v>
      </c>
      <c r="AC22" s="4">
        <f>AVERAGE(AC6:AC21)</f>
        <v>0.21093749999999997</v>
      </c>
      <c r="AD22" s="4">
        <f>AVERAGE(AD6:AD21)</f>
        <v>0.21093749999999997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411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413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266" t="s">
        <v>46</v>
      </c>
      <c r="D51" s="266" t="s">
        <v>47</v>
      </c>
      <c r="E51" s="266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266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121</v>
      </c>
      <c r="B52" s="527"/>
      <c r="C52" s="268" t="s">
        <v>142</v>
      </c>
      <c r="D52" s="268" t="s">
        <v>128</v>
      </c>
      <c r="E52" s="268" t="s">
        <v>402</v>
      </c>
      <c r="F52" s="528" t="s">
        <v>118</v>
      </c>
      <c r="G52" s="529"/>
      <c r="H52" s="529"/>
      <c r="I52" s="529"/>
      <c r="J52" s="529"/>
      <c r="K52" s="529"/>
      <c r="L52" s="529"/>
      <c r="M52" s="530"/>
      <c r="N52" s="267" t="s">
        <v>112</v>
      </c>
      <c r="O52" s="273" t="s">
        <v>194</v>
      </c>
      <c r="P52" s="540" t="s">
        <v>257</v>
      </c>
      <c r="Q52" s="541"/>
      <c r="R52" s="540" t="s">
        <v>414</v>
      </c>
      <c r="S52" s="542"/>
      <c r="T52" s="542"/>
      <c r="U52" s="541"/>
      <c r="V52" s="510" t="s">
        <v>151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112</v>
      </c>
      <c r="B53" s="527"/>
      <c r="C53" s="268" t="s">
        <v>261</v>
      </c>
      <c r="D53" s="268" t="s">
        <v>257</v>
      </c>
      <c r="E53" s="268" t="s">
        <v>258</v>
      </c>
      <c r="F53" s="528" t="s">
        <v>151</v>
      </c>
      <c r="G53" s="529"/>
      <c r="H53" s="529"/>
      <c r="I53" s="529"/>
      <c r="J53" s="529"/>
      <c r="K53" s="529"/>
      <c r="L53" s="529"/>
      <c r="M53" s="530"/>
      <c r="N53" s="267" t="s">
        <v>112</v>
      </c>
      <c r="O53" s="273" t="s">
        <v>239</v>
      </c>
      <c r="P53" s="540" t="s">
        <v>115</v>
      </c>
      <c r="Q53" s="541"/>
      <c r="R53" s="540" t="s">
        <v>116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112</v>
      </c>
      <c r="B54" s="527"/>
      <c r="C54" s="268" t="s">
        <v>239</v>
      </c>
      <c r="D54" s="268" t="s">
        <v>115</v>
      </c>
      <c r="E54" s="268" t="s">
        <v>116</v>
      </c>
      <c r="F54" s="528" t="s">
        <v>400</v>
      </c>
      <c r="G54" s="529"/>
      <c r="H54" s="529"/>
      <c r="I54" s="529"/>
      <c r="J54" s="529"/>
      <c r="K54" s="529"/>
      <c r="L54" s="529"/>
      <c r="M54" s="530"/>
      <c r="N54" s="267" t="s">
        <v>112</v>
      </c>
      <c r="O54" s="273" t="s">
        <v>214</v>
      </c>
      <c r="P54" s="540" t="s">
        <v>370</v>
      </c>
      <c r="Q54" s="541"/>
      <c r="R54" s="540" t="s">
        <v>415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268" t="s">
        <v>147</v>
      </c>
      <c r="D55" s="268" t="s">
        <v>115</v>
      </c>
      <c r="E55" s="268" t="s">
        <v>242</v>
      </c>
      <c r="F55" s="528" t="s">
        <v>169</v>
      </c>
      <c r="G55" s="529"/>
      <c r="H55" s="529"/>
      <c r="I55" s="529"/>
      <c r="J55" s="529"/>
      <c r="K55" s="529"/>
      <c r="L55" s="529"/>
      <c r="M55" s="530"/>
      <c r="N55" s="267"/>
      <c r="O55" s="273"/>
      <c r="P55" s="540"/>
      <c r="Q55" s="541"/>
      <c r="R55" s="540"/>
      <c r="S55" s="542"/>
      <c r="T55" s="542"/>
      <c r="U55" s="541"/>
      <c r="V55" s="510"/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121</v>
      </c>
      <c r="B56" s="527"/>
      <c r="C56" s="268" t="s">
        <v>194</v>
      </c>
      <c r="D56" s="268" t="s">
        <v>131</v>
      </c>
      <c r="E56" s="268" t="s">
        <v>368</v>
      </c>
      <c r="F56" s="528" t="s">
        <v>412</v>
      </c>
      <c r="G56" s="529"/>
      <c r="H56" s="529"/>
      <c r="I56" s="529"/>
      <c r="J56" s="529"/>
      <c r="K56" s="529"/>
      <c r="L56" s="529"/>
      <c r="M56" s="530"/>
      <c r="N56" s="267"/>
      <c r="O56" s="273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268"/>
      <c r="D57" s="268"/>
      <c r="E57" s="268"/>
      <c r="F57" s="528"/>
      <c r="G57" s="529"/>
      <c r="H57" s="529"/>
      <c r="I57" s="529"/>
      <c r="J57" s="529"/>
      <c r="K57" s="529"/>
      <c r="L57" s="529"/>
      <c r="M57" s="530"/>
      <c r="N57" s="267"/>
      <c r="O57" s="273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268"/>
      <c r="D58" s="268"/>
      <c r="E58" s="268"/>
      <c r="F58" s="528"/>
      <c r="G58" s="529"/>
      <c r="H58" s="529"/>
      <c r="I58" s="529"/>
      <c r="J58" s="529"/>
      <c r="K58" s="529"/>
      <c r="L58" s="529"/>
      <c r="M58" s="530"/>
      <c r="N58" s="267"/>
      <c r="O58" s="273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268"/>
      <c r="D59" s="268"/>
      <c r="E59" s="268"/>
      <c r="F59" s="528"/>
      <c r="G59" s="529"/>
      <c r="H59" s="529"/>
      <c r="I59" s="529"/>
      <c r="J59" s="529"/>
      <c r="K59" s="529"/>
      <c r="L59" s="529"/>
      <c r="M59" s="530"/>
      <c r="N59" s="267"/>
      <c r="O59" s="273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268"/>
      <c r="D60" s="268"/>
      <c r="E60" s="268"/>
      <c r="F60" s="528"/>
      <c r="G60" s="529"/>
      <c r="H60" s="529"/>
      <c r="I60" s="529"/>
      <c r="J60" s="529"/>
      <c r="K60" s="529"/>
      <c r="L60" s="529"/>
      <c r="M60" s="530"/>
      <c r="N60" s="267"/>
      <c r="O60" s="273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269"/>
      <c r="D61" s="270"/>
      <c r="E61" s="270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416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271" t="s">
        <v>2</v>
      </c>
      <c r="D63" s="271" t="s">
        <v>37</v>
      </c>
      <c r="E63" s="271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271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120</v>
      </c>
      <c r="D64" s="275"/>
      <c r="E64" s="272" t="s">
        <v>131</v>
      </c>
      <c r="F64" s="513" t="s">
        <v>417</v>
      </c>
      <c r="G64" s="514"/>
      <c r="H64" s="514"/>
      <c r="I64" s="514"/>
      <c r="J64" s="515"/>
      <c r="K64" s="497" t="s">
        <v>210</v>
      </c>
      <c r="L64" s="497"/>
      <c r="M64" s="51" t="s">
        <v>248</v>
      </c>
      <c r="N64" s="511" t="s">
        <v>194</v>
      </c>
      <c r="O64" s="511"/>
      <c r="P64" s="512">
        <v>500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120</v>
      </c>
      <c r="D65" s="275"/>
      <c r="E65" s="272" t="s">
        <v>196</v>
      </c>
      <c r="F65" s="513" t="s">
        <v>418</v>
      </c>
      <c r="G65" s="514"/>
      <c r="H65" s="514"/>
      <c r="I65" s="514"/>
      <c r="J65" s="515"/>
      <c r="K65" s="497" t="s">
        <v>419</v>
      </c>
      <c r="L65" s="497"/>
      <c r="M65" s="51" t="s">
        <v>420</v>
      </c>
      <c r="N65" s="511" t="s">
        <v>142</v>
      </c>
      <c r="O65" s="511"/>
      <c r="P65" s="512">
        <v>100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 t="s">
        <v>123</v>
      </c>
      <c r="D66" s="275"/>
      <c r="E66" s="272"/>
      <c r="F66" s="513" t="s">
        <v>421</v>
      </c>
      <c r="G66" s="514"/>
      <c r="H66" s="514"/>
      <c r="I66" s="514"/>
      <c r="J66" s="515"/>
      <c r="K66" s="497" t="s">
        <v>247</v>
      </c>
      <c r="L66" s="497"/>
      <c r="M66" s="51" t="s">
        <v>248</v>
      </c>
      <c r="N66" s="511" t="s">
        <v>180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 t="s">
        <v>120</v>
      </c>
      <c r="D67" s="275"/>
      <c r="E67" s="272" t="s">
        <v>165</v>
      </c>
      <c r="F67" s="513" t="s">
        <v>422</v>
      </c>
      <c r="G67" s="514"/>
      <c r="H67" s="514"/>
      <c r="I67" s="514"/>
      <c r="J67" s="515"/>
      <c r="K67" s="497" t="s">
        <v>143</v>
      </c>
      <c r="L67" s="497"/>
      <c r="M67" s="51" t="s">
        <v>420</v>
      </c>
      <c r="N67" s="511" t="s">
        <v>180</v>
      </c>
      <c r="O67" s="511"/>
      <c r="P67" s="512">
        <v>100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 t="s">
        <v>112</v>
      </c>
      <c r="D68" s="275"/>
      <c r="E68" s="272" t="s">
        <v>115</v>
      </c>
      <c r="F68" s="513" t="s">
        <v>199</v>
      </c>
      <c r="G68" s="514"/>
      <c r="H68" s="514"/>
      <c r="I68" s="514"/>
      <c r="J68" s="515"/>
      <c r="K68" s="516">
        <v>7301</v>
      </c>
      <c r="L68" s="504"/>
      <c r="M68" s="51" t="s">
        <v>200</v>
      </c>
      <c r="N68" s="511" t="s">
        <v>201</v>
      </c>
      <c r="O68" s="511"/>
      <c r="P68" s="512">
        <v>50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275"/>
      <c r="E69" s="272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275"/>
      <c r="E70" s="272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275"/>
      <c r="E71" s="272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275"/>
      <c r="E72" s="272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275"/>
      <c r="E73" s="272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423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274" t="s">
        <v>2</v>
      </c>
      <c r="D75" s="274" t="s">
        <v>37</v>
      </c>
      <c r="E75" s="274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276" t="s">
        <v>112</v>
      </c>
      <c r="D76" s="276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275"/>
      <c r="D77" s="275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3">A77+1</f>
        <v>3</v>
      </c>
      <c r="B78" s="465"/>
      <c r="C78" s="275"/>
      <c r="D78" s="275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3"/>
        <v>4</v>
      </c>
      <c r="B79" s="465"/>
      <c r="C79" s="275"/>
      <c r="D79" s="275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3"/>
        <v>5</v>
      </c>
      <c r="B80" s="465"/>
      <c r="C80" s="275"/>
      <c r="D80" s="275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3"/>
        <v>6</v>
      </c>
      <c r="B81" s="465"/>
      <c r="C81" s="275"/>
      <c r="D81" s="275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3"/>
        <v>7</v>
      </c>
      <c r="B82" s="465"/>
      <c r="C82" s="275"/>
      <c r="D82" s="275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424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6190-0117-4409-801C-3CA3AB46EDF0}">
  <dimension ref="A1:AF87"/>
  <sheetViews>
    <sheetView zoomScale="72" zoomScaleNormal="72" zoomScaleSheetLayoutView="70" workbookViewId="0">
      <selection activeCell="K13" sqref="K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425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88" t="s">
        <v>17</v>
      </c>
      <c r="L5" s="288" t="s">
        <v>18</v>
      </c>
      <c r="M5" s="288" t="s">
        <v>19</v>
      </c>
      <c r="N5" s="28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5766</v>
      </c>
      <c r="K6" s="15">
        <f>L6+5567+6177+5956+2594+5676+6103+6040+4713+6089+5522+2602</f>
        <v>62805</v>
      </c>
      <c r="L6" s="15">
        <f>3178+2588</f>
        <v>5766</v>
      </c>
      <c r="M6" s="15">
        <f t="shared" ref="M6:M21" si="0">L6-N6</f>
        <v>5766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19" si="7">$AD$22</f>
        <v>0.72135416666666674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105000</v>
      </c>
      <c r="J7" s="5">
        <v>15807</v>
      </c>
      <c r="K7" s="15">
        <f>L7+11280+18680+16392+16425+6954</f>
        <v>85538</v>
      </c>
      <c r="L7" s="15">
        <f>2890*3+2379*3</f>
        <v>15807</v>
      </c>
      <c r="M7" s="15">
        <f t="shared" si="0"/>
        <v>15807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0.72135416666666674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5454</v>
      </c>
      <c r="K8" s="15">
        <f>L8+1658+3024+3826+5621+5758+5746+5871+5666+2439+5254+5051+3104+4798+5662+2420</f>
        <v>71352</v>
      </c>
      <c r="L8" s="15">
        <f>2969+2485</f>
        <v>5454</v>
      </c>
      <c r="M8" s="15">
        <f t="shared" si="0"/>
        <v>5454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0.72135416666666674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128</v>
      </c>
      <c r="E9" s="53" t="s">
        <v>402</v>
      </c>
      <c r="F9" s="30" t="s">
        <v>211</v>
      </c>
      <c r="G9" s="33">
        <v>4</v>
      </c>
      <c r="H9" s="35">
        <v>24</v>
      </c>
      <c r="I9" s="7">
        <v>105000</v>
      </c>
      <c r="J9" s="14">
        <v>18492</v>
      </c>
      <c r="K9" s="15">
        <f>L9+4608</f>
        <v>23100</v>
      </c>
      <c r="L9" s="15">
        <f>2451*4+2172*4</f>
        <v>18492</v>
      </c>
      <c r="M9" s="15">
        <f t="shared" si="0"/>
        <v>18492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0.72135416666666674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370</v>
      </c>
      <c r="E10" s="53" t="s">
        <v>415</v>
      </c>
      <c r="F10" s="30" t="s">
        <v>211</v>
      </c>
      <c r="G10" s="33">
        <v>1</v>
      </c>
      <c r="H10" s="35">
        <v>24</v>
      </c>
      <c r="I10" s="7">
        <v>30000</v>
      </c>
      <c r="J10" s="5">
        <v>5309</v>
      </c>
      <c r="K10" s="15">
        <f>L10</f>
        <v>5309</v>
      </c>
      <c r="L10" s="15">
        <f>1999+3310</f>
        <v>5309</v>
      </c>
      <c r="M10" s="15">
        <f t="shared" si="0"/>
        <v>5309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0.72135416666666674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5637</v>
      </c>
      <c r="K11" s="15">
        <f>L11+4668+4429+5671+2067+5444+3967+5843+5907+3309+3086+364</f>
        <v>50392</v>
      </c>
      <c r="L11" s="15">
        <f>2581+3056</f>
        <v>5637</v>
      </c>
      <c r="M11" s="15">
        <f t="shared" si="0"/>
        <v>5637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0.72135416666666674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68500</v>
      </c>
      <c r="J12" s="14">
        <v>3767</v>
      </c>
      <c r="K12" s="15">
        <f>L12+2120+2858+4163+3861+4361+2294+4491+3957+1094+4596+4805+4701+4434+2171+2304</f>
        <v>55977</v>
      </c>
      <c r="L12" s="15">
        <f>2504+1263</f>
        <v>3767</v>
      </c>
      <c r="M12" s="15">
        <f t="shared" si="0"/>
        <v>3767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ref="AD12:AD14" si="9">AC12*AB12*(1-O12)</f>
        <v>0.79166666666666663</v>
      </c>
      <c r="AE12" s="36">
        <f t="shared" si="7"/>
        <v>0.72135416666666674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263</v>
      </c>
      <c r="F13" s="30" t="s">
        <v>125</v>
      </c>
      <c r="G13" s="33">
        <v>4</v>
      </c>
      <c r="H13" s="35">
        <v>24</v>
      </c>
      <c r="I13" s="7">
        <v>520000</v>
      </c>
      <c r="J13" s="14">
        <v>18652</v>
      </c>
      <c r="K13" s="15">
        <f>L13+11600+9308</f>
        <v>39560</v>
      </c>
      <c r="L13" s="15">
        <f>1833*4+2830*4</f>
        <v>18652</v>
      </c>
      <c r="M13" s="15">
        <f t="shared" si="0"/>
        <v>18652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9"/>
        <v>0.875</v>
      </c>
      <c r="AE13" s="36">
        <f t="shared" si="7"/>
        <v>0.72135416666666674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L14+350</f>
        <v>350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0.72135416666666674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388</v>
      </c>
      <c r="F15" s="12" t="s">
        <v>247</v>
      </c>
      <c r="G15" s="12">
        <v>1</v>
      </c>
      <c r="H15" s="13">
        <v>24</v>
      </c>
      <c r="I15" s="31">
        <v>6100</v>
      </c>
      <c r="J15" s="14">
        <v>2603</v>
      </c>
      <c r="K15" s="15">
        <f>L15+5017+2603</f>
        <v>7620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0.72135416666666674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112</v>
      </c>
      <c r="D16" s="52" t="s">
        <v>117</v>
      </c>
      <c r="E16" s="53" t="s">
        <v>133</v>
      </c>
      <c r="F16" s="30" t="s">
        <v>124</v>
      </c>
      <c r="G16" s="12">
        <v>1</v>
      </c>
      <c r="H16" s="13">
        <v>28</v>
      </c>
      <c r="I16" s="7">
        <v>45000</v>
      </c>
      <c r="J16" s="14">
        <v>2925</v>
      </c>
      <c r="K16" s="15">
        <f>L16+1024+3034+3628+4720+3293+5714+5436+4776+4500+4981+1983</f>
        <v>46014</v>
      </c>
      <c r="L16" s="15">
        <f>2188+737</f>
        <v>2925</v>
      </c>
      <c r="M16" s="15">
        <f t="shared" si="0"/>
        <v>2925</v>
      </c>
      <c r="N16" s="15">
        <v>0</v>
      </c>
      <c r="O16" s="58">
        <f t="shared" si="1"/>
        <v>0</v>
      </c>
      <c r="P16" s="39">
        <f t="shared" si="2"/>
        <v>18</v>
      </c>
      <c r="Q16" s="40">
        <f t="shared" si="3"/>
        <v>6</v>
      </c>
      <c r="R16" s="7"/>
      <c r="S16" s="6"/>
      <c r="T16" s="16"/>
      <c r="U16" s="16"/>
      <c r="V16" s="17"/>
      <c r="W16" s="5">
        <v>6</v>
      </c>
      <c r="X16" s="16"/>
      <c r="Y16" s="16"/>
      <c r="Z16" s="16"/>
      <c r="AA16" s="18"/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6">
        <f t="shared" si="7"/>
        <v>0.72135416666666674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250000</v>
      </c>
      <c r="J17" s="5">
        <v>21016</v>
      </c>
      <c r="K17" s="15">
        <f>L17+13840+22204+21992+20260+22164+21932+9424</f>
        <v>152832</v>
      </c>
      <c r="L17" s="15">
        <f>2381*4+2873*4</f>
        <v>21016</v>
      </c>
      <c r="M17" s="15">
        <f t="shared" si="0"/>
        <v>21016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0.72135416666666674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242</v>
      </c>
      <c r="F18" s="30" t="s">
        <v>119</v>
      </c>
      <c r="G18" s="12">
        <v>1</v>
      </c>
      <c r="H18" s="13">
        <v>28</v>
      </c>
      <c r="I18" s="31">
        <v>15000</v>
      </c>
      <c r="J18" s="5">
        <v>2545</v>
      </c>
      <c r="K18" s="15">
        <f>L18+4957+4790+1584+3198+339</f>
        <v>17413</v>
      </c>
      <c r="L18" s="15">
        <f>968+1577</f>
        <v>2545</v>
      </c>
      <c r="M18" s="15">
        <f t="shared" si="0"/>
        <v>2545</v>
      </c>
      <c r="N18" s="15">
        <v>0</v>
      </c>
      <c r="O18" s="58">
        <f t="shared" si="1"/>
        <v>0</v>
      </c>
      <c r="P18" s="39">
        <f t="shared" si="2"/>
        <v>11</v>
      </c>
      <c r="Q18" s="40">
        <f t="shared" si="3"/>
        <v>13</v>
      </c>
      <c r="R18" s="7"/>
      <c r="S18" s="6">
        <v>13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6">
        <f t="shared" si="7"/>
        <v>0.72135416666666674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257</v>
      </c>
      <c r="E19" s="53" t="s">
        <v>414</v>
      </c>
      <c r="F19" s="30" t="s">
        <v>124</v>
      </c>
      <c r="G19" s="33">
        <v>1</v>
      </c>
      <c r="H19" s="35">
        <v>24</v>
      </c>
      <c r="I19" s="7">
        <v>15000</v>
      </c>
      <c r="J19" s="5">
        <v>3126</v>
      </c>
      <c r="K19" s="15">
        <f>L19</f>
        <v>3126</v>
      </c>
      <c r="L19" s="15">
        <f>535+2591</f>
        <v>3126</v>
      </c>
      <c r="M19" s="15">
        <f t="shared" si="0"/>
        <v>3126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>AC19*AB19*(1-O19)</f>
        <v>0.66666666666666663</v>
      </c>
      <c r="AE19" s="36">
        <f t="shared" si="7"/>
        <v>0.72135416666666674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224</v>
      </c>
      <c r="F20" s="30" t="s">
        <v>119</v>
      </c>
      <c r="G20" s="33">
        <v>1</v>
      </c>
      <c r="H20" s="35">
        <v>24</v>
      </c>
      <c r="I20" s="7">
        <v>64000</v>
      </c>
      <c r="J20" s="14">
        <v>4924</v>
      </c>
      <c r="K20" s="15">
        <f>L20+4204+5394+5278+1522+3899+5224+5152+5164+2208</f>
        <v>42969</v>
      </c>
      <c r="L20" s="15">
        <f>2208+2716</f>
        <v>4924</v>
      </c>
      <c r="M20" s="15">
        <f t="shared" si="0"/>
        <v>4924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>$AD$22</f>
        <v>0.72135416666666674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30748</v>
      </c>
      <c r="K21" s="15">
        <f>L21+46004+81588+47056+35856+81716+45768+30748</f>
        <v>368736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>$AD$22</f>
        <v>0.72135416666666674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0">SUM(I6:I21)</f>
        <v>1951900</v>
      </c>
      <c r="J22" s="19">
        <f t="shared" si="10"/>
        <v>147121</v>
      </c>
      <c r="K22" s="20">
        <f t="shared" si="10"/>
        <v>1033093</v>
      </c>
      <c r="L22" s="21">
        <f t="shared" si="10"/>
        <v>113420</v>
      </c>
      <c r="M22" s="20">
        <f t="shared" si="10"/>
        <v>113420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277</v>
      </c>
      <c r="Q22" s="43">
        <f t="shared" si="11"/>
        <v>107</v>
      </c>
      <c r="R22" s="23">
        <f t="shared" si="11"/>
        <v>0</v>
      </c>
      <c r="S22" s="24">
        <f t="shared" si="11"/>
        <v>29</v>
      </c>
      <c r="T22" s="24">
        <f t="shared" si="11"/>
        <v>0</v>
      </c>
      <c r="U22" s="24">
        <f t="shared" si="11"/>
        <v>0</v>
      </c>
      <c r="V22" s="25">
        <f t="shared" si="11"/>
        <v>24</v>
      </c>
      <c r="W22" s="26">
        <f t="shared" si="11"/>
        <v>30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0.8125</v>
      </c>
      <c r="AC22" s="4">
        <f>AVERAGE(AC6:AC21)</f>
        <v>0.72135416666666674</v>
      </c>
      <c r="AD22" s="4">
        <f>AVERAGE(AD6:AD21)</f>
        <v>0.72135416666666674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426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428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287" t="s">
        <v>46</v>
      </c>
      <c r="D51" s="287" t="s">
        <v>47</v>
      </c>
      <c r="E51" s="287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287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112</v>
      </c>
      <c r="B52" s="527"/>
      <c r="C52" s="284" t="s">
        <v>239</v>
      </c>
      <c r="D52" s="284" t="s">
        <v>115</v>
      </c>
      <c r="E52" s="284" t="s">
        <v>116</v>
      </c>
      <c r="F52" s="528" t="s">
        <v>151</v>
      </c>
      <c r="G52" s="529"/>
      <c r="H52" s="529"/>
      <c r="I52" s="529"/>
      <c r="J52" s="529"/>
      <c r="K52" s="529"/>
      <c r="L52" s="529"/>
      <c r="M52" s="530"/>
      <c r="N52" s="283" t="s">
        <v>120</v>
      </c>
      <c r="O52" s="281" t="s">
        <v>180</v>
      </c>
      <c r="P52" s="540" t="s">
        <v>165</v>
      </c>
      <c r="Q52" s="541"/>
      <c r="R52" s="540" t="s">
        <v>429</v>
      </c>
      <c r="S52" s="542"/>
      <c r="T52" s="542"/>
      <c r="U52" s="541"/>
      <c r="V52" s="510" t="s">
        <v>118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121</v>
      </c>
      <c r="B53" s="527"/>
      <c r="C53" s="284" t="s">
        <v>179</v>
      </c>
      <c r="D53" s="284" t="s">
        <v>115</v>
      </c>
      <c r="E53" s="284" t="s">
        <v>263</v>
      </c>
      <c r="F53" s="528" t="s">
        <v>177</v>
      </c>
      <c r="G53" s="529"/>
      <c r="H53" s="529"/>
      <c r="I53" s="529"/>
      <c r="J53" s="529"/>
      <c r="K53" s="529"/>
      <c r="L53" s="529"/>
      <c r="M53" s="530"/>
      <c r="N53" s="283" t="s">
        <v>121</v>
      </c>
      <c r="O53" s="281" t="s">
        <v>174</v>
      </c>
      <c r="P53" s="540" t="s">
        <v>131</v>
      </c>
      <c r="Q53" s="541"/>
      <c r="R53" s="540" t="s">
        <v>368</v>
      </c>
      <c r="S53" s="542"/>
      <c r="T53" s="542"/>
      <c r="U53" s="541"/>
      <c r="V53" s="510" t="s">
        <v>118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120</v>
      </c>
      <c r="B54" s="527"/>
      <c r="C54" s="284" t="s">
        <v>147</v>
      </c>
      <c r="D54" s="284" t="s">
        <v>115</v>
      </c>
      <c r="E54" s="284" t="s">
        <v>242</v>
      </c>
      <c r="F54" s="528" t="s">
        <v>427</v>
      </c>
      <c r="G54" s="529"/>
      <c r="H54" s="529"/>
      <c r="I54" s="529"/>
      <c r="J54" s="529"/>
      <c r="K54" s="529"/>
      <c r="L54" s="529"/>
      <c r="M54" s="530"/>
      <c r="N54" s="283" t="s">
        <v>120</v>
      </c>
      <c r="O54" s="281" t="s">
        <v>147</v>
      </c>
      <c r="P54" s="540" t="s">
        <v>127</v>
      </c>
      <c r="Q54" s="541"/>
      <c r="R54" s="540" t="s">
        <v>430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284" t="s">
        <v>194</v>
      </c>
      <c r="D55" s="284" t="s">
        <v>257</v>
      </c>
      <c r="E55" s="284" t="s">
        <v>414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283" t="s">
        <v>113</v>
      </c>
      <c r="O55" s="281" t="s">
        <v>431</v>
      </c>
      <c r="P55" s="540"/>
      <c r="Q55" s="541"/>
      <c r="R55" s="540" t="s">
        <v>432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/>
      <c r="B56" s="527"/>
      <c r="C56" s="284"/>
      <c r="D56" s="284"/>
      <c r="E56" s="284"/>
      <c r="F56" s="528"/>
      <c r="G56" s="529"/>
      <c r="H56" s="529"/>
      <c r="I56" s="529"/>
      <c r="J56" s="529"/>
      <c r="K56" s="529"/>
      <c r="L56" s="529"/>
      <c r="M56" s="530"/>
      <c r="N56" s="283"/>
      <c r="O56" s="281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284"/>
      <c r="D57" s="284"/>
      <c r="E57" s="284"/>
      <c r="F57" s="528"/>
      <c r="G57" s="529"/>
      <c r="H57" s="529"/>
      <c r="I57" s="529"/>
      <c r="J57" s="529"/>
      <c r="K57" s="529"/>
      <c r="L57" s="529"/>
      <c r="M57" s="530"/>
      <c r="N57" s="283"/>
      <c r="O57" s="281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284"/>
      <c r="D58" s="284"/>
      <c r="E58" s="284"/>
      <c r="F58" s="528"/>
      <c r="G58" s="529"/>
      <c r="H58" s="529"/>
      <c r="I58" s="529"/>
      <c r="J58" s="529"/>
      <c r="K58" s="529"/>
      <c r="L58" s="529"/>
      <c r="M58" s="530"/>
      <c r="N58" s="283"/>
      <c r="O58" s="281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284"/>
      <c r="D59" s="284"/>
      <c r="E59" s="284"/>
      <c r="F59" s="528"/>
      <c r="G59" s="529"/>
      <c r="H59" s="529"/>
      <c r="I59" s="529"/>
      <c r="J59" s="529"/>
      <c r="K59" s="529"/>
      <c r="L59" s="529"/>
      <c r="M59" s="530"/>
      <c r="N59" s="283"/>
      <c r="O59" s="281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284"/>
      <c r="D60" s="284"/>
      <c r="E60" s="284"/>
      <c r="F60" s="528"/>
      <c r="G60" s="529"/>
      <c r="H60" s="529"/>
      <c r="I60" s="529"/>
      <c r="J60" s="529"/>
      <c r="K60" s="529"/>
      <c r="L60" s="529"/>
      <c r="M60" s="530"/>
      <c r="N60" s="283"/>
      <c r="O60" s="281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285"/>
      <c r="D61" s="286"/>
      <c r="E61" s="286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436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282" t="s">
        <v>2</v>
      </c>
      <c r="D63" s="282" t="s">
        <v>37</v>
      </c>
      <c r="E63" s="282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282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123</v>
      </c>
      <c r="D64" s="277"/>
      <c r="E64" s="280"/>
      <c r="F64" s="513" t="s">
        <v>406</v>
      </c>
      <c r="G64" s="514"/>
      <c r="H64" s="514"/>
      <c r="I64" s="514"/>
      <c r="J64" s="515"/>
      <c r="K64" s="497" t="s">
        <v>247</v>
      </c>
      <c r="L64" s="497"/>
      <c r="M64" s="51" t="s">
        <v>248</v>
      </c>
      <c r="N64" s="511" t="s">
        <v>180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120</v>
      </c>
      <c r="D65" s="277"/>
      <c r="E65" s="280" t="s">
        <v>165</v>
      </c>
      <c r="F65" s="513" t="s">
        <v>433</v>
      </c>
      <c r="G65" s="514"/>
      <c r="H65" s="514"/>
      <c r="I65" s="514"/>
      <c r="J65" s="515"/>
      <c r="K65" s="497">
        <v>8301</v>
      </c>
      <c r="L65" s="497"/>
      <c r="M65" s="51" t="s">
        <v>248</v>
      </c>
      <c r="N65" s="511" t="s">
        <v>180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277"/>
      <c r="E66" s="280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277"/>
      <c r="E67" s="280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277"/>
      <c r="E68" s="280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277"/>
      <c r="E69" s="280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277"/>
      <c r="E70" s="280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277"/>
      <c r="E71" s="280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277"/>
      <c r="E72" s="280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277"/>
      <c r="E73" s="280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434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279" t="s">
        <v>2</v>
      </c>
      <c r="D75" s="279" t="s">
        <v>37</v>
      </c>
      <c r="E75" s="279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278" t="s">
        <v>112</v>
      </c>
      <c r="D76" s="278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277"/>
      <c r="D77" s="277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2">A77+1</f>
        <v>3</v>
      </c>
      <c r="B78" s="465"/>
      <c r="C78" s="277"/>
      <c r="D78" s="277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2"/>
        <v>4</v>
      </c>
      <c r="B79" s="465"/>
      <c r="C79" s="277"/>
      <c r="D79" s="277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2"/>
        <v>5</v>
      </c>
      <c r="B80" s="465"/>
      <c r="C80" s="277"/>
      <c r="D80" s="277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2"/>
        <v>6</v>
      </c>
      <c r="B81" s="465"/>
      <c r="C81" s="277"/>
      <c r="D81" s="277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2"/>
        <v>7</v>
      </c>
      <c r="B82" s="465"/>
      <c r="C82" s="277"/>
      <c r="D82" s="277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435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D9B5-95E2-4787-86CA-FD88C9DBB323}">
  <dimension ref="A1:AF87"/>
  <sheetViews>
    <sheetView topLeftCell="A4" zoomScale="72" zoomScaleNormal="72" zoomScaleSheetLayoutView="70" workbookViewId="0">
      <selection activeCell="A13" sqref="A13:XFD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437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289" t="s">
        <v>17</v>
      </c>
      <c r="L5" s="289" t="s">
        <v>18</v>
      </c>
      <c r="M5" s="289" t="s">
        <v>19</v>
      </c>
      <c r="N5" s="28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6012</v>
      </c>
      <c r="K6" s="15">
        <f>L6+5567+6177+5956+2594+5676+6103+6040+4713+6089+5522+2602+5766</f>
        <v>68817</v>
      </c>
      <c r="L6" s="15">
        <f>2922+3090</f>
        <v>6012</v>
      </c>
      <c r="M6" s="15">
        <f t="shared" ref="M6:M21" si="0">L6-N6</f>
        <v>6012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19" si="7">$AD$22</f>
        <v>0.7890625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105000</v>
      </c>
      <c r="J7" s="5">
        <v>16374</v>
      </c>
      <c r="K7" s="15">
        <f>L7+11280+18680+16392+16425+6954+15807</f>
        <v>101912</v>
      </c>
      <c r="L7" s="15">
        <f>2654*3+2804*3</f>
        <v>16374</v>
      </c>
      <c r="M7" s="15">
        <f t="shared" si="0"/>
        <v>16374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0.7890625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5616</v>
      </c>
      <c r="K8" s="15">
        <f>L8+1658+3024+3826+5621+5758+5746+5871+5666+2439+5254+5051+3104+4798+5662+2420+5454</f>
        <v>76968</v>
      </c>
      <c r="L8" s="15">
        <f>2727+2889</f>
        <v>5616</v>
      </c>
      <c r="M8" s="15">
        <f t="shared" si="0"/>
        <v>5616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0.7890625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128</v>
      </c>
      <c r="E9" s="53" t="s">
        <v>402</v>
      </c>
      <c r="F9" s="30" t="s">
        <v>211</v>
      </c>
      <c r="G9" s="33">
        <v>4</v>
      </c>
      <c r="H9" s="35">
        <v>24</v>
      </c>
      <c r="I9" s="7">
        <v>105000</v>
      </c>
      <c r="J9" s="14">
        <v>19820</v>
      </c>
      <c r="K9" s="15">
        <f>L9+4608+18492</f>
        <v>42920</v>
      </c>
      <c r="L9" s="15">
        <f>2387*4+2568*4</f>
        <v>19820</v>
      </c>
      <c r="M9" s="15">
        <f t="shared" si="0"/>
        <v>19820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0.7890625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370</v>
      </c>
      <c r="E10" s="53" t="s">
        <v>415</v>
      </c>
      <c r="F10" s="30" t="s">
        <v>211</v>
      </c>
      <c r="G10" s="33">
        <v>1</v>
      </c>
      <c r="H10" s="35">
        <v>24</v>
      </c>
      <c r="I10" s="7">
        <v>30000</v>
      </c>
      <c r="J10" s="5">
        <v>6175</v>
      </c>
      <c r="K10" s="15">
        <f>L10+5309</f>
        <v>11484</v>
      </c>
      <c r="L10" s="15">
        <f>3033+3142</f>
        <v>6175</v>
      </c>
      <c r="M10" s="15">
        <f t="shared" si="0"/>
        <v>6175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0.7890625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5791</v>
      </c>
      <c r="K11" s="15">
        <f>L11+4668+4429+5671+2067+5444+3967+5843+5907+3309+3086+364+5637</f>
        <v>56183</v>
      </c>
      <c r="L11" s="15">
        <f>2795+2996</f>
        <v>5791</v>
      </c>
      <c r="M11" s="15">
        <f t="shared" si="0"/>
        <v>5791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0.7890625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68500</v>
      </c>
      <c r="J12" s="14">
        <v>4568</v>
      </c>
      <c r="K12" s="15">
        <f>L12+2120+2858+4163+3861+4361+2294+4491+3957+1094+4596+4805+4701+4434+2171+2304+3767</f>
        <v>60545</v>
      </c>
      <c r="L12" s="15">
        <f>2297+2271</f>
        <v>4568</v>
      </c>
      <c r="M12" s="15">
        <f t="shared" si="0"/>
        <v>4568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9">AC12*AB12*(1-O12)</f>
        <v>1</v>
      </c>
      <c r="AE12" s="36">
        <f t="shared" si="7"/>
        <v>0.7890625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263</v>
      </c>
      <c r="F13" s="30" t="s">
        <v>125</v>
      </c>
      <c r="G13" s="33">
        <v>4</v>
      </c>
      <c r="H13" s="35">
        <v>24</v>
      </c>
      <c r="I13" s="7">
        <v>520000</v>
      </c>
      <c r="J13" s="14">
        <v>20744</v>
      </c>
      <c r="K13" s="15">
        <f>L13+11600+9308+18652</f>
        <v>60304</v>
      </c>
      <c r="L13" s="15">
        <f>2607*4+2579*4</f>
        <v>20744</v>
      </c>
      <c r="M13" s="15">
        <f t="shared" si="0"/>
        <v>20744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0.7890625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L14+350</f>
        <v>350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0.7890625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429</v>
      </c>
      <c r="F15" s="12" t="s">
        <v>438</v>
      </c>
      <c r="G15" s="12">
        <v>1</v>
      </c>
      <c r="H15" s="13">
        <v>24</v>
      </c>
      <c r="I15" s="31">
        <v>1700</v>
      </c>
      <c r="J15" s="14">
        <v>2013</v>
      </c>
      <c r="K15" s="15">
        <f>L15</f>
        <v>2013</v>
      </c>
      <c r="L15" s="15">
        <f>1626+387</f>
        <v>2013</v>
      </c>
      <c r="M15" s="15">
        <f t="shared" si="0"/>
        <v>2013</v>
      </c>
      <c r="N15" s="15">
        <v>0</v>
      </c>
      <c r="O15" s="58">
        <f t="shared" si="1"/>
        <v>0</v>
      </c>
      <c r="P15" s="39">
        <f t="shared" si="2"/>
        <v>10</v>
      </c>
      <c r="Q15" s="40">
        <f t="shared" si="3"/>
        <v>14</v>
      </c>
      <c r="R15" s="7"/>
      <c r="S15" s="6">
        <v>14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0.41666666666666669</v>
      </c>
      <c r="AD15" s="10">
        <f t="shared" si="6"/>
        <v>0.41666666666666669</v>
      </c>
      <c r="AE15" s="36">
        <f t="shared" si="7"/>
        <v>0.7890625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131</v>
      </c>
      <c r="E16" s="53" t="s">
        <v>368</v>
      </c>
      <c r="F16" s="30" t="s">
        <v>210</v>
      </c>
      <c r="G16" s="12">
        <v>4</v>
      </c>
      <c r="H16" s="13">
        <v>28</v>
      </c>
      <c r="I16" s="7">
        <f>105000-16000</f>
        <v>89000</v>
      </c>
      <c r="J16" s="14">
        <v>13804</v>
      </c>
      <c r="K16" s="15">
        <f>L16</f>
        <v>13804</v>
      </c>
      <c r="L16" s="15">
        <f>1527*4+1924*4</f>
        <v>13804</v>
      </c>
      <c r="M16" s="15">
        <f t="shared" si="0"/>
        <v>13804</v>
      </c>
      <c r="N16" s="15">
        <v>0</v>
      </c>
      <c r="O16" s="58">
        <f t="shared" si="1"/>
        <v>0</v>
      </c>
      <c r="P16" s="39">
        <f t="shared" si="2"/>
        <v>21</v>
      </c>
      <c r="Q16" s="40">
        <f t="shared" si="3"/>
        <v>3</v>
      </c>
      <c r="R16" s="7"/>
      <c r="S16" s="6"/>
      <c r="T16" s="16">
        <v>3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0.875</v>
      </c>
      <c r="AD16" s="10">
        <f t="shared" si="6"/>
        <v>0.875</v>
      </c>
      <c r="AE16" s="36">
        <f t="shared" si="7"/>
        <v>0.7890625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250000</v>
      </c>
      <c r="J17" s="5">
        <v>21776</v>
      </c>
      <c r="K17" s="15">
        <f>L17+13840+22204+21992+20260+22164+21932+9424+21016</f>
        <v>174608</v>
      </c>
      <c r="L17" s="15">
        <f>2679*4+2765*4</f>
        <v>21776</v>
      </c>
      <c r="M17" s="15">
        <f t="shared" si="0"/>
        <v>21776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0.7890625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127</v>
      </c>
      <c r="E18" s="53" t="s">
        <v>430</v>
      </c>
      <c r="F18" s="30" t="s">
        <v>210</v>
      </c>
      <c r="G18" s="12">
        <v>2</v>
      </c>
      <c r="H18" s="13">
        <v>28</v>
      </c>
      <c r="I18" s="31">
        <v>20000</v>
      </c>
      <c r="J18" s="5">
        <v>10504</v>
      </c>
      <c r="K18" s="15">
        <f>L18</f>
        <v>10504</v>
      </c>
      <c r="L18" s="15">
        <f>3532*2+1720*2</f>
        <v>10504</v>
      </c>
      <c r="M18" s="15">
        <f t="shared" si="0"/>
        <v>10504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4</v>
      </c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0.7890625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257</v>
      </c>
      <c r="E19" s="53" t="s">
        <v>414</v>
      </c>
      <c r="F19" s="30" t="s">
        <v>124</v>
      </c>
      <c r="G19" s="33">
        <v>1</v>
      </c>
      <c r="H19" s="35">
        <v>24</v>
      </c>
      <c r="I19" s="7">
        <v>15000</v>
      </c>
      <c r="J19" s="5">
        <v>4897</v>
      </c>
      <c r="K19" s="15">
        <f>L19+3126</f>
        <v>8023</v>
      </c>
      <c r="L19" s="15">
        <f>2411+2486</f>
        <v>4897</v>
      </c>
      <c r="M19" s="15">
        <f t="shared" si="0"/>
        <v>4897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0.7890625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224</v>
      </c>
      <c r="F20" s="30" t="s">
        <v>119</v>
      </c>
      <c r="G20" s="33">
        <v>1</v>
      </c>
      <c r="H20" s="35">
        <v>24</v>
      </c>
      <c r="I20" s="7">
        <v>64000</v>
      </c>
      <c r="J20" s="14">
        <v>654</v>
      </c>
      <c r="K20" s="15">
        <f>L20+4204+5394+5278+1522+3899+5224+5152+5164+2208+4924</f>
        <v>43623</v>
      </c>
      <c r="L20" s="15">
        <v>654</v>
      </c>
      <c r="M20" s="15">
        <f t="shared" si="0"/>
        <v>654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20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>$AD$22</f>
        <v>0.7890625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432</v>
      </c>
      <c r="F21" s="12" t="s">
        <v>114</v>
      </c>
      <c r="G21" s="12">
        <v>4</v>
      </c>
      <c r="H21" s="35">
        <v>20</v>
      </c>
      <c r="I21" s="7">
        <v>500000</v>
      </c>
      <c r="J21" s="14">
        <v>16808</v>
      </c>
      <c r="K21" s="15">
        <f>L21</f>
        <v>16808</v>
      </c>
      <c r="L21" s="15">
        <f>4202*4</f>
        <v>16808</v>
      </c>
      <c r="M21" s="15">
        <f t="shared" si="0"/>
        <v>16808</v>
      </c>
      <c r="N21" s="15">
        <v>0</v>
      </c>
      <c r="O21" s="58">
        <f t="shared" si="1"/>
        <v>0</v>
      </c>
      <c r="P21" s="39">
        <f t="shared" si="2"/>
        <v>8</v>
      </c>
      <c r="Q21" s="40">
        <f t="shared" si="3"/>
        <v>16</v>
      </c>
      <c r="R21" s="7"/>
      <c r="S21" s="6"/>
      <c r="T21" s="16">
        <v>4</v>
      </c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0.33333333333333331</v>
      </c>
      <c r="AD21" s="10">
        <f t="shared" si="6"/>
        <v>0.33333333333333331</v>
      </c>
      <c r="AE21" s="36">
        <f>$AD$22</f>
        <v>0.7890625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0">SUM(I6:I21)</f>
        <v>1996500</v>
      </c>
      <c r="J22" s="19">
        <f t="shared" si="10"/>
        <v>155906</v>
      </c>
      <c r="K22" s="20">
        <f t="shared" si="10"/>
        <v>748866</v>
      </c>
      <c r="L22" s="21">
        <f t="shared" si="10"/>
        <v>155556</v>
      </c>
      <c r="M22" s="20">
        <f t="shared" si="10"/>
        <v>155556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303</v>
      </c>
      <c r="Q22" s="43">
        <f t="shared" si="11"/>
        <v>81</v>
      </c>
      <c r="R22" s="23">
        <f t="shared" si="11"/>
        <v>0</v>
      </c>
      <c r="S22" s="24">
        <f t="shared" si="11"/>
        <v>34</v>
      </c>
      <c r="T22" s="24">
        <f t="shared" si="11"/>
        <v>7</v>
      </c>
      <c r="U22" s="24">
        <f t="shared" si="11"/>
        <v>0</v>
      </c>
      <c r="V22" s="25">
        <f t="shared" si="11"/>
        <v>12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</v>
      </c>
      <c r="AB22" s="28">
        <f>AVERAGE(AB6:AB21)</f>
        <v>0.9375</v>
      </c>
      <c r="AC22" s="4">
        <f>AVERAGE(AC6:AC21)</f>
        <v>0.7890625</v>
      </c>
      <c r="AD22" s="4">
        <f>AVERAGE(AD6:AD21)</f>
        <v>0.7890625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439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440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290" t="s">
        <v>46</v>
      </c>
      <c r="D51" s="290" t="s">
        <v>47</v>
      </c>
      <c r="E51" s="290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290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121</v>
      </c>
      <c r="B52" s="527"/>
      <c r="C52" s="292" t="s">
        <v>174</v>
      </c>
      <c r="D52" s="292" t="s">
        <v>131</v>
      </c>
      <c r="E52" s="292" t="s">
        <v>368</v>
      </c>
      <c r="F52" s="528" t="s">
        <v>151</v>
      </c>
      <c r="G52" s="529"/>
      <c r="H52" s="529"/>
      <c r="I52" s="529"/>
      <c r="J52" s="529"/>
      <c r="K52" s="529"/>
      <c r="L52" s="529"/>
      <c r="M52" s="530"/>
      <c r="N52" s="291" t="s">
        <v>121</v>
      </c>
      <c r="O52" s="297" t="s">
        <v>179</v>
      </c>
      <c r="P52" s="540" t="s">
        <v>115</v>
      </c>
      <c r="Q52" s="541"/>
      <c r="R52" s="540" t="s">
        <v>351</v>
      </c>
      <c r="S52" s="542"/>
      <c r="T52" s="542"/>
      <c r="U52" s="541"/>
      <c r="V52" s="510" t="s">
        <v>118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112</v>
      </c>
      <c r="B53" s="527"/>
      <c r="C53" s="292" t="s">
        <v>223</v>
      </c>
      <c r="D53" s="292" t="s">
        <v>115</v>
      </c>
      <c r="E53" s="292" t="s">
        <v>224</v>
      </c>
      <c r="F53" s="528" t="s">
        <v>235</v>
      </c>
      <c r="G53" s="529"/>
      <c r="H53" s="529"/>
      <c r="I53" s="529"/>
      <c r="J53" s="529"/>
      <c r="K53" s="529"/>
      <c r="L53" s="529"/>
      <c r="M53" s="530"/>
      <c r="N53" s="291" t="s">
        <v>120</v>
      </c>
      <c r="O53" s="297" t="s">
        <v>180</v>
      </c>
      <c r="P53" s="540" t="s">
        <v>165</v>
      </c>
      <c r="Q53" s="541"/>
      <c r="R53" s="540" t="s">
        <v>429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120</v>
      </c>
      <c r="B54" s="527"/>
      <c r="C54" s="292" t="s">
        <v>147</v>
      </c>
      <c r="D54" s="292" t="s">
        <v>127</v>
      </c>
      <c r="E54" s="292" t="s">
        <v>430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291"/>
      <c r="O54" s="297"/>
      <c r="P54" s="540"/>
      <c r="Q54" s="541"/>
      <c r="R54" s="540"/>
      <c r="S54" s="542"/>
      <c r="T54" s="542"/>
      <c r="U54" s="541"/>
      <c r="V54" s="510"/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292" t="s">
        <v>180</v>
      </c>
      <c r="D55" s="292" t="s">
        <v>165</v>
      </c>
      <c r="E55" s="292" t="s">
        <v>429</v>
      </c>
      <c r="F55" s="528" t="s">
        <v>441</v>
      </c>
      <c r="G55" s="529"/>
      <c r="H55" s="529"/>
      <c r="I55" s="529"/>
      <c r="J55" s="529"/>
      <c r="K55" s="529"/>
      <c r="L55" s="529"/>
      <c r="M55" s="530"/>
      <c r="N55" s="291"/>
      <c r="O55" s="297"/>
      <c r="P55" s="540"/>
      <c r="Q55" s="541"/>
      <c r="R55" s="540"/>
      <c r="S55" s="542"/>
      <c r="T55" s="542"/>
      <c r="U55" s="541"/>
      <c r="V55" s="510"/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/>
      <c r="B56" s="527"/>
      <c r="C56" s="292"/>
      <c r="D56" s="292"/>
      <c r="E56" s="292"/>
      <c r="F56" s="528"/>
      <c r="G56" s="529"/>
      <c r="H56" s="529"/>
      <c r="I56" s="529"/>
      <c r="J56" s="529"/>
      <c r="K56" s="529"/>
      <c r="L56" s="529"/>
      <c r="M56" s="530"/>
      <c r="N56" s="291"/>
      <c r="O56" s="297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292"/>
      <c r="D57" s="292"/>
      <c r="E57" s="292"/>
      <c r="F57" s="528"/>
      <c r="G57" s="529"/>
      <c r="H57" s="529"/>
      <c r="I57" s="529"/>
      <c r="J57" s="529"/>
      <c r="K57" s="529"/>
      <c r="L57" s="529"/>
      <c r="M57" s="530"/>
      <c r="N57" s="291"/>
      <c r="O57" s="297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292"/>
      <c r="D58" s="292"/>
      <c r="E58" s="292"/>
      <c r="F58" s="528"/>
      <c r="G58" s="529"/>
      <c r="H58" s="529"/>
      <c r="I58" s="529"/>
      <c r="J58" s="529"/>
      <c r="K58" s="529"/>
      <c r="L58" s="529"/>
      <c r="M58" s="530"/>
      <c r="N58" s="291"/>
      <c r="O58" s="297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292"/>
      <c r="D59" s="292"/>
      <c r="E59" s="292"/>
      <c r="F59" s="528"/>
      <c r="G59" s="529"/>
      <c r="H59" s="529"/>
      <c r="I59" s="529"/>
      <c r="J59" s="529"/>
      <c r="K59" s="529"/>
      <c r="L59" s="529"/>
      <c r="M59" s="530"/>
      <c r="N59" s="291"/>
      <c r="O59" s="297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292"/>
      <c r="D60" s="292"/>
      <c r="E60" s="292"/>
      <c r="F60" s="528"/>
      <c r="G60" s="529"/>
      <c r="H60" s="529"/>
      <c r="I60" s="529"/>
      <c r="J60" s="529"/>
      <c r="K60" s="529"/>
      <c r="L60" s="529"/>
      <c r="M60" s="530"/>
      <c r="N60" s="291"/>
      <c r="O60" s="297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293"/>
      <c r="D61" s="294"/>
      <c r="E61" s="294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442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295" t="s">
        <v>2</v>
      </c>
      <c r="D63" s="295" t="s">
        <v>37</v>
      </c>
      <c r="E63" s="295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295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123</v>
      </c>
      <c r="D64" s="299"/>
      <c r="E64" s="296"/>
      <c r="F64" s="513" t="s">
        <v>443</v>
      </c>
      <c r="G64" s="514"/>
      <c r="H64" s="514"/>
      <c r="I64" s="514"/>
      <c r="J64" s="515"/>
      <c r="K64" s="497" t="s">
        <v>249</v>
      </c>
      <c r="L64" s="497"/>
      <c r="M64" s="51" t="s">
        <v>248</v>
      </c>
      <c r="N64" s="511" t="s">
        <v>147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121</v>
      </c>
      <c r="D65" s="299"/>
      <c r="E65" s="296" t="s">
        <v>128</v>
      </c>
      <c r="F65" s="513" t="s">
        <v>226</v>
      </c>
      <c r="G65" s="514"/>
      <c r="H65" s="514"/>
      <c r="I65" s="514"/>
      <c r="J65" s="515"/>
      <c r="K65" s="497" t="s">
        <v>124</v>
      </c>
      <c r="L65" s="497"/>
      <c r="M65" s="51" t="s">
        <v>200</v>
      </c>
      <c r="N65" s="511" t="s">
        <v>147</v>
      </c>
      <c r="O65" s="511"/>
      <c r="P65" s="512">
        <v>100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299"/>
      <c r="E66" s="296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299"/>
      <c r="E67" s="296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299"/>
      <c r="E68" s="296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299"/>
      <c r="E69" s="296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299"/>
      <c r="E70" s="296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299"/>
      <c r="E71" s="296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299"/>
      <c r="E72" s="296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299"/>
      <c r="E73" s="296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444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298" t="s">
        <v>2</v>
      </c>
      <c r="D75" s="298" t="s">
        <v>37</v>
      </c>
      <c r="E75" s="298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300" t="s">
        <v>112</v>
      </c>
      <c r="D76" s="300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299"/>
      <c r="D77" s="299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2">A77+1</f>
        <v>3</v>
      </c>
      <c r="B78" s="465"/>
      <c r="C78" s="299"/>
      <c r="D78" s="299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2"/>
        <v>4</v>
      </c>
      <c r="B79" s="465"/>
      <c r="C79" s="299"/>
      <c r="D79" s="299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2"/>
        <v>5</v>
      </c>
      <c r="B80" s="465"/>
      <c r="C80" s="299"/>
      <c r="D80" s="299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2"/>
        <v>6</v>
      </c>
      <c r="B81" s="465"/>
      <c r="C81" s="299"/>
      <c r="D81" s="299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2"/>
        <v>7</v>
      </c>
      <c r="B82" s="465"/>
      <c r="C82" s="299"/>
      <c r="D82" s="299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445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6D85-7053-4F10-9495-414156EB9AA7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446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12" t="s">
        <v>17</v>
      </c>
      <c r="L5" s="312" t="s">
        <v>18</v>
      </c>
      <c r="M5" s="312" t="s">
        <v>19</v>
      </c>
      <c r="N5" s="31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6125</v>
      </c>
      <c r="K6" s="15">
        <f>L6+5567+6177+5956+2594+5676+6103+6040+4713+6089+5522+2602+5766+6012</f>
        <v>74942</v>
      </c>
      <c r="L6" s="15">
        <f>2907+3218</f>
        <v>6125</v>
      </c>
      <c r="M6" s="15">
        <f t="shared" ref="M6:M21" si="0">L6-N6</f>
        <v>6125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19" si="7">$AD$22</f>
        <v>0.76302083333333337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105000</v>
      </c>
      <c r="J7" s="5">
        <v>17700</v>
      </c>
      <c r="K7" s="15">
        <f>L7+11280+18680+16392+16425+6954+15807+16374</f>
        <v>119612</v>
      </c>
      <c r="L7" s="15">
        <f>2645*3+3255*3</f>
        <v>17700</v>
      </c>
      <c r="M7" s="15">
        <f t="shared" si="0"/>
        <v>17700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0.76302083333333337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4719</v>
      </c>
      <c r="K8" s="15">
        <f>L8+1658+3024+3826+5621+5758+5746+5871+5666+2439+5254+5051+3104+4798+5662+2420+5454+5616</f>
        <v>81687</v>
      </c>
      <c r="L8" s="15">
        <f>2715+2004</f>
        <v>4719</v>
      </c>
      <c r="M8" s="15">
        <f t="shared" si="0"/>
        <v>4719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0.76302083333333337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128</v>
      </c>
      <c r="E9" s="53" t="s">
        <v>402</v>
      </c>
      <c r="F9" s="30" t="s">
        <v>211</v>
      </c>
      <c r="G9" s="33">
        <v>4</v>
      </c>
      <c r="H9" s="35">
        <v>24</v>
      </c>
      <c r="I9" s="7">
        <v>105000</v>
      </c>
      <c r="J9" s="14">
        <v>20264</v>
      </c>
      <c r="K9" s="15">
        <f>L9+4608+18492+19820</f>
        <v>63184</v>
      </c>
      <c r="L9" s="15">
        <f>2403*4+2663*4</f>
        <v>20264</v>
      </c>
      <c r="M9" s="15">
        <f t="shared" si="0"/>
        <v>20264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0.76302083333333337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370</v>
      </c>
      <c r="E10" s="53" t="s">
        <v>415</v>
      </c>
      <c r="F10" s="30" t="s">
        <v>211</v>
      </c>
      <c r="G10" s="33">
        <v>1</v>
      </c>
      <c r="H10" s="35">
        <v>24</v>
      </c>
      <c r="I10" s="7">
        <f>36000-12000</f>
        <v>24000</v>
      </c>
      <c r="J10" s="5">
        <v>6309</v>
      </c>
      <c r="K10" s="15">
        <f>L10+5309+6175</f>
        <v>17793</v>
      </c>
      <c r="L10" s="15">
        <f>3023+3286</f>
        <v>6309</v>
      </c>
      <c r="M10" s="15">
        <f t="shared" si="0"/>
        <v>6309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0.76302083333333337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5944</v>
      </c>
      <c r="K11" s="15">
        <f>L11+4668+4429+5671+2067+5444+3967+5843+5907+3309+3086+364+5637+5791</f>
        <v>62127</v>
      </c>
      <c r="L11" s="15">
        <f>2829+3115</f>
        <v>5944</v>
      </c>
      <c r="M11" s="15">
        <f t="shared" si="0"/>
        <v>5944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0.76302083333333337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68500</v>
      </c>
      <c r="J12" s="14">
        <v>4707</v>
      </c>
      <c r="K12" s="15">
        <f>L12+2120+2858+4163+3861+4361+2294+4491+3957+1094+4596+4805+4701+4434+2171+2304+3767+4568</f>
        <v>65252</v>
      </c>
      <c r="L12" s="15">
        <f>2294+2413</f>
        <v>4707</v>
      </c>
      <c r="M12" s="15">
        <f t="shared" si="0"/>
        <v>4707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9">AC12*AB12*(1-O12)</f>
        <v>1</v>
      </c>
      <c r="AE12" s="36">
        <f t="shared" si="7"/>
        <v>0.76302083333333337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90000</v>
      </c>
      <c r="J13" s="14">
        <v>14763</v>
      </c>
      <c r="K13" s="15">
        <f>L13+11384+20364+9004</f>
        <v>55515</v>
      </c>
      <c r="L13" s="15">
        <f>2874*3+2047*3</f>
        <v>14763</v>
      </c>
      <c r="M13" s="15">
        <f t="shared" si="0"/>
        <v>14763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ref="AE13" si="10">$AD$24</f>
        <v>0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L14+350</f>
        <v>350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0.76302083333333337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429</v>
      </c>
      <c r="F15" s="12" t="s">
        <v>438</v>
      </c>
      <c r="G15" s="12">
        <v>1</v>
      </c>
      <c r="H15" s="13">
        <v>24</v>
      </c>
      <c r="I15" s="31">
        <v>1700</v>
      </c>
      <c r="J15" s="14">
        <v>3878</v>
      </c>
      <c r="K15" s="15">
        <f>L15+2013</f>
        <v>5891</v>
      </c>
      <c r="L15" s="15">
        <f>2521+1357</f>
        <v>3878</v>
      </c>
      <c r="M15" s="15">
        <f t="shared" si="0"/>
        <v>3878</v>
      </c>
      <c r="N15" s="15">
        <v>0</v>
      </c>
      <c r="O15" s="58">
        <f t="shared" si="1"/>
        <v>0</v>
      </c>
      <c r="P15" s="39">
        <f t="shared" si="2"/>
        <v>18</v>
      </c>
      <c r="Q15" s="40">
        <f t="shared" si="3"/>
        <v>6</v>
      </c>
      <c r="R15" s="7"/>
      <c r="S15" s="6">
        <v>6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0.75</v>
      </c>
      <c r="AD15" s="10">
        <f t="shared" si="6"/>
        <v>0.75</v>
      </c>
      <c r="AE15" s="36">
        <f t="shared" si="7"/>
        <v>0.76302083333333337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131</v>
      </c>
      <c r="E16" s="53" t="s">
        <v>368</v>
      </c>
      <c r="F16" s="30" t="s">
        <v>210</v>
      </c>
      <c r="G16" s="12">
        <v>4</v>
      </c>
      <c r="H16" s="13">
        <v>28</v>
      </c>
      <c r="I16" s="7">
        <f>105000-16000</f>
        <v>89000</v>
      </c>
      <c r="J16" s="14">
        <v>13644</v>
      </c>
      <c r="K16" s="15">
        <f>L16+13804</f>
        <v>27448</v>
      </c>
      <c r="L16" s="15">
        <f>1591*4+1820*4</f>
        <v>13644</v>
      </c>
      <c r="M16" s="15">
        <f t="shared" si="0"/>
        <v>13644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0.76302083333333337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530000</v>
      </c>
      <c r="J17" s="5">
        <v>22184</v>
      </c>
      <c r="K17" s="15">
        <f>L17+13840+22204+21992+20260+22164+21932+9424+21016+21776</f>
        <v>196792</v>
      </c>
      <c r="L17" s="15">
        <f>2635*4+2911*4</f>
        <v>22184</v>
      </c>
      <c r="M17" s="15">
        <f t="shared" si="0"/>
        <v>22184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0.76302083333333337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127</v>
      </c>
      <c r="E18" s="53" t="s">
        <v>430</v>
      </c>
      <c r="F18" s="30" t="s">
        <v>210</v>
      </c>
      <c r="G18" s="12">
        <v>2</v>
      </c>
      <c r="H18" s="13">
        <v>28</v>
      </c>
      <c r="I18" s="31">
        <v>20000</v>
      </c>
      <c r="J18" s="5">
        <v>2198</v>
      </c>
      <c r="K18" s="15">
        <f>L18+10504</f>
        <v>12702</v>
      </c>
      <c r="L18" s="15">
        <f>1099*2</f>
        <v>2198</v>
      </c>
      <c r="M18" s="15">
        <f t="shared" si="0"/>
        <v>2198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 t="shared" si="7"/>
        <v>0.76302083333333337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257</v>
      </c>
      <c r="E19" s="53" t="s">
        <v>414</v>
      </c>
      <c r="F19" s="30" t="s">
        <v>124</v>
      </c>
      <c r="G19" s="33">
        <v>1</v>
      </c>
      <c r="H19" s="35">
        <v>24</v>
      </c>
      <c r="I19" s="7">
        <v>15000</v>
      </c>
      <c r="J19" s="5">
        <v>3934</v>
      </c>
      <c r="K19" s="15">
        <f>L19+3126+4897</f>
        <v>11957</v>
      </c>
      <c r="L19" s="15">
        <f>1583+2351</f>
        <v>3934</v>
      </c>
      <c r="M19" s="15">
        <f t="shared" si="0"/>
        <v>3934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>AC19*AB19*(1-O19)</f>
        <v>0.83333333333333337</v>
      </c>
      <c r="AE19" s="36">
        <f t="shared" si="7"/>
        <v>0.76302083333333337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224</v>
      </c>
      <c r="F20" s="30" t="s">
        <v>119</v>
      </c>
      <c r="G20" s="33">
        <v>1</v>
      </c>
      <c r="H20" s="35">
        <v>24</v>
      </c>
      <c r="I20" s="7">
        <v>64000</v>
      </c>
      <c r="J20" s="14">
        <v>654</v>
      </c>
      <c r="K20" s="15">
        <f>L20+4204+5394+5278+1522+3899+5224+5152+5164+2208+4924+654</f>
        <v>43623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>$AD$22</f>
        <v>0.76302083333333337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432</v>
      </c>
      <c r="F21" s="12" t="s">
        <v>114</v>
      </c>
      <c r="G21" s="12">
        <v>4</v>
      </c>
      <c r="H21" s="35">
        <v>20</v>
      </c>
      <c r="I21" s="7">
        <v>500000</v>
      </c>
      <c r="J21" s="14">
        <v>39112</v>
      </c>
      <c r="K21" s="15">
        <f>L21+16808</f>
        <v>55920</v>
      </c>
      <c r="L21" s="15">
        <f>9778*4</f>
        <v>39112</v>
      </c>
      <c r="M21" s="15">
        <f t="shared" si="0"/>
        <v>39112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>$AD$22</f>
        <v>0.76302083333333337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1">SUM(I6:I21)</f>
        <v>1840500</v>
      </c>
      <c r="J22" s="19">
        <f t="shared" si="11"/>
        <v>166485</v>
      </c>
      <c r="K22" s="20">
        <f t="shared" si="11"/>
        <v>894795</v>
      </c>
      <c r="L22" s="21">
        <f t="shared" si="11"/>
        <v>165481</v>
      </c>
      <c r="M22" s="20">
        <f t="shared" si="11"/>
        <v>165481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293</v>
      </c>
      <c r="Q22" s="43">
        <f t="shared" si="12"/>
        <v>91</v>
      </c>
      <c r="R22" s="23">
        <f t="shared" si="12"/>
        <v>0</v>
      </c>
      <c r="S22" s="24">
        <f t="shared" si="12"/>
        <v>55</v>
      </c>
      <c r="T22" s="24">
        <f t="shared" si="12"/>
        <v>0</v>
      </c>
      <c r="U22" s="24">
        <f t="shared" si="12"/>
        <v>0</v>
      </c>
      <c r="V22" s="25">
        <f t="shared" si="12"/>
        <v>12</v>
      </c>
      <c r="W22" s="26">
        <f t="shared" si="12"/>
        <v>24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0</v>
      </c>
      <c r="AB22" s="28">
        <f>AVERAGE(AB6:AB21)</f>
        <v>0.875</v>
      </c>
      <c r="AC22" s="4">
        <f>AVERAGE(AC6:AC21)</f>
        <v>0.76302083333333337</v>
      </c>
      <c r="AD22" s="4">
        <f>AVERAGE(AD6:AD21)</f>
        <v>0.76302083333333337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447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451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311" t="s">
        <v>46</v>
      </c>
      <c r="D51" s="311" t="s">
        <v>47</v>
      </c>
      <c r="E51" s="311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311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120</v>
      </c>
      <c r="B52" s="527"/>
      <c r="C52" s="308" t="s">
        <v>130</v>
      </c>
      <c r="D52" s="308" t="s">
        <v>128</v>
      </c>
      <c r="E52" s="308" t="s">
        <v>156</v>
      </c>
      <c r="F52" s="528" t="s">
        <v>235</v>
      </c>
      <c r="G52" s="529"/>
      <c r="H52" s="529"/>
      <c r="I52" s="529"/>
      <c r="J52" s="529"/>
      <c r="K52" s="529"/>
      <c r="L52" s="529"/>
      <c r="M52" s="530"/>
      <c r="N52" s="307" t="s">
        <v>120</v>
      </c>
      <c r="O52" s="305" t="s">
        <v>130</v>
      </c>
      <c r="P52" s="540" t="s">
        <v>128</v>
      </c>
      <c r="Q52" s="541"/>
      <c r="R52" s="540" t="s">
        <v>156</v>
      </c>
      <c r="S52" s="542"/>
      <c r="T52" s="542"/>
      <c r="U52" s="541"/>
      <c r="V52" s="510" t="s">
        <v>151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112</v>
      </c>
      <c r="B53" s="527"/>
      <c r="C53" s="308" t="s">
        <v>239</v>
      </c>
      <c r="D53" s="308" t="s">
        <v>115</v>
      </c>
      <c r="E53" s="308" t="s">
        <v>448</v>
      </c>
      <c r="F53" s="528" t="s">
        <v>400</v>
      </c>
      <c r="G53" s="529"/>
      <c r="H53" s="529"/>
      <c r="I53" s="529"/>
      <c r="J53" s="529"/>
      <c r="K53" s="529"/>
      <c r="L53" s="529"/>
      <c r="M53" s="530"/>
      <c r="N53" s="307" t="s">
        <v>120</v>
      </c>
      <c r="O53" s="305" t="s">
        <v>180</v>
      </c>
      <c r="P53" s="540" t="s">
        <v>165</v>
      </c>
      <c r="Q53" s="541"/>
      <c r="R53" s="540" t="s">
        <v>429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120</v>
      </c>
      <c r="B54" s="527"/>
      <c r="C54" s="308" t="s">
        <v>147</v>
      </c>
      <c r="D54" s="308" t="s">
        <v>127</v>
      </c>
      <c r="E54" s="308" t="s">
        <v>430</v>
      </c>
      <c r="F54" s="528" t="s">
        <v>400</v>
      </c>
      <c r="G54" s="529"/>
      <c r="H54" s="529"/>
      <c r="I54" s="529"/>
      <c r="J54" s="529"/>
      <c r="K54" s="529"/>
      <c r="L54" s="529"/>
      <c r="M54" s="530"/>
      <c r="N54" s="307" t="s">
        <v>112</v>
      </c>
      <c r="O54" s="305" t="s">
        <v>261</v>
      </c>
      <c r="P54" s="540" t="s">
        <v>257</v>
      </c>
      <c r="Q54" s="541"/>
      <c r="R54" s="540" t="s">
        <v>258</v>
      </c>
      <c r="S54" s="542"/>
      <c r="T54" s="542"/>
      <c r="U54" s="541"/>
      <c r="V54" s="510" t="s">
        <v>177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308" t="s">
        <v>180</v>
      </c>
      <c r="D55" s="308" t="s">
        <v>165</v>
      </c>
      <c r="E55" s="308" t="s">
        <v>429</v>
      </c>
      <c r="F55" s="528" t="s">
        <v>449</v>
      </c>
      <c r="G55" s="529"/>
      <c r="H55" s="529"/>
      <c r="I55" s="529"/>
      <c r="J55" s="529"/>
      <c r="K55" s="529"/>
      <c r="L55" s="529"/>
      <c r="M55" s="530"/>
      <c r="N55" s="307" t="s">
        <v>112</v>
      </c>
      <c r="O55" s="305" t="s">
        <v>239</v>
      </c>
      <c r="P55" s="540" t="s">
        <v>115</v>
      </c>
      <c r="Q55" s="541"/>
      <c r="R55" s="540" t="s">
        <v>116</v>
      </c>
      <c r="S55" s="542"/>
      <c r="T55" s="542"/>
      <c r="U55" s="541"/>
      <c r="V55" s="510" t="s">
        <v>151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308" t="s">
        <v>194</v>
      </c>
      <c r="D56" s="308" t="s">
        <v>257</v>
      </c>
      <c r="E56" s="308" t="s">
        <v>414</v>
      </c>
      <c r="F56" s="528" t="s">
        <v>450</v>
      </c>
      <c r="G56" s="529"/>
      <c r="H56" s="529"/>
      <c r="I56" s="529"/>
      <c r="J56" s="529"/>
      <c r="K56" s="529"/>
      <c r="L56" s="529"/>
      <c r="M56" s="530"/>
      <c r="N56" s="307" t="s">
        <v>120</v>
      </c>
      <c r="O56" s="305" t="s">
        <v>147</v>
      </c>
      <c r="P56" s="540" t="s">
        <v>127</v>
      </c>
      <c r="Q56" s="541"/>
      <c r="R56" s="540" t="s">
        <v>430</v>
      </c>
      <c r="S56" s="542"/>
      <c r="T56" s="542"/>
      <c r="U56" s="541"/>
      <c r="V56" s="510" t="s">
        <v>151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308"/>
      <c r="D57" s="308"/>
      <c r="E57" s="308"/>
      <c r="F57" s="528"/>
      <c r="G57" s="529"/>
      <c r="H57" s="529"/>
      <c r="I57" s="529"/>
      <c r="J57" s="529"/>
      <c r="K57" s="529"/>
      <c r="L57" s="529"/>
      <c r="M57" s="530"/>
      <c r="N57" s="307"/>
      <c r="O57" s="305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308"/>
      <c r="D58" s="308"/>
      <c r="E58" s="308"/>
      <c r="F58" s="528"/>
      <c r="G58" s="529"/>
      <c r="H58" s="529"/>
      <c r="I58" s="529"/>
      <c r="J58" s="529"/>
      <c r="K58" s="529"/>
      <c r="L58" s="529"/>
      <c r="M58" s="530"/>
      <c r="N58" s="307"/>
      <c r="O58" s="305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308"/>
      <c r="D59" s="308"/>
      <c r="E59" s="308"/>
      <c r="F59" s="528"/>
      <c r="G59" s="529"/>
      <c r="H59" s="529"/>
      <c r="I59" s="529"/>
      <c r="J59" s="529"/>
      <c r="K59" s="529"/>
      <c r="L59" s="529"/>
      <c r="M59" s="530"/>
      <c r="N59" s="307"/>
      <c r="O59" s="305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308"/>
      <c r="D60" s="308"/>
      <c r="E60" s="308"/>
      <c r="F60" s="528"/>
      <c r="G60" s="529"/>
      <c r="H60" s="529"/>
      <c r="I60" s="529"/>
      <c r="J60" s="529"/>
      <c r="K60" s="529"/>
      <c r="L60" s="529"/>
      <c r="M60" s="530"/>
      <c r="N60" s="307"/>
      <c r="O60" s="305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309"/>
      <c r="D61" s="310"/>
      <c r="E61" s="310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452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306" t="s">
        <v>2</v>
      </c>
      <c r="D63" s="306" t="s">
        <v>37</v>
      </c>
      <c r="E63" s="306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306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123</v>
      </c>
      <c r="D64" s="301"/>
      <c r="E64" s="304"/>
      <c r="F64" s="513" t="s">
        <v>453</v>
      </c>
      <c r="G64" s="514"/>
      <c r="H64" s="514"/>
      <c r="I64" s="514"/>
      <c r="J64" s="515"/>
      <c r="K64" s="497" t="s">
        <v>125</v>
      </c>
      <c r="L64" s="497"/>
      <c r="M64" s="51" t="s">
        <v>248</v>
      </c>
      <c r="N64" s="511" t="s">
        <v>223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120</v>
      </c>
      <c r="D65" s="301"/>
      <c r="E65" s="304" t="s">
        <v>131</v>
      </c>
      <c r="F65" s="513" t="s">
        <v>454</v>
      </c>
      <c r="G65" s="514"/>
      <c r="H65" s="514"/>
      <c r="I65" s="514"/>
      <c r="J65" s="515"/>
      <c r="K65" s="497" t="s">
        <v>210</v>
      </c>
      <c r="L65" s="497"/>
      <c r="M65" s="51" t="s">
        <v>144</v>
      </c>
      <c r="N65" s="511" t="s">
        <v>223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301"/>
      <c r="E66" s="304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301"/>
      <c r="E67" s="304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301"/>
      <c r="E68" s="304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301"/>
      <c r="E69" s="304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301"/>
      <c r="E70" s="304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301"/>
      <c r="E71" s="304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301"/>
      <c r="E72" s="304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301"/>
      <c r="E73" s="304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455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303" t="s">
        <v>2</v>
      </c>
      <c r="D75" s="303" t="s">
        <v>37</v>
      </c>
      <c r="E75" s="303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302" t="s">
        <v>112</v>
      </c>
      <c r="D76" s="302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301"/>
      <c r="D77" s="301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3">A77+1</f>
        <v>3</v>
      </c>
      <c r="B78" s="465"/>
      <c r="C78" s="301"/>
      <c r="D78" s="301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3"/>
        <v>4</v>
      </c>
      <c r="B79" s="465"/>
      <c r="C79" s="301"/>
      <c r="D79" s="301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3"/>
        <v>5</v>
      </c>
      <c r="B80" s="465"/>
      <c r="C80" s="301"/>
      <c r="D80" s="301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3"/>
        <v>6</v>
      </c>
      <c r="B81" s="465"/>
      <c r="C81" s="301"/>
      <c r="D81" s="301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3"/>
        <v>7</v>
      </c>
      <c r="B82" s="465"/>
      <c r="C82" s="301"/>
      <c r="D82" s="301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456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55B9-CADA-4E1D-8FFA-9D8AB63F0EBD}">
  <dimension ref="A1:AF87"/>
  <sheetViews>
    <sheetView zoomScale="72" zoomScaleNormal="72" zoomScaleSheetLayoutView="70" workbookViewId="0">
      <selection activeCell="U13" sqref="U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457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13" t="s">
        <v>17</v>
      </c>
      <c r="L5" s="313" t="s">
        <v>18</v>
      </c>
      <c r="M5" s="313" t="s">
        <v>19</v>
      </c>
      <c r="N5" s="3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6041</v>
      </c>
      <c r="K6" s="15">
        <f>L6+5567+6177+5956+2594+5676+6103+6040+4713+6089+5522+2602+5766+6012+6125</f>
        <v>80983</v>
      </c>
      <c r="L6" s="15">
        <f>2862+3179</f>
        <v>6041</v>
      </c>
      <c r="M6" s="15">
        <f t="shared" ref="M6:M21" si="0">L6-N6</f>
        <v>6041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19" si="7">$AD$22</f>
        <v>0.62500000000000011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196</v>
      </c>
      <c r="E7" s="53" t="s">
        <v>359</v>
      </c>
      <c r="F7" s="30" t="s">
        <v>143</v>
      </c>
      <c r="G7" s="12">
        <v>3</v>
      </c>
      <c r="H7" s="13">
        <v>28</v>
      </c>
      <c r="I7" s="31">
        <v>105000</v>
      </c>
      <c r="J7" s="5">
        <v>17700</v>
      </c>
      <c r="K7" s="15">
        <f>L7+11280+18680+16392+16425+6954+15807+16374+17700</f>
        <v>119612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0.62500000000000011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3224</v>
      </c>
      <c r="K8" s="15">
        <f>L8+1658+3024+3826+5621+5758+5746+5871+5666+2439+5254+5051+3104+4798+5662+2420+5454+5616+4719</f>
        <v>84911</v>
      </c>
      <c r="L8" s="15">
        <f>3224</f>
        <v>3224</v>
      </c>
      <c r="M8" s="15">
        <f t="shared" si="0"/>
        <v>3224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0.62500000000000011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128</v>
      </c>
      <c r="E9" s="53" t="s">
        <v>402</v>
      </c>
      <c r="F9" s="30" t="s">
        <v>211</v>
      </c>
      <c r="G9" s="33">
        <v>4</v>
      </c>
      <c r="H9" s="35">
        <v>24</v>
      </c>
      <c r="I9" s="7">
        <v>105000</v>
      </c>
      <c r="J9" s="14">
        <v>20040</v>
      </c>
      <c r="K9" s="15">
        <f>L9+4608+18492+19820+20264</f>
        <v>83224</v>
      </c>
      <c r="L9" s="15">
        <f>2374*4+2636*4</f>
        <v>20040</v>
      </c>
      <c r="M9" s="15">
        <f t="shared" si="0"/>
        <v>20040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0.62500000000000011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370</v>
      </c>
      <c r="E10" s="53" t="s">
        <v>415</v>
      </c>
      <c r="F10" s="30" t="s">
        <v>211</v>
      </c>
      <c r="G10" s="33">
        <v>1</v>
      </c>
      <c r="H10" s="35">
        <v>24</v>
      </c>
      <c r="I10" s="7">
        <f>36000-12000</f>
        <v>24000</v>
      </c>
      <c r="J10" s="5">
        <v>6270</v>
      </c>
      <c r="K10" s="15">
        <f>L10+5309+6175+6309</f>
        <v>24063</v>
      </c>
      <c r="L10" s="15">
        <f>2963+3307</f>
        <v>6270</v>
      </c>
      <c r="M10" s="15">
        <f t="shared" si="0"/>
        <v>6270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0.62500000000000011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2759</v>
      </c>
      <c r="K11" s="15">
        <f>L11+4668+4429+5671+2067+5444+3967+5843+5907+3309+3086+364+5637+5791+5944</f>
        <v>64886</v>
      </c>
      <c r="L11" s="15">
        <f>2759</f>
        <v>2759</v>
      </c>
      <c r="M11" s="15">
        <f t="shared" si="0"/>
        <v>2759</v>
      </c>
      <c r="N11" s="15">
        <v>0</v>
      </c>
      <c r="O11" s="58">
        <f t="shared" si="1"/>
        <v>0</v>
      </c>
      <c r="P11" s="39">
        <f t="shared" si="2"/>
        <v>14</v>
      </c>
      <c r="Q11" s="40">
        <f t="shared" si="3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0.58333333333333337</v>
      </c>
      <c r="AD11" s="10">
        <f>AC11*AB11*(1-O11)</f>
        <v>0.58333333333333337</v>
      </c>
      <c r="AE11" s="36">
        <f t="shared" si="7"/>
        <v>0.62500000000000011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115</v>
      </c>
      <c r="E12" s="53" t="s">
        <v>376</v>
      </c>
      <c r="F12" s="30" t="s">
        <v>119</v>
      </c>
      <c r="G12" s="33">
        <v>1</v>
      </c>
      <c r="H12" s="35">
        <v>24</v>
      </c>
      <c r="I12" s="7">
        <v>5000</v>
      </c>
      <c r="J12" s="14">
        <v>3870</v>
      </c>
      <c r="K12" s="15">
        <f>L12</f>
        <v>3870</v>
      </c>
      <c r="L12" s="15">
        <f>2429+1441</f>
        <v>3870</v>
      </c>
      <c r="M12" s="15">
        <f t="shared" si="0"/>
        <v>3870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/>
      <c r="T12" s="16">
        <v>3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ref="AD12:AD14" si="9">AC12*AB12*(1-O12)</f>
        <v>0.875</v>
      </c>
      <c r="AE12" s="36">
        <f t="shared" si="7"/>
        <v>0.62500000000000011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105000</v>
      </c>
      <c r="J13" s="14">
        <v>16062</v>
      </c>
      <c r="K13" s="15">
        <f>L13+11384+20364+9004+14763</f>
        <v>71577</v>
      </c>
      <c r="L13" s="15">
        <f>2808*3+2546*3</f>
        <v>16062</v>
      </c>
      <c r="M13" s="15">
        <f t="shared" si="0"/>
        <v>16062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0.62500000000000011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L14+350</f>
        <v>350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0.62500000000000011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429</v>
      </c>
      <c r="F15" s="12" t="s">
        <v>438</v>
      </c>
      <c r="G15" s="12">
        <v>1</v>
      </c>
      <c r="H15" s="13">
        <v>24</v>
      </c>
      <c r="I15" s="31">
        <v>1700</v>
      </c>
      <c r="J15" s="14">
        <v>3878</v>
      </c>
      <c r="K15" s="15">
        <f>L15+2013+3878</f>
        <v>5891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0.62500000000000011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131</v>
      </c>
      <c r="E16" s="53" t="s">
        <v>368</v>
      </c>
      <c r="F16" s="30" t="s">
        <v>210</v>
      </c>
      <c r="G16" s="12">
        <v>4</v>
      </c>
      <c r="H16" s="13">
        <v>28</v>
      </c>
      <c r="I16" s="7">
        <f>105000-16000</f>
        <v>89000</v>
      </c>
      <c r="J16" s="14">
        <v>15168</v>
      </c>
      <c r="K16" s="15">
        <f>L16+13804+13644</f>
        <v>42616</v>
      </c>
      <c r="L16" s="15">
        <f>1734*4+2058*4</f>
        <v>15168</v>
      </c>
      <c r="M16" s="15">
        <f t="shared" si="0"/>
        <v>15168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0.62500000000000011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329</v>
      </c>
      <c r="F17" s="30" t="s">
        <v>132</v>
      </c>
      <c r="G17" s="33">
        <v>4</v>
      </c>
      <c r="H17" s="35">
        <v>24</v>
      </c>
      <c r="I17" s="7">
        <v>530000</v>
      </c>
      <c r="J17" s="5">
        <v>20452</v>
      </c>
      <c r="K17" s="15">
        <f>L17+13840+22204+21992+20260+22164+21932+9424+21016+21776+22184</f>
        <v>217244</v>
      </c>
      <c r="L17" s="15">
        <f>2519*4+2594*4</f>
        <v>20452</v>
      </c>
      <c r="M17" s="15">
        <f t="shared" si="0"/>
        <v>20452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0.62500000000000011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127</v>
      </c>
      <c r="E18" s="53" t="s">
        <v>458</v>
      </c>
      <c r="F18" s="30" t="s">
        <v>210</v>
      </c>
      <c r="G18" s="12">
        <v>2</v>
      </c>
      <c r="H18" s="13">
        <v>28</v>
      </c>
      <c r="I18" s="31">
        <v>44000</v>
      </c>
      <c r="J18" s="5">
        <v>6198</v>
      </c>
      <c r="K18" s="15">
        <f>L18</f>
        <v>6198</v>
      </c>
      <c r="L18" s="15">
        <f>3099*2</f>
        <v>6198</v>
      </c>
      <c r="M18" s="15">
        <f t="shared" si="0"/>
        <v>6198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6"/>
        <v>0.625</v>
      </c>
      <c r="AE18" s="36">
        <f t="shared" si="7"/>
        <v>0.62500000000000011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257</v>
      </c>
      <c r="E19" s="53" t="s">
        <v>414</v>
      </c>
      <c r="F19" s="30" t="s">
        <v>124</v>
      </c>
      <c r="G19" s="33">
        <v>1</v>
      </c>
      <c r="H19" s="35">
        <v>24</v>
      </c>
      <c r="I19" s="7">
        <v>15000</v>
      </c>
      <c r="J19" s="5">
        <v>3894</v>
      </c>
      <c r="K19" s="15">
        <f>L19+3126+4897+3934</f>
        <v>15851</v>
      </c>
      <c r="L19" s="15">
        <f>2321+1573</f>
        <v>3894</v>
      </c>
      <c r="M19" s="15">
        <f t="shared" si="0"/>
        <v>3894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>AC19*AB19*(1-O19)</f>
        <v>0.83333333333333337</v>
      </c>
      <c r="AE19" s="36">
        <f t="shared" si="7"/>
        <v>0.62500000000000011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224</v>
      </c>
      <c r="F20" s="30" t="s">
        <v>119</v>
      </c>
      <c r="G20" s="33">
        <v>1</v>
      </c>
      <c r="H20" s="35">
        <v>24</v>
      </c>
      <c r="I20" s="7">
        <v>64000</v>
      </c>
      <c r="J20" s="14">
        <v>654</v>
      </c>
      <c r="K20" s="15">
        <f>L20+4204+5394+5278+1522+3899+5224+5152+5164+2208+4924+654</f>
        <v>43623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>$AD$22</f>
        <v>0.62500000000000011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432</v>
      </c>
      <c r="F21" s="12" t="s">
        <v>114</v>
      </c>
      <c r="G21" s="12">
        <v>4</v>
      </c>
      <c r="H21" s="35">
        <v>20</v>
      </c>
      <c r="I21" s="7">
        <v>500000</v>
      </c>
      <c r="J21" s="14">
        <v>38440</v>
      </c>
      <c r="K21" s="15">
        <f>L21+16808+39112</f>
        <v>94360</v>
      </c>
      <c r="L21" s="15">
        <f>9610*4</f>
        <v>38440</v>
      </c>
      <c r="M21" s="15">
        <f t="shared" si="0"/>
        <v>38440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>$AD$22</f>
        <v>0.62500000000000011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0">SUM(I6:I21)</f>
        <v>1816000</v>
      </c>
      <c r="J22" s="19">
        <f t="shared" si="10"/>
        <v>165000</v>
      </c>
      <c r="K22" s="20">
        <f t="shared" si="10"/>
        <v>959259</v>
      </c>
      <c r="L22" s="21">
        <f t="shared" si="10"/>
        <v>142418</v>
      </c>
      <c r="M22" s="20">
        <f t="shared" si="10"/>
        <v>142418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240</v>
      </c>
      <c r="Q22" s="43">
        <f t="shared" si="11"/>
        <v>144</v>
      </c>
      <c r="R22" s="23">
        <f t="shared" si="11"/>
        <v>0</v>
      </c>
      <c r="S22" s="24">
        <f t="shared" si="11"/>
        <v>81</v>
      </c>
      <c r="T22" s="24">
        <f t="shared" si="11"/>
        <v>3</v>
      </c>
      <c r="U22" s="24">
        <f t="shared" si="11"/>
        <v>0</v>
      </c>
      <c r="V22" s="25">
        <f t="shared" si="11"/>
        <v>12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0.75</v>
      </c>
      <c r="AC22" s="4">
        <f>AVERAGE(AC6:AC21)</f>
        <v>0.62500000000000011</v>
      </c>
      <c r="AD22" s="4">
        <f>AVERAGE(AD6:AD21)</f>
        <v>0.62500000000000011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459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460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314" t="s">
        <v>46</v>
      </c>
      <c r="D51" s="314" t="s">
        <v>47</v>
      </c>
      <c r="E51" s="314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314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120</v>
      </c>
      <c r="B52" s="527"/>
      <c r="C52" s="316" t="s">
        <v>130</v>
      </c>
      <c r="D52" s="316" t="s">
        <v>128</v>
      </c>
      <c r="E52" s="316" t="s">
        <v>156</v>
      </c>
      <c r="F52" s="528" t="s">
        <v>169</v>
      </c>
      <c r="G52" s="529"/>
      <c r="H52" s="529"/>
      <c r="I52" s="529"/>
      <c r="J52" s="529"/>
      <c r="K52" s="529"/>
      <c r="L52" s="529"/>
      <c r="M52" s="530"/>
      <c r="N52" s="315" t="s">
        <v>120</v>
      </c>
      <c r="O52" s="321" t="s">
        <v>180</v>
      </c>
      <c r="P52" s="540" t="s">
        <v>165</v>
      </c>
      <c r="Q52" s="541"/>
      <c r="R52" s="540" t="s">
        <v>429</v>
      </c>
      <c r="S52" s="542"/>
      <c r="T52" s="542"/>
      <c r="U52" s="541"/>
      <c r="V52" s="510" t="s">
        <v>151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120</v>
      </c>
      <c r="B53" s="527"/>
      <c r="C53" s="316" t="s">
        <v>239</v>
      </c>
      <c r="D53" s="316" t="s">
        <v>115</v>
      </c>
      <c r="E53" s="316" t="s">
        <v>376</v>
      </c>
      <c r="F53" s="528" t="s">
        <v>118</v>
      </c>
      <c r="G53" s="529"/>
      <c r="H53" s="529"/>
      <c r="I53" s="529"/>
      <c r="J53" s="529"/>
      <c r="K53" s="529"/>
      <c r="L53" s="529"/>
      <c r="M53" s="530"/>
      <c r="N53" s="315" t="s">
        <v>121</v>
      </c>
      <c r="O53" s="321" t="s">
        <v>179</v>
      </c>
      <c r="P53" s="540" t="s">
        <v>115</v>
      </c>
      <c r="Q53" s="541"/>
      <c r="R53" s="540" t="s">
        <v>263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120</v>
      </c>
      <c r="B54" s="527"/>
      <c r="C54" s="316" t="s">
        <v>147</v>
      </c>
      <c r="D54" s="316" t="s">
        <v>127</v>
      </c>
      <c r="E54" s="316" t="s">
        <v>458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315" t="s">
        <v>121</v>
      </c>
      <c r="O54" s="321" t="s">
        <v>141</v>
      </c>
      <c r="P54" s="540" t="s">
        <v>131</v>
      </c>
      <c r="Q54" s="541"/>
      <c r="R54" s="540" t="s">
        <v>461</v>
      </c>
      <c r="S54" s="542"/>
      <c r="T54" s="542"/>
      <c r="U54" s="541"/>
      <c r="V54" s="510" t="s">
        <v>294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316" t="s">
        <v>194</v>
      </c>
      <c r="D55" s="316" t="s">
        <v>257</v>
      </c>
      <c r="E55" s="316" t="s">
        <v>414</v>
      </c>
      <c r="F55" s="528" t="s">
        <v>282</v>
      </c>
      <c r="G55" s="529"/>
      <c r="H55" s="529"/>
      <c r="I55" s="529"/>
      <c r="J55" s="529"/>
      <c r="K55" s="529"/>
      <c r="L55" s="529"/>
      <c r="M55" s="530"/>
      <c r="N55" s="315" t="s">
        <v>112</v>
      </c>
      <c r="O55" s="321" t="s">
        <v>223</v>
      </c>
      <c r="P55" s="540" t="s">
        <v>115</v>
      </c>
      <c r="Q55" s="541"/>
      <c r="R55" s="540" t="s">
        <v>224</v>
      </c>
      <c r="S55" s="542"/>
      <c r="T55" s="542"/>
      <c r="U55" s="541"/>
      <c r="V55" s="510" t="s">
        <v>151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316" t="s">
        <v>261</v>
      </c>
      <c r="D56" s="316" t="s">
        <v>257</v>
      </c>
      <c r="E56" s="316" t="s">
        <v>258</v>
      </c>
      <c r="F56" s="528" t="s">
        <v>177</v>
      </c>
      <c r="G56" s="529"/>
      <c r="H56" s="529"/>
      <c r="I56" s="529"/>
      <c r="J56" s="529"/>
      <c r="K56" s="529"/>
      <c r="L56" s="529"/>
      <c r="M56" s="530"/>
      <c r="N56" s="315"/>
      <c r="O56" s="321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316"/>
      <c r="D57" s="316"/>
      <c r="E57" s="316"/>
      <c r="F57" s="528"/>
      <c r="G57" s="529"/>
      <c r="H57" s="529"/>
      <c r="I57" s="529"/>
      <c r="J57" s="529"/>
      <c r="K57" s="529"/>
      <c r="L57" s="529"/>
      <c r="M57" s="530"/>
      <c r="N57" s="315"/>
      <c r="O57" s="321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316"/>
      <c r="D58" s="316"/>
      <c r="E58" s="316"/>
      <c r="F58" s="528"/>
      <c r="G58" s="529"/>
      <c r="H58" s="529"/>
      <c r="I58" s="529"/>
      <c r="J58" s="529"/>
      <c r="K58" s="529"/>
      <c r="L58" s="529"/>
      <c r="M58" s="530"/>
      <c r="N58" s="315"/>
      <c r="O58" s="321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316"/>
      <c r="D59" s="316"/>
      <c r="E59" s="316"/>
      <c r="F59" s="528"/>
      <c r="G59" s="529"/>
      <c r="H59" s="529"/>
      <c r="I59" s="529"/>
      <c r="J59" s="529"/>
      <c r="K59" s="529"/>
      <c r="L59" s="529"/>
      <c r="M59" s="530"/>
      <c r="N59" s="315"/>
      <c r="O59" s="321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316"/>
      <c r="D60" s="316"/>
      <c r="E60" s="316"/>
      <c r="F60" s="528"/>
      <c r="G60" s="529"/>
      <c r="H60" s="529"/>
      <c r="I60" s="529"/>
      <c r="J60" s="529"/>
      <c r="K60" s="529"/>
      <c r="L60" s="529"/>
      <c r="M60" s="530"/>
      <c r="N60" s="315"/>
      <c r="O60" s="321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317"/>
      <c r="D61" s="318"/>
      <c r="E61" s="318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462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319" t="s">
        <v>2</v>
      </c>
      <c r="D63" s="319" t="s">
        <v>37</v>
      </c>
      <c r="E63" s="319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319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120</v>
      </c>
      <c r="D64" s="323"/>
      <c r="E64" s="320" t="s">
        <v>165</v>
      </c>
      <c r="F64" s="513" t="s">
        <v>463</v>
      </c>
      <c r="G64" s="514"/>
      <c r="H64" s="514"/>
      <c r="I64" s="514"/>
      <c r="J64" s="515"/>
      <c r="K64" s="497" t="s">
        <v>438</v>
      </c>
      <c r="L64" s="497"/>
      <c r="M64" s="51" t="s">
        <v>144</v>
      </c>
      <c r="N64" s="511" t="s">
        <v>137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112</v>
      </c>
      <c r="D65" s="323"/>
      <c r="E65" s="320" t="s">
        <v>257</v>
      </c>
      <c r="F65" s="513" t="s">
        <v>464</v>
      </c>
      <c r="G65" s="514"/>
      <c r="H65" s="514"/>
      <c r="I65" s="514"/>
      <c r="J65" s="515"/>
      <c r="K65" s="497" t="s">
        <v>256</v>
      </c>
      <c r="L65" s="497"/>
      <c r="M65" s="51" t="s">
        <v>144</v>
      </c>
      <c r="N65" s="511" t="s">
        <v>223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323"/>
      <c r="E66" s="320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323"/>
      <c r="E67" s="320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323"/>
      <c r="E68" s="320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323"/>
      <c r="E69" s="320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323"/>
      <c r="E70" s="320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323"/>
      <c r="E71" s="320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323"/>
      <c r="E72" s="320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323"/>
      <c r="E73" s="320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465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322" t="s">
        <v>2</v>
      </c>
      <c r="D75" s="322" t="s">
        <v>37</v>
      </c>
      <c r="E75" s="322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324" t="s">
        <v>112</v>
      </c>
      <c r="D76" s="324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323"/>
      <c r="D77" s="323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2">A77+1</f>
        <v>3</v>
      </c>
      <c r="B78" s="465"/>
      <c r="C78" s="323"/>
      <c r="D78" s="323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2"/>
        <v>4</v>
      </c>
      <c r="B79" s="465"/>
      <c r="C79" s="323"/>
      <c r="D79" s="323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2"/>
        <v>5</v>
      </c>
      <c r="B80" s="465"/>
      <c r="C80" s="323"/>
      <c r="D80" s="323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2"/>
        <v>6</v>
      </c>
      <c r="B81" s="465"/>
      <c r="C81" s="323"/>
      <c r="D81" s="323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2"/>
        <v>7</v>
      </c>
      <c r="B82" s="465"/>
      <c r="C82" s="323"/>
      <c r="D82" s="323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466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8E18-3A1B-498B-A0AE-96BC7AE92AB4}">
  <dimension ref="A1:AF88"/>
  <sheetViews>
    <sheetView zoomScale="72" zoomScaleNormal="72" zoomScaleSheetLayoutView="70" workbookViewId="0">
      <selection activeCell="A13" sqref="A13:XFD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467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36" t="s">
        <v>17</v>
      </c>
      <c r="L5" s="336" t="s">
        <v>18</v>
      </c>
      <c r="M5" s="336" t="s">
        <v>19</v>
      </c>
      <c r="N5" s="33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6061</v>
      </c>
      <c r="K6" s="15">
        <f>L6+5567+6177+5956+2594+5676+6103+6040+4713+6089+5522+2602+5766+6012+6125+6041</f>
        <v>87044</v>
      </c>
      <c r="L6" s="15">
        <f>2864+3197</f>
        <v>6061</v>
      </c>
      <c r="M6" s="15">
        <f t="shared" ref="M6:M22" si="0">L6-N6</f>
        <v>6061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24</v>
      </c>
      <c r="Q6" s="40">
        <f t="shared" ref="Q6:Q22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6">
        <f t="shared" ref="AE6:AE12" si="7">$AD$23</f>
        <v>0.71078431372549022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3794</v>
      </c>
      <c r="K7" s="15">
        <f>L7</f>
        <v>3794</v>
      </c>
      <c r="L7" s="15">
        <f>558+3236</f>
        <v>3794</v>
      </c>
      <c r="M7" s="15">
        <f t="shared" ref="M7" si="9">L7-N7</f>
        <v>3794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16</v>
      </c>
      <c r="Q7" s="40">
        <f t="shared" ref="Q7" si="12">SUM(R7:AA7)</f>
        <v>8</v>
      </c>
      <c r="R7" s="7"/>
      <c r="S7" s="6">
        <v>8</v>
      </c>
      <c r="T7" s="16"/>
      <c r="U7" s="16"/>
      <c r="V7" s="17"/>
      <c r="W7" s="5"/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0.66666666666666663</v>
      </c>
      <c r="AD7" s="10">
        <f t="shared" ref="AD7" si="15">AC7*AB7*(1-O7)</f>
        <v>0.66666666666666663</v>
      </c>
      <c r="AE7" s="36">
        <f t="shared" si="7"/>
        <v>0.71078431372549022</v>
      </c>
      <c r="AF7" s="84">
        <f t="shared" ref="AF7" si="16">A7</f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5620</v>
      </c>
      <c r="K8" s="15">
        <f>L8+1658+3024+3826+5621+5758+5746+5871+5666+2439+5254+5051+3104+4798+5662+2420+5454+5616+4719+3224</f>
        <v>90531</v>
      </c>
      <c r="L8" s="15">
        <f>2659+2961</f>
        <v>5620</v>
      </c>
      <c r="M8" s="15">
        <f t="shared" si="0"/>
        <v>5620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0.71078431372549022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128</v>
      </c>
      <c r="E9" s="53" t="s">
        <v>402</v>
      </c>
      <c r="F9" s="30" t="s">
        <v>211</v>
      </c>
      <c r="G9" s="33">
        <v>4</v>
      </c>
      <c r="H9" s="35">
        <v>24</v>
      </c>
      <c r="I9" s="7">
        <v>105000</v>
      </c>
      <c r="J9" s="14">
        <v>20060</v>
      </c>
      <c r="K9" s="15">
        <f>L9+4608+18492+19820+20264+20040</f>
        <v>103284</v>
      </c>
      <c r="L9" s="15">
        <f>2377*4+2638*4</f>
        <v>20060</v>
      </c>
      <c r="M9" s="15">
        <f t="shared" si="0"/>
        <v>20060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0.71078431372549022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370</v>
      </c>
      <c r="E10" s="53" t="s">
        <v>415</v>
      </c>
      <c r="F10" s="30" t="s">
        <v>211</v>
      </c>
      <c r="G10" s="33">
        <v>1</v>
      </c>
      <c r="H10" s="35">
        <v>24</v>
      </c>
      <c r="I10" s="7">
        <f>36000-12000</f>
        <v>24000</v>
      </c>
      <c r="J10" s="5">
        <v>5715</v>
      </c>
      <c r="K10" s="15">
        <f>L10+5309+6175+6309+6270</f>
        <v>29778</v>
      </c>
      <c r="L10" s="15">
        <f>2731+2984</f>
        <v>5715</v>
      </c>
      <c r="M10" s="15">
        <f t="shared" si="0"/>
        <v>5715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0.71078431372549022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4461</v>
      </c>
      <c r="K11" s="15">
        <f>L11+4668+4429+5671+2067+5444+3967+5843+5907+3309+3086+364+5637+5791+5944+2759</f>
        <v>69347</v>
      </c>
      <c r="L11" s="15">
        <f>2777+1684</f>
        <v>4461</v>
      </c>
      <c r="M11" s="15">
        <f t="shared" si="0"/>
        <v>4461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>AC11*AB11*(1-O11)</f>
        <v>0.91666666666666663</v>
      </c>
      <c r="AE11" s="36">
        <f t="shared" si="7"/>
        <v>0.71078431372549022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115</v>
      </c>
      <c r="E12" s="53" t="s">
        <v>376</v>
      </c>
      <c r="F12" s="30" t="s">
        <v>119</v>
      </c>
      <c r="G12" s="33">
        <v>1</v>
      </c>
      <c r="H12" s="35">
        <v>24</v>
      </c>
      <c r="I12" s="7">
        <v>5000</v>
      </c>
      <c r="J12" s="14">
        <v>4636</v>
      </c>
      <c r="K12" s="15">
        <f>L12+3870</f>
        <v>8506</v>
      </c>
      <c r="L12" s="15">
        <f>2442+2194</f>
        <v>4636</v>
      </c>
      <c r="M12" s="15">
        <f t="shared" si="0"/>
        <v>4636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5" si="17">AC12*AB12*(1-O12)</f>
        <v>1</v>
      </c>
      <c r="AE12" s="36">
        <f t="shared" si="7"/>
        <v>0.71078431372549022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263</v>
      </c>
      <c r="F13" s="30" t="s">
        <v>125</v>
      </c>
      <c r="G13" s="33">
        <v>4</v>
      </c>
      <c r="H13" s="35">
        <v>24</v>
      </c>
      <c r="I13" s="7">
        <v>520000</v>
      </c>
      <c r="J13" s="14">
        <v>3640</v>
      </c>
      <c r="K13" s="15">
        <f>L13+11600+9308+18652+20744</f>
        <v>63944</v>
      </c>
      <c r="L13" s="15">
        <f>910*4</f>
        <v>3640</v>
      </c>
      <c r="M13" s="15">
        <f t="shared" si="0"/>
        <v>3640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si="17"/>
        <v>0.16666666666666666</v>
      </c>
      <c r="AE13" s="36">
        <f t="shared" ref="AE13:AE14" si="18">$AD$23</f>
        <v>0.71078431372549022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121</v>
      </c>
      <c r="D14" s="52" t="s">
        <v>115</v>
      </c>
      <c r="E14" s="53" t="s">
        <v>351</v>
      </c>
      <c r="F14" s="30" t="s">
        <v>146</v>
      </c>
      <c r="G14" s="33">
        <v>4</v>
      </c>
      <c r="H14" s="35">
        <v>24</v>
      </c>
      <c r="I14" s="7">
        <v>105000</v>
      </c>
      <c r="J14" s="14">
        <v>8880</v>
      </c>
      <c r="K14" s="15">
        <f>L14+11384+20364+9004+14763+16062</f>
        <v>80457</v>
      </c>
      <c r="L14" s="15">
        <f>2220*4</f>
        <v>8880</v>
      </c>
      <c r="M14" s="15">
        <f t="shared" si="0"/>
        <v>8880</v>
      </c>
      <c r="N14" s="15">
        <v>0</v>
      </c>
      <c r="O14" s="58">
        <f t="shared" si="1"/>
        <v>0</v>
      </c>
      <c r="P14" s="39">
        <f t="shared" si="2"/>
        <v>15</v>
      </c>
      <c r="Q14" s="40">
        <f t="shared" si="3"/>
        <v>9</v>
      </c>
      <c r="R14" s="7"/>
      <c r="S14" s="6">
        <v>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0.625</v>
      </c>
      <c r="AD14" s="10">
        <f t="shared" si="17"/>
        <v>0.625</v>
      </c>
      <c r="AE14" s="36">
        <f t="shared" si="18"/>
        <v>0.71078431372549022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383</v>
      </c>
      <c r="F15" s="30" t="s">
        <v>211</v>
      </c>
      <c r="G15" s="33">
        <v>1</v>
      </c>
      <c r="H15" s="35">
        <v>24</v>
      </c>
      <c r="I15" s="7">
        <v>300</v>
      </c>
      <c r="J15" s="5">
        <v>350</v>
      </c>
      <c r="K15" s="15">
        <f>L15+350</f>
        <v>350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17"/>
        <v>0</v>
      </c>
      <c r="AE15" s="36">
        <f t="shared" ref="AE15:AE22" si="19">$AD$23</f>
        <v>0.71078431372549022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123</v>
      </c>
      <c r="D16" s="52" t="s">
        <v>165</v>
      </c>
      <c r="E16" s="53" t="s">
        <v>388</v>
      </c>
      <c r="F16" s="12" t="s">
        <v>247</v>
      </c>
      <c r="G16" s="12">
        <v>1</v>
      </c>
      <c r="H16" s="13">
        <v>24</v>
      </c>
      <c r="I16" s="31">
        <v>1000</v>
      </c>
      <c r="J16" s="14">
        <v>870</v>
      </c>
      <c r="K16" s="15">
        <f>L16</f>
        <v>870</v>
      </c>
      <c r="L16" s="15">
        <v>870</v>
      </c>
      <c r="M16" s="15">
        <f t="shared" si="0"/>
        <v>870</v>
      </c>
      <c r="N16" s="15">
        <v>0</v>
      </c>
      <c r="O16" s="58">
        <f t="shared" si="1"/>
        <v>0</v>
      </c>
      <c r="P16" s="39">
        <f t="shared" si="2"/>
        <v>4</v>
      </c>
      <c r="Q16" s="40">
        <f t="shared" si="3"/>
        <v>20</v>
      </c>
      <c r="R16" s="7"/>
      <c r="S16" s="6">
        <v>20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6">
        <f t="shared" si="19"/>
        <v>0.71078431372549022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131</v>
      </c>
      <c r="E17" s="53" t="s">
        <v>368</v>
      </c>
      <c r="F17" s="30" t="s">
        <v>210</v>
      </c>
      <c r="G17" s="12">
        <v>4</v>
      </c>
      <c r="H17" s="13">
        <v>28</v>
      </c>
      <c r="I17" s="7">
        <f>105000-16000</f>
        <v>89000</v>
      </c>
      <c r="J17" s="14">
        <v>9596</v>
      </c>
      <c r="K17" s="15">
        <f>L17+13804+13644+15168</f>
        <v>52212</v>
      </c>
      <c r="L17" s="15">
        <f>1985*4+414*4</f>
        <v>9596</v>
      </c>
      <c r="M17" s="15">
        <f t="shared" si="0"/>
        <v>9596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>
        <v>14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19"/>
        <v>0.71078431372549022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131</v>
      </c>
      <c r="E18" s="53" t="s">
        <v>468</v>
      </c>
      <c r="F18" s="30" t="s">
        <v>132</v>
      </c>
      <c r="G18" s="33">
        <v>2</v>
      </c>
      <c r="H18" s="35">
        <v>24</v>
      </c>
      <c r="I18" s="7">
        <v>33000</v>
      </c>
      <c r="J18" s="5">
        <v>9348</v>
      </c>
      <c r="K18" s="15">
        <f>L18</f>
        <v>9348</v>
      </c>
      <c r="L18" s="15">
        <f>3024*2+1650*2</f>
        <v>9348</v>
      </c>
      <c r="M18" s="15">
        <f t="shared" si="0"/>
        <v>9348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19"/>
        <v>0.71078431372549022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127</v>
      </c>
      <c r="E19" s="53" t="s">
        <v>458</v>
      </c>
      <c r="F19" s="30" t="s">
        <v>210</v>
      </c>
      <c r="G19" s="12">
        <v>2</v>
      </c>
      <c r="H19" s="13">
        <v>28</v>
      </c>
      <c r="I19" s="31">
        <v>44000</v>
      </c>
      <c r="J19" s="5">
        <v>14056</v>
      </c>
      <c r="K19" s="15">
        <f>L19+6198</f>
        <v>20254</v>
      </c>
      <c r="L19" s="15">
        <f>3318*2+3710*2</f>
        <v>14056</v>
      </c>
      <c r="M19" s="15">
        <f t="shared" si="0"/>
        <v>14056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19"/>
        <v>0.71078431372549022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257</v>
      </c>
      <c r="E20" s="53" t="s">
        <v>414</v>
      </c>
      <c r="F20" s="30" t="s">
        <v>124</v>
      </c>
      <c r="G20" s="33">
        <v>1</v>
      </c>
      <c r="H20" s="35">
        <v>24</v>
      </c>
      <c r="I20" s="7">
        <v>15000</v>
      </c>
      <c r="J20" s="5">
        <v>4231</v>
      </c>
      <c r="K20" s="15">
        <f>L20+3126+4897+3934+3894</f>
        <v>20082</v>
      </c>
      <c r="L20" s="15">
        <f>2134+2097</f>
        <v>4231</v>
      </c>
      <c r="M20" s="15">
        <f t="shared" si="0"/>
        <v>4231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19"/>
        <v>0.71078431372549022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469</v>
      </c>
      <c r="F21" s="30" t="s">
        <v>119</v>
      </c>
      <c r="G21" s="33">
        <v>1</v>
      </c>
      <c r="H21" s="35">
        <v>24</v>
      </c>
      <c r="I21" s="7">
        <v>64000</v>
      </c>
      <c r="J21" s="14">
        <v>3141</v>
      </c>
      <c r="K21" s="15">
        <f>L21+4204+5394+5278+1522+3899+5224+5152+5164+2208+4924+654</f>
        <v>46764</v>
      </c>
      <c r="L21" s="15">
        <v>3141</v>
      </c>
      <c r="M21" s="15">
        <f t="shared" si="0"/>
        <v>3141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>
        <v>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6">
        <f t="shared" si="19"/>
        <v>0.71078431372549022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432</v>
      </c>
      <c r="F22" s="12" t="s">
        <v>114</v>
      </c>
      <c r="G22" s="12">
        <v>4</v>
      </c>
      <c r="H22" s="35">
        <v>20</v>
      </c>
      <c r="I22" s="7">
        <v>500000</v>
      </c>
      <c r="J22" s="14">
        <v>39748</v>
      </c>
      <c r="K22" s="15">
        <f>L22+16808+39112+38440</f>
        <v>134108</v>
      </c>
      <c r="L22" s="15">
        <f>9937*4</f>
        <v>39748</v>
      </c>
      <c r="M22" s="15">
        <f t="shared" si="0"/>
        <v>39748</v>
      </c>
      <c r="N22" s="15">
        <v>0</v>
      </c>
      <c r="O22" s="58">
        <f t="shared" si="1"/>
        <v>0</v>
      </c>
      <c r="P22" s="39">
        <f t="shared" si="2"/>
        <v>12</v>
      </c>
      <c r="Q22" s="40">
        <f t="shared" si="3"/>
        <v>12</v>
      </c>
      <c r="R22" s="7"/>
      <c r="S22" s="6"/>
      <c r="T22" s="16"/>
      <c r="U22" s="16"/>
      <c r="V22" s="17">
        <v>12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</v>
      </c>
      <c r="AD22" s="10">
        <f t="shared" si="6"/>
        <v>0.5</v>
      </c>
      <c r="AE22" s="36">
        <f t="shared" si="19"/>
        <v>0.71078431372549022</v>
      </c>
      <c r="AF22" s="84">
        <f t="shared" si="8"/>
        <v>16</v>
      </c>
    </row>
    <row r="23" spans="1:32" ht="31.5" customHeight="1" thickBot="1">
      <c r="A23" s="545" t="s">
        <v>34</v>
      </c>
      <c r="B23" s="546"/>
      <c r="C23" s="546"/>
      <c r="D23" s="546"/>
      <c r="E23" s="546"/>
      <c r="F23" s="546"/>
      <c r="G23" s="546"/>
      <c r="H23" s="547"/>
      <c r="I23" s="22">
        <f t="shared" ref="I23:N23" si="20">SUM(I6:I22)</f>
        <v>1740300</v>
      </c>
      <c r="J23" s="19">
        <f t="shared" si="20"/>
        <v>144207</v>
      </c>
      <c r="K23" s="20">
        <f t="shared" si="20"/>
        <v>820673</v>
      </c>
      <c r="L23" s="21">
        <f t="shared" si="20"/>
        <v>143857</v>
      </c>
      <c r="M23" s="20">
        <f t="shared" si="20"/>
        <v>143857</v>
      </c>
      <c r="N23" s="21">
        <f t="shared" si="20"/>
        <v>0</v>
      </c>
      <c r="O23" s="41">
        <f t="shared" si="1"/>
        <v>0</v>
      </c>
      <c r="P23" s="42">
        <f t="shared" ref="P23:AA23" si="21">SUM(P6:P22)</f>
        <v>290</v>
      </c>
      <c r="Q23" s="43">
        <f t="shared" si="21"/>
        <v>118</v>
      </c>
      <c r="R23" s="23">
        <f t="shared" si="21"/>
        <v>14</v>
      </c>
      <c r="S23" s="24">
        <f t="shared" si="21"/>
        <v>68</v>
      </c>
      <c r="T23" s="24">
        <f t="shared" si="21"/>
        <v>0</v>
      </c>
      <c r="U23" s="24">
        <f t="shared" si="21"/>
        <v>0</v>
      </c>
      <c r="V23" s="25">
        <f t="shared" si="21"/>
        <v>12</v>
      </c>
      <c r="W23" s="26">
        <f t="shared" si="21"/>
        <v>24</v>
      </c>
      <c r="X23" s="27">
        <f t="shared" si="21"/>
        <v>0</v>
      </c>
      <c r="Y23" s="27">
        <f t="shared" si="21"/>
        <v>0</v>
      </c>
      <c r="Z23" s="27">
        <f t="shared" si="21"/>
        <v>0</v>
      </c>
      <c r="AA23" s="27">
        <f t="shared" si="21"/>
        <v>0</v>
      </c>
      <c r="AB23" s="28">
        <f>AVERAGE(AB6:AB22)</f>
        <v>0.94117647058823528</v>
      </c>
      <c r="AC23" s="4">
        <f>AVERAGE(AC6:AC22)</f>
        <v>0.71078431372549022</v>
      </c>
      <c r="AD23" s="4">
        <f>AVERAGE(AD6:AD22)</f>
        <v>0.71078431372549022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8" t="s">
        <v>45</v>
      </c>
      <c r="B50" s="548"/>
      <c r="C50" s="548"/>
      <c r="D50" s="548"/>
      <c r="E50" s="5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9" t="s">
        <v>470</v>
      </c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1"/>
      <c r="N51" s="552" t="s">
        <v>474</v>
      </c>
      <c r="O51" s="553"/>
      <c r="P51" s="553"/>
      <c r="Q51" s="553"/>
      <c r="R51" s="553"/>
      <c r="S51" s="553"/>
      <c r="T51" s="553"/>
      <c r="U51" s="553"/>
      <c r="V51" s="553"/>
      <c r="W51" s="553"/>
      <c r="X51" s="553"/>
      <c r="Y51" s="553"/>
      <c r="Z51" s="553"/>
      <c r="AA51" s="553"/>
      <c r="AB51" s="553"/>
      <c r="AC51" s="553"/>
      <c r="AD51" s="554"/>
    </row>
    <row r="52" spans="1:32" ht="27" customHeight="1">
      <c r="A52" s="555" t="s">
        <v>2</v>
      </c>
      <c r="B52" s="556"/>
      <c r="C52" s="335" t="s">
        <v>46</v>
      </c>
      <c r="D52" s="335" t="s">
        <v>47</v>
      </c>
      <c r="E52" s="335" t="s">
        <v>107</v>
      </c>
      <c r="F52" s="557" t="s">
        <v>106</v>
      </c>
      <c r="G52" s="558"/>
      <c r="H52" s="558"/>
      <c r="I52" s="558"/>
      <c r="J52" s="558"/>
      <c r="K52" s="558"/>
      <c r="L52" s="558"/>
      <c r="M52" s="559"/>
      <c r="N52" s="67" t="s">
        <v>110</v>
      </c>
      <c r="O52" s="335" t="s">
        <v>46</v>
      </c>
      <c r="P52" s="557" t="s">
        <v>47</v>
      </c>
      <c r="Q52" s="560"/>
      <c r="R52" s="557" t="s">
        <v>38</v>
      </c>
      <c r="S52" s="558"/>
      <c r="T52" s="558"/>
      <c r="U52" s="560"/>
      <c r="V52" s="557" t="s">
        <v>48</v>
      </c>
      <c r="W52" s="558"/>
      <c r="X52" s="558"/>
      <c r="Y52" s="558"/>
      <c r="Z52" s="558"/>
      <c r="AA52" s="558"/>
      <c r="AB52" s="558"/>
      <c r="AC52" s="558"/>
      <c r="AD52" s="559"/>
    </row>
    <row r="53" spans="1:32" ht="27" customHeight="1">
      <c r="A53" s="526" t="s">
        <v>120</v>
      </c>
      <c r="B53" s="527"/>
      <c r="C53" s="332" t="s">
        <v>137</v>
      </c>
      <c r="D53" s="332" t="s">
        <v>165</v>
      </c>
      <c r="E53" s="332" t="s">
        <v>429</v>
      </c>
      <c r="F53" s="528" t="s">
        <v>471</v>
      </c>
      <c r="G53" s="529"/>
      <c r="H53" s="529"/>
      <c r="I53" s="529"/>
      <c r="J53" s="529"/>
      <c r="K53" s="529"/>
      <c r="L53" s="529"/>
      <c r="M53" s="530"/>
      <c r="N53" s="331" t="s">
        <v>112</v>
      </c>
      <c r="O53" s="329" t="s">
        <v>239</v>
      </c>
      <c r="P53" s="540" t="s">
        <v>115</v>
      </c>
      <c r="Q53" s="541"/>
      <c r="R53" s="540" t="s">
        <v>475</v>
      </c>
      <c r="S53" s="542"/>
      <c r="T53" s="542"/>
      <c r="U53" s="541"/>
      <c r="V53" s="510" t="s">
        <v>118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121</v>
      </c>
      <c r="B54" s="527"/>
      <c r="C54" s="332" t="s">
        <v>179</v>
      </c>
      <c r="D54" s="332" t="s">
        <v>115</v>
      </c>
      <c r="E54" s="332" t="s">
        <v>263</v>
      </c>
      <c r="F54" s="528" t="s">
        <v>472</v>
      </c>
      <c r="G54" s="529"/>
      <c r="H54" s="529"/>
      <c r="I54" s="529"/>
      <c r="J54" s="529"/>
      <c r="K54" s="529"/>
      <c r="L54" s="529"/>
      <c r="M54" s="530"/>
      <c r="N54" s="331" t="s">
        <v>120</v>
      </c>
      <c r="O54" s="329" t="s">
        <v>239</v>
      </c>
      <c r="P54" s="540" t="s">
        <v>131</v>
      </c>
      <c r="Q54" s="541"/>
      <c r="R54" s="540" t="s">
        <v>476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121</v>
      </c>
      <c r="B55" s="527"/>
      <c r="C55" s="332" t="s">
        <v>179</v>
      </c>
      <c r="D55" s="332" t="s">
        <v>115</v>
      </c>
      <c r="E55" s="332" t="s">
        <v>351</v>
      </c>
      <c r="F55" s="528" t="s">
        <v>177</v>
      </c>
      <c r="G55" s="529"/>
      <c r="H55" s="529"/>
      <c r="I55" s="529"/>
      <c r="J55" s="529"/>
      <c r="K55" s="529"/>
      <c r="L55" s="529"/>
      <c r="M55" s="530"/>
      <c r="N55" s="331" t="s">
        <v>112</v>
      </c>
      <c r="O55" s="329" t="s">
        <v>194</v>
      </c>
      <c r="P55" s="540" t="s">
        <v>115</v>
      </c>
      <c r="Q55" s="541"/>
      <c r="R55" s="540" t="s">
        <v>324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123</v>
      </c>
      <c r="B56" s="527"/>
      <c r="C56" s="332" t="s">
        <v>180</v>
      </c>
      <c r="D56" s="332"/>
      <c r="E56" s="332" t="s">
        <v>388</v>
      </c>
      <c r="F56" s="528" t="s">
        <v>473</v>
      </c>
      <c r="G56" s="529"/>
      <c r="H56" s="529"/>
      <c r="I56" s="529"/>
      <c r="J56" s="529"/>
      <c r="K56" s="529"/>
      <c r="L56" s="529"/>
      <c r="M56" s="530"/>
      <c r="N56" s="331" t="s">
        <v>120</v>
      </c>
      <c r="O56" s="329" t="s">
        <v>194</v>
      </c>
      <c r="P56" s="540" t="s">
        <v>196</v>
      </c>
      <c r="Q56" s="541"/>
      <c r="R56" s="540" t="s">
        <v>477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332" t="s">
        <v>223</v>
      </c>
      <c r="D57" s="332" t="s">
        <v>115</v>
      </c>
      <c r="E57" s="332" t="s">
        <v>469</v>
      </c>
      <c r="F57" s="528" t="s">
        <v>269</v>
      </c>
      <c r="G57" s="529"/>
      <c r="H57" s="529"/>
      <c r="I57" s="529"/>
      <c r="J57" s="529"/>
      <c r="K57" s="529"/>
      <c r="L57" s="529"/>
      <c r="M57" s="530"/>
      <c r="N57" s="331"/>
      <c r="O57" s="329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332"/>
      <c r="D58" s="332"/>
      <c r="E58" s="332"/>
      <c r="F58" s="528"/>
      <c r="G58" s="529"/>
      <c r="H58" s="529"/>
      <c r="I58" s="529"/>
      <c r="J58" s="529"/>
      <c r="K58" s="529"/>
      <c r="L58" s="529"/>
      <c r="M58" s="530"/>
      <c r="N58" s="331"/>
      <c r="O58" s="329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332"/>
      <c r="D59" s="332"/>
      <c r="E59" s="332"/>
      <c r="F59" s="528"/>
      <c r="G59" s="529"/>
      <c r="H59" s="529"/>
      <c r="I59" s="529"/>
      <c r="J59" s="529"/>
      <c r="K59" s="529"/>
      <c r="L59" s="529"/>
      <c r="M59" s="530"/>
      <c r="N59" s="331"/>
      <c r="O59" s="329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332"/>
      <c r="D60" s="332"/>
      <c r="E60" s="332"/>
      <c r="F60" s="528"/>
      <c r="G60" s="529"/>
      <c r="H60" s="529"/>
      <c r="I60" s="529"/>
      <c r="J60" s="529"/>
      <c r="K60" s="529"/>
      <c r="L60" s="529"/>
      <c r="M60" s="530"/>
      <c r="N60" s="331"/>
      <c r="O60" s="329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332"/>
      <c r="D61" s="332"/>
      <c r="E61" s="332"/>
      <c r="F61" s="528"/>
      <c r="G61" s="529"/>
      <c r="H61" s="529"/>
      <c r="I61" s="529"/>
      <c r="J61" s="529"/>
      <c r="K61" s="529"/>
      <c r="L61" s="529"/>
      <c r="M61" s="530"/>
      <c r="N61" s="331"/>
      <c r="O61" s="329"/>
      <c r="P61" s="527"/>
      <c r="Q61" s="527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  <c r="AF61" s="84">
        <f>8*3000</f>
        <v>24000</v>
      </c>
    </row>
    <row r="62" spans="1:32" ht="27" customHeight="1" thickBot="1">
      <c r="A62" s="532"/>
      <c r="B62" s="533"/>
      <c r="C62" s="333"/>
      <c r="D62" s="334"/>
      <c r="E62" s="334"/>
      <c r="F62" s="534"/>
      <c r="G62" s="535"/>
      <c r="H62" s="535"/>
      <c r="I62" s="535"/>
      <c r="J62" s="535"/>
      <c r="K62" s="535"/>
      <c r="L62" s="535"/>
      <c r="M62" s="536"/>
      <c r="N62" s="112"/>
      <c r="O62" s="103"/>
      <c r="P62" s="537"/>
      <c r="Q62" s="537"/>
      <c r="R62" s="537"/>
      <c r="S62" s="537"/>
      <c r="T62" s="537"/>
      <c r="U62" s="537"/>
      <c r="V62" s="538"/>
      <c r="W62" s="538"/>
      <c r="X62" s="538"/>
      <c r="Y62" s="538"/>
      <c r="Z62" s="538"/>
      <c r="AA62" s="538"/>
      <c r="AB62" s="538"/>
      <c r="AC62" s="538"/>
      <c r="AD62" s="539"/>
      <c r="AF62" s="84">
        <f>16*3000</f>
        <v>48000</v>
      </c>
    </row>
    <row r="63" spans="1:32" ht="27.75" thickBot="1">
      <c r="A63" s="524" t="s">
        <v>478</v>
      </c>
      <c r="B63" s="524"/>
      <c r="C63" s="524"/>
      <c r="D63" s="524"/>
      <c r="E63" s="52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25" t="s">
        <v>111</v>
      </c>
      <c r="B64" s="520"/>
      <c r="C64" s="330" t="s">
        <v>2</v>
      </c>
      <c r="D64" s="330" t="s">
        <v>37</v>
      </c>
      <c r="E64" s="330" t="s">
        <v>3</v>
      </c>
      <c r="F64" s="520" t="s">
        <v>109</v>
      </c>
      <c r="G64" s="520"/>
      <c r="H64" s="520"/>
      <c r="I64" s="520"/>
      <c r="J64" s="520"/>
      <c r="K64" s="520" t="s">
        <v>39</v>
      </c>
      <c r="L64" s="520"/>
      <c r="M64" s="330" t="s">
        <v>40</v>
      </c>
      <c r="N64" s="520" t="s">
        <v>41</v>
      </c>
      <c r="O64" s="520"/>
      <c r="P64" s="517" t="s">
        <v>42</v>
      </c>
      <c r="Q64" s="519"/>
      <c r="R64" s="517" t="s">
        <v>43</v>
      </c>
      <c r="S64" s="518"/>
      <c r="T64" s="518"/>
      <c r="U64" s="518"/>
      <c r="V64" s="518"/>
      <c r="W64" s="518"/>
      <c r="X64" s="518"/>
      <c r="Y64" s="518"/>
      <c r="Z64" s="518"/>
      <c r="AA64" s="519"/>
      <c r="AB64" s="520" t="s">
        <v>44</v>
      </c>
      <c r="AC64" s="520"/>
      <c r="AD64" s="521"/>
      <c r="AF64" s="84">
        <f>SUM(AF61:AF63)</f>
        <v>96000</v>
      </c>
    </row>
    <row r="65" spans="1:32" ht="25.5" customHeight="1">
      <c r="A65" s="503">
        <v>1</v>
      </c>
      <c r="B65" s="504"/>
      <c r="C65" s="105" t="s">
        <v>120</v>
      </c>
      <c r="D65" s="325"/>
      <c r="E65" s="328" t="s">
        <v>165</v>
      </c>
      <c r="F65" s="513" t="s">
        <v>166</v>
      </c>
      <c r="G65" s="514"/>
      <c r="H65" s="514"/>
      <c r="I65" s="514"/>
      <c r="J65" s="515"/>
      <c r="K65" s="497" t="s">
        <v>132</v>
      </c>
      <c r="L65" s="497"/>
      <c r="M65" s="51" t="s">
        <v>200</v>
      </c>
      <c r="N65" s="511" t="s">
        <v>180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516"/>
      <c r="AC65" s="522"/>
      <c r="AD65" s="523"/>
      <c r="AF65" s="50"/>
    </row>
    <row r="66" spans="1:32" ht="25.5" customHeight="1">
      <c r="A66" s="503">
        <v>2</v>
      </c>
      <c r="B66" s="504"/>
      <c r="C66" s="105"/>
      <c r="D66" s="325"/>
      <c r="E66" s="328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3</v>
      </c>
      <c r="B67" s="504"/>
      <c r="C67" s="105"/>
      <c r="D67" s="325"/>
      <c r="E67" s="328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4</v>
      </c>
      <c r="B68" s="504"/>
      <c r="C68" s="105"/>
      <c r="D68" s="325"/>
      <c r="E68" s="328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5</v>
      </c>
      <c r="B69" s="504"/>
      <c r="C69" s="105"/>
      <c r="D69" s="325"/>
      <c r="E69" s="328"/>
      <c r="F69" s="513"/>
      <c r="G69" s="514"/>
      <c r="H69" s="514"/>
      <c r="I69" s="514"/>
      <c r="J69" s="515"/>
      <c r="K69" s="516"/>
      <c r="L69" s="504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6</v>
      </c>
      <c r="B70" s="504"/>
      <c r="C70" s="105"/>
      <c r="D70" s="325"/>
      <c r="E70" s="328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7</v>
      </c>
      <c r="B71" s="504"/>
      <c r="C71" s="105"/>
      <c r="D71" s="325"/>
      <c r="E71" s="328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8</v>
      </c>
      <c r="B72" s="504"/>
      <c r="C72" s="105"/>
      <c r="D72" s="325"/>
      <c r="E72" s="328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9</v>
      </c>
      <c r="B73" s="504"/>
      <c r="C73" s="105"/>
      <c r="D73" s="325"/>
      <c r="E73" s="328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10</v>
      </c>
      <c r="B74" s="504"/>
      <c r="C74" s="105"/>
      <c r="D74" s="325"/>
      <c r="E74" s="328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6.25" customHeight="1" thickBot="1">
      <c r="A75" s="477" t="s">
        <v>479</v>
      </c>
      <c r="B75" s="477"/>
      <c r="C75" s="477"/>
      <c r="D75" s="477"/>
      <c r="E75" s="47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8" t="s">
        <v>111</v>
      </c>
      <c r="B76" s="479"/>
      <c r="C76" s="327" t="s">
        <v>2</v>
      </c>
      <c r="D76" s="327" t="s">
        <v>37</v>
      </c>
      <c r="E76" s="327" t="s">
        <v>3</v>
      </c>
      <c r="F76" s="479" t="s">
        <v>38</v>
      </c>
      <c r="G76" s="479"/>
      <c r="H76" s="479"/>
      <c r="I76" s="479"/>
      <c r="J76" s="479"/>
      <c r="K76" s="499" t="s">
        <v>58</v>
      </c>
      <c r="L76" s="500"/>
      <c r="M76" s="500"/>
      <c r="N76" s="500"/>
      <c r="O76" s="500"/>
      <c r="P76" s="500"/>
      <c r="Q76" s="500"/>
      <c r="R76" s="500"/>
      <c r="S76" s="501"/>
      <c r="T76" s="479" t="s">
        <v>49</v>
      </c>
      <c r="U76" s="479"/>
      <c r="V76" s="499" t="s">
        <v>50</v>
      </c>
      <c r="W76" s="501"/>
      <c r="X76" s="500" t="s">
        <v>51</v>
      </c>
      <c r="Y76" s="500"/>
      <c r="Z76" s="500"/>
      <c r="AA76" s="500"/>
      <c r="AB76" s="500"/>
      <c r="AC76" s="500"/>
      <c r="AD76" s="502"/>
      <c r="AF76" s="50"/>
    </row>
    <row r="77" spans="1:32" ht="33.75" customHeight="1">
      <c r="A77" s="471">
        <v>1</v>
      </c>
      <c r="B77" s="472"/>
      <c r="C77" s="326" t="s">
        <v>112</v>
      </c>
      <c r="D77" s="326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64">
        <f>A77+1</f>
        <v>2</v>
      </c>
      <c r="B78" s="465"/>
      <c r="C78" s="325"/>
      <c r="D78" s="325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ref="A79:A83" si="22">A78+1</f>
        <v>3</v>
      </c>
      <c r="B79" s="465"/>
      <c r="C79" s="325"/>
      <c r="D79" s="325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22"/>
        <v>4</v>
      </c>
      <c r="B80" s="465"/>
      <c r="C80" s="325"/>
      <c r="D80" s="325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2"/>
        <v>5</v>
      </c>
      <c r="B81" s="465"/>
      <c r="C81" s="325"/>
      <c r="D81" s="325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2"/>
        <v>6</v>
      </c>
      <c r="B82" s="465"/>
      <c r="C82" s="325"/>
      <c r="D82" s="325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2"/>
        <v>7</v>
      </c>
      <c r="B83" s="465"/>
      <c r="C83" s="325"/>
      <c r="D83" s="325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7" t="s">
        <v>480</v>
      </c>
      <c r="B84" s="477"/>
      <c r="C84" s="477"/>
      <c r="D84" s="477"/>
      <c r="E84" s="47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8" t="s">
        <v>111</v>
      </c>
      <c r="B85" s="479"/>
      <c r="C85" s="469" t="s">
        <v>52</v>
      </c>
      <c r="D85" s="469"/>
      <c r="E85" s="469" t="s">
        <v>53</v>
      </c>
      <c r="F85" s="469"/>
      <c r="G85" s="469"/>
      <c r="H85" s="469"/>
      <c r="I85" s="469"/>
      <c r="J85" s="469"/>
      <c r="K85" s="469" t="s">
        <v>54</v>
      </c>
      <c r="L85" s="469"/>
      <c r="M85" s="469"/>
      <c r="N85" s="469"/>
      <c r="O85" s="469"/>
      <c r="P85" s="469"/>
      <c r="Q85" s="469"/>
      <c r="R85" s="469"/>
      <c r="S85" s="469"/>
      <c r="T85" s="469" t="s">
        <v>55</v>
      </c>
      <c r="U85" s="469"/>
      <c r="V85" s="469" t="s">
        <v>56</v>
      </c>
      <c r="W85" s="469"/>
      <c r="X85" s="469"/>
      <c r="Y85" s="469" t="s">
        <v>51</v>
      </c>
      <c r="Z85" s="469"/>
      <c r="AA85" s="469"/>
      <c r="AB85" s="469"/>
      <c r="AC85" s="469"/>
      <c r="AD85" s="470"/>
      <c r="AF85" s="50"/>
    </row>
    <row r="86" spans="1:32" ht="30.75" customHeight="1">
      <c r="A86" s="471">
        <v>1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4"/>
      <c r="W86" s="474"/>
      <c r="X86" s="474"/>
      <c r="Y86" s="475"/>
      <c r="Z86" s="475"/>
      <c r="AA86" s="475"/>
      <c r="AB86" s="475"/>
      <c r="AC86" s="475"/>
      <c r="AD86" s="476"/>
      <c r="AF86" s="50"/>
    </row>
    <row r="87" spans="1:32" ht="30.75" customHeight="1">
      <c r="A87" s="464">
        <v>2</v>
      </c>
      <c r="B87" s="465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7"/>
      <c r="U87" s="467"/>
      <c r="V87" s="468"/>
      <c r="W87" s="468"/>
      <c r="X87" s="468"/>
      <c r="Y87" s="457"/>
      <c r="Z87" s="457"/>
      <c r="AA87" s="457"/>
      <c r="AB87" s="457"/>
      <c r="AC87" s="457"/>
      <c r="AD87" s="458"/>
      <c r="AF87" s="50"/>
    </row>
    <row r="88" spans="1:32" ht="30.75" customHeight="1" thickBot="1">
      <c r="A88" s="459">
        <v>3</v>
      </c>
      <c r="B88" s="460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2"/>
      <c r="Z88" s="462"/>
      <c r="AA88" s="462"/>
      <c r="AB88" s="462"/>
      <c r="AC88" s="462"/>
      <c r="AD88" s="463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B0CB-6198-4642-BF06-B2AE2BE45BDA}">
  <dimension ref="A1:AF90"/>
  <sheetViews>
    <sheetView zoomScale="72" zoomScaleNormal="72" zoomScaleSheetLayoutView="70" workbookViewId="0">
      <selection activeCell="L19" sqref="L1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481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37" t="s">
        <v>17</v>
      </c>
      <c r="L5" s="337" t="s">
        <v>18</v>
      </c>
      <c r="M5" s="337" t="s">
        <v>19</v>
      </c>
      <c r="N5" s="3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6548</v>
      </c>
      <c r="K6" s="15">
        <f>L6+5567+6177+5956+2594+5676+6103+6040+4713+6089+5522+2602+5766+6012+6125+6041+6061</f>
        <v>93592</v>
      </c>
      <c r="L6" s="15">
        <f>3290+386+2872</f>
        <v>6548</v>
      </c>
      <c r="M6" s="15">
        <f t="shared" ref="M6:M24" si="0">L6-N6</f>
        <v>6548</v>
      </c>
      <c r="N6" s="15">
        <v>0</v>
      </c>
      <c r="O6" s="58">
        <f t="shared" ref="O6:O25" si="1">IF(L6=0,"0",N6/L6)</f>
        <v>0</v>
      </c>
      <c r="P6" s="39">
        <f t="shared" ref="P6:P24" si="2">IF(L6=0,"0",(24-Q6))</f>
        <v>24</v>
      </c>
      <c r="Q6" s="40">
        <f t="shared" ref="Q6:Q24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4" si="4">IF(J6=0,"0",(L6/J6))</f>
        <v>1</v>
      </c>
      <c r="AC6" s="9">
        <f t="shared" ref="AC6:AC24" si="5">IF(P6=0,"0",(P6/24))</f>
        <v>1</v>
      </c>
      <c r="AD6" s="10">
        <f t="shared" ref="AD6:AD24" si="6">AC6*AB6*(1-O6)</f>
        <v>1</v>
      </c>
      <c r="AE6" s="36">
        <f t="shared" ref="AE6:AE24" si="7">$AD$25</f>
        <v>0.56140350877192979</v>
      </c>
      <c r="AF6" s="84">
        <f t="shared" ref="AF6:AF24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</f>
        <v>7285</v>
      </c>
      <c r="L7" s="15">
        <f>2500+991</f>
        <v>3491</v>
      </c>
      <c r="M7" s="15">
        <f t="shared" si="0"/>
        <v>3491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>
        <v>8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0.56140350877192979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5700</v>
      </c>
      <c r="K8" s="15">
        <f>L8+1658+3024+3826+5621+5758+5746+5871+5666+2439+5254+5051+3104+4798+5662+2420+5454+5616+4719+3224+5620</f>
        <v>96231</v>
      </c>
      <c r="L8" s="15">
        <f>3033+2667</f>
        <v>5700</v>
      </c>
      <c r="M8" s="15">
        <f t="shared" si="0"/>
        <v>5700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0.56140350877192979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128</v>
      </c>
      <c r="E9" s="53" t="s">
        <v>402</v>
      </c>
      <c r="F9" s="30" t="s">
        <v>211</v>
      </c>
      <c r="G9" s="33">
        <v>4</v>
      </c>
      <c r="H9" s="35">
        <v>24</v>
      </c>
      <c r="I9" s="7">
        <v>105000</v>
      </c>
      <c r="J9" s="14">
        <v>7560</v>
      </c>
      <c r="K9" s="15">
        <f>L9+4608+18492+19820+20264+20040+20060</f>
        <v>110844</v>
      </c>
      <c r="L9" s="15">
        <f>1890*4</f>
        <v>7560</v>
      </c>
      <c r="M9" s="15">
        <f t="shared" si="0"/>
        <v>7560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/>
      <c r="T9" s="16"/>
      <c r="U9" s="16"/>
      <c r="V9" s="17"/>
      <c r="W9" s="5">
        <v>18</v>
      </c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0.56140350877192979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482</v>
      </c>
      <c r="D10" s="52"/>
      <c r="E10" s="53" t="s">
        <v>483</v>
      </c>
      <c r="F10" s="30" t="s">
        <v>211</v>
      </c>
      <c r="G10" s="33">
        <v>1</v>
      </c>
      <c r="H10" s="35">
        <v>24</v>
      </c>
      <c r="I10" s="7">
        <v>1000</v>
      </c>
      <c r="J10" s="14">
        <v>1830</v>
      </c>
      <c r="K10" s="15">
        <f>L10</f>
        <v>1830</v>
      </c>
      <c r="L10" s="15">
        <v>1830</v>
      </c>
      <c r="M10" s="15">
        <f t="shared" ref="M10" si="9">L10-N10</f>
        <v>1830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10</v>
      </c>
      <c r="Q10" s="40">
        <f t="shared" ref="Q10" si="12">SUM(R10:AA10)</f>
        <v>14</v>
      </c>
      <c r="R10" s="7"/>
      <c r="S10" s="6"/>
      <c r="T10" s="16">
        <v>8</v>
      </c>
      <c r="U10" s="16"/>
      <c r="V10" s="17">
        <v>6</v>
      </c>
      <c r="W10" s="5"/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0.41666666666666669</v>
      </c>
      <c r="AD10" s="10">
        <f t="shared" ref="AD10" si="15">AC10*AB10*(1-O10)</f>
        <v>0.41666666666666669</v>
      </c>
      <c r="AE10" s="36">
        <f t="shared" si="7"/>
        <v>0.56140350877192979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34" t="s">
        <v>121</v>
      </c>
      <c r="D11" s="52" t="s">
        <v>127</v>
      </c>
      <c r="E11" s="53" t="s">
        <v>484</v>
      </c>
      <c r="F11" s="30" t="s">
        <v>210</v>
      </c>
      <c r="G11" s="33">
        <v>2</v>
      </c>
      <c r="H11" s="35">
        <v>24</v>
      </c>
      <c r="I11" s="7">
        <v>2000</v>
      </c>
      <c r="J11" s="5">
        <v>4852</v>
      </c>
      <c r="K11" s="15">
        <f>L11</f>
        <v>4852</v>
      </c>
      <c r="L11" s="15">
        <f>2426*2</f>
        <v>4852</v>
      </c>
      <c r="M11" s="15">
        <f t="shared" si="0"/>
        <v>4852</v>
      </c>
      <c r="N11" s="15">
        <v>0</v>
      </c>
      <c r="O11" s="58">
        <f t="shared" si="1"/>
        <v>0</v>
      </c>
      <c r="P11" s="39">
        <f t="shared" si="2"/>
        <v>13</v>
      </c>
      <c r="Q11" s="40">
        <f t="shared" si="3"/>
        <v>11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11</v>
      </c>
      <c r="AB11" s="8">
        <f t="shared" si="4"/>
        <v>1</v>
      </c>
      <c r="AC11" s="9">
        <f t="shared" si="5"/>
        <v>0.54166666666666663</v>
      </c>
      <c r="AD11" s="10">
        <f>AC11*AB11*(1-O11)</f>
        <v>0.54166666666666663</v>
      </c>
      <c r="AE11" s="36">
        <f t="shared" si="7"/>
        <v>0.56140350877192979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34" t="s">
        <v>112</v>
      </c>
      <c r="D12" s="52" t="s">
        <v>257</v>
      </c>
      <c r="E12" s="53" t="s">
        <v>258</v>
      </c>
      <c r="F12" s="30" t="s">
        <v>124</v>
      </c>
      <c r="G12" s="33">
        <v>1</v>
      </c>
      <c r="H12" s="35">
        <v>24</v>
      </c>
      <c r="I12" s="7">
        <v>64000</v>
      </c>
      <c r="J12" s="5">
        <v>5131</v>
      </c>
      <c r="K12" s="15">
        <f>L12+4668+4429+5671+2067+5444+3967+5843+5907+3309+3086+364+5637+5791+5944+2759+4461</f>
        <v>74478</v>
      </c>
      <c r="L12" s="15">
        <f>3159+1972</f>
        <v>5131</v>
      </c>
      <c r="M12" s="15">
        <f t="shared" si="0"/>
        <v>5131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>AC12*AB12*(1-O12)</f>
        <v>1</v>
      </c>
      <c r="AE12" s="36">
        <f t="shared" si="7"/>
        <v>0.56140350877192979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112</v>
      </c>
      <c r="D13" s="52" t="s">
        <v>115</v>
      </c>
      <c r="E13" s="53" t="s">
        <v>475</v>
      </c>
      <c r="F13" s="30" t="s">
        <v>212</v>
      </c>
      <c r="G13" s="33">
        <v>1</v>
      </c>
      <c r="H13" s="35">
        <v>24</v>
      </c>
      <c r="I13" s="7">
        <v>200</v>
      </c>
      <c r="J13" s="14">
        <v>341</v>
      </c>
      <c r="K13" s="15">
        <f>L13</f>
        <v>341</v>
      </c>
      <c r="L13" s="15">
        <v>341</v>
      </c>
      <c r="M13" s="15">
        <f t="shared" si="0"/>
        <v>341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ref="AD13:AD16" si="17">AC13*AB13*(1-O13)</f>
        <v>0.16666666666666666</v>
      </c>
      <c r="AE13" s="36">
        <f t="shared" si="7"/>
        <v>0.56140350877192979</v>
      </c>
      <c r="AF13" s="84">
        <f t="shared" si="8"/>
        <v>7</v>
      </c>
    </row>
    <row r="14" spans="1:32" ht="27" customHeight="1">
      <c r="A14" s="96">
        <v>7</v>
      </c>
      <c r="B14" s="11" t="s">
        <v>57</v>
      </c>
      <c r="C14" s="11" t="s">
        <v>120</v>
      </c>
      <c r="D14" s="52" t="s">
        <v>131</v>
      </c>
      <c r="E14" s="53" t="s">
        <v>476</v>
      </c>
      <c r="F14" s="30" t="s">
        <v>210</v>
      </c>
      <c r="G14" s="33">
        <v>1</v>
      </c>
      <c r="H14" s="35">
        <v>24</v>
      </c>
      <c r="I14" s="7">
        <v>6000</v>
      </c>
      <c r="J14" s="14">
        <v>2754</v>
      </c>
      <c r="K14" s="15">
        <f>L14</f>
        <v>2754</v>
      </c>
      <c r="L14" s="15">
        <v>2754</v>
      </c>
      <c r="M14" s="15">
        <f t="shared" ref="M14" si="18">L14-N14</f>
        <v>2754</v>
      </c>
      <c r="N14" s="15">
        <v>0</v>
      </c>
      <c r="O14" s="58">
        <f t="shared" ref="O14" si="19">IF(L14=0,"0",N14/L14)</f>
        <v>0</v>
      </c>
      <c r="P14" s="39">
        <f t="shared" ref="P14" si="20">IF(L14=0,"0",(24-Q14))</f>
        <v>16</v>
      </c>
      <c r="Q14" s="40">
        <f t="shared" ref="Q14" si="21">SUM(R14:AA14)</f>
        <v>8</v>
      </c>
      <c r="R14" s="7"/>
      <c r="S14" s="6"/>
      <c r="T14" s="16">
        <v>8</v>
      </c>
      <c r="U14" s="16"/>
      <c r="V14" s="17"/>
      <c r="W14" s="5"/>
      <c r="X14" s="16"/>
      <c r="Y14" s="16"/>
      <c r="Z14" s="16"/>
      <c r="AA14" s="18"/>
      <c r="AB14" s="8">
        <f t="shared" ref="AB14" si="22">IF(J14=0,"0",(L14/J14))</f>
        <v>1</v>
      </c>
      <c r="AC14" s="9">
        <f t="shared" ref="AC14" si="23">IF(P14=0,"0",(P14/24))</f>
        <v>0.66666666666666663</v>
      </c>
      <c r="AD14" s="10">
        <f t="shared" ref="AD14" si="24">AC14*AB14*(1-O14)</f>
        <v>0.66666666666666663</v>
      </c>
      <c r="AE14" s="36">
        <f t="shared" si="7"/>
        <v>0.56140350877192979</v>
      </c>
      <c r="AF14" s="84">
        <f t="shared" ref="AF14" si="25">A14</f>
        <v>7</v>
      </c>
    </row>
    <row r="15" spans="1:32" ht="27" customHeight="1">
      <c r="A15" s="96">
        <v>8</v>
      </c>
      <c r="B15" s="11" t="s">
        <v>57</v>
      </c>
      <c r="C15" s="11" t="s">
        <v>121</v>
      </c>
      <c r="D15" s="52" t="s">
        <v>115</v>
      </c>
      <c r="E15" s="53" t="s">
        <v>351</v>
      </c>
      <c r="F15" s="30" t="s">
        <v>146</v>
      </c>
      <c r="G15" s="33">
        <v>4</v>
      </c>
      <c r="H15" s="35">
        <v>24</v>
      </c>
      <c r="I15" s="7">
        <v>105000</v>
      </c>
      <c r="J15" s="14">
        <v>19993</v>
      </c>
      <c r="K15" s="15">
        <f>L15+11384+20364+9004+14763+16062+8880</f>
        <v>100450</v>
      </c>
      <c r="L15" s="15">
        <f>3059*3+2704*4</f>
        <v>19993</v>
      </c>
      <c r="M15" s="15">
        <f t="shared" si="0"/>
        <v>19993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17"/>
        <v>1</v>
      </c>
      <c r="AE15" s="36">
        <f t="shared" si="7"/>
        <v>0.56140350877192979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383</v>
      </c>
      <c r="F16" s="30" t="s">
        <v>211</v>
      </c>
      <c r="G16" s="33">
        <v>1</v>
      </c>
      <c r="H16" s="35">
        <v>24</v>
      </c>
      <c r="I16" s="7">
        <v>300</v>
      </c>
      <c r="J16" s="5">
        <v>350</v>
      </c>
      <c r="K16" s="15">
        <f>L16+350</f>
        <v>350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7"/>
        <v>0</v>
      </c>
      <c r="AE16" s="36">
        <f t="shared" si="7"/>
        <v>0.56140350877192979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123</v>
      </c>
      <c r="D17" s="52" t="s">
        <v>165</v>
      </c>
      <c r="E17" s="53" t="s">
        <v>388</v>
      </c>
      <c r="F17" s="12" t="s">
        <v>247</v>
      </c>
      <c r="G17" s="12">
        <v>1</v>
      </c>
      <c r="H17" s="13">
        <v>24</v>
      </c>
      <c r="I17" s="31">
        <v>1000</v>
      </c>
      <c r="J17" s="14">
        <v>870</v>
      </c>
      <c r="K17" s="15">
        <f>L17+870</f>
        <v>870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0.56140350877192979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121</v>
      </c>
      <c r="D18" s="52" t="s">
        <v>131</v>
      </c>
      <c r="E18" s="53" t="s">
        <v>368</v>
      </c>
      <c r="F18" s="30" t="s">
        <v>210</v>
      </c>
      <c r="G18" s="12">
        <v>4</v>
      </c>
      <c r="H18" s="13">
        <v>28</v>
      </c>
      <c r="I18" s="7">
        <f>105000-16000</f>
        <v>89000</v>
      </c>
      <c r="J18" s="14">
        <v>9596</v>
      </c>
      <c r="K18" s="15">
        <f>L18+13804+13644+15168+9596</f>
        <v>52212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0.56140350877192979</v>
      </c>
      <c r="AF18" s="84">
        <f t="shared" si="8"/>
        <v>11</v>
      </c>
    </row>
    <row r="19" spans="1:32" ht="27" customHeight="1">
      <c r="A19" s="95">
        <v>12</v>
      </c>
      <c r="B19" s="11" t="s">
        <v>57</v>
      </c>
      <c r="C19" s="34" t="s">
        <v>121</v>
      </c>
      <c r="D19" s="52" t="s">
        <v>131</v>
      </c>
      <c r="E19" s="53" t="s">
        <v>468</v>
      </c>
      <c r="F19" s="30" t="s">
        <v>132</v>
      </c>
      <c r="G19" s="33">
        <v>2</v>
      </c>
      <c r="H19" s="35">
        <v>24</v>
      </c>
      <c r="I19" s="7">
        <v>33000</v>
      </c>
      <c r="J19" s="5">
        <v>11626</v>
      </c>
      <c r="K19" s="15">
        <f>L19+9348</f>
        <v>20974</v>
      </c>
      <c r="L19" s="15">
        <f>3076*2+2737*2</f>
        <v>11626</v>
      </c>
      <c r="M19" s="15">
        <f t="shared" si="0"/>
        <v>11626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0.56140350877192979</v>
      </c>
      <c r="AF19" s="84">
        <f t="shared" si="8"/>
        <v>12</v>
      </c>
    </row>
    <row r="20" spans="1:32" ht="27" customHeight="1">
      <c r="A20" s="113">
        <v>13</v>
      </c>
      <c r="B20" s="11" t="s">
        <v>57</v>
      </c>
      <c r="C20" s="34" t="s">
        <v>120</v>
      </c>
      <c r="D20" s="52" t="s">
        <v>127</v>
      </c>
      <c r="E20" s="53" t="s">
        <v>458</v>
      </c>
      <c r="F20" s="30" t="s">
        <v>210</v>
      </c>
      <c r="G20" s="12">
        <v>2</v>
      </c>
      <c r="H20" s="13">
        <v>28</v>
      </c>
      <c r="I20" s="31">
        <v>44000</v>
      </c>
      <c r="J20" s="5">
        <v>14264</v>
      </c>
      <c r="K20" s="15">
        <f>L20+6198+14056</f>
        <v>34518</v>
      </c>
      <c r="L20" s="15">
        <f>3788*2+3344*2</f>
        <v>14264</v>
      </c>
      <c r="M20" s="15">
        <f t="shared" si="0"/>
        <v>14264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0.56140350877192979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112</v>
      </c>
      <c r="D21" s="52" t="s">
        <v>115</v>
      </c>
      <c r="E21" s="53" t="s">
        <v>324</v>
      </c>
      <c r="F21" s="30" t="s">
        <v>146</v>
      </c>
      <c r="G21" s="33">
        <v>1</v>
      </c>
      <c r="H21" s="35">
        <v>24</v>
      </c>
      <c r="I21" s="7">
        <v>200</v>
      </c>
      <c r="J21" s="5">
        <v>203</v>
      </c>
      <c r="K21" s="15">
        <f>L21</f>
        <v>203</v>
      </c>
      <c r="L21" s="15">
        <v>203</v>
      </c>
      <c r="M21" s="15">
        <f t="shared" ref="M21" si="26">L21-N21</f>
        <v>203</v>
      </c>
      <c r="N21" s="15">
        <v>0</v>
      </c>
      <c r="O21" s="58">
        <f t="shared" ref="O21" si="27">IF(L21=0,"0",N21/L21)</f>
        <v>0</v>
      </c>
      <c r="P21" s="39">
        <f t="shared" ref="P21" si="28">IF(L21=0,"0",(24-Q21))</f>
        <v>4</v>
      </c>
      <c r="Q21" s="40">
        <f t="shared" ref="Q21" si="29">SUM(R21:AA21)</f>
        <v>20</v>
      </c>
      <c r="R21" s="7"/>
      <c r="S21" s="6"/>
      <c r="T21" s="16"/>
      <c r="U21" s="16"/>
      <c r="V21" s="17"/>
      <c r="W21" s="5">
        <v>20</v>
      </c>
      <c r="X21" s="16"/>
      <c r="Y21" s="16"/>
      <c r="Z21" s="16"/>
      <c r="AA21" s="18"/>
      <c r="AB21" s="8">
        <f t="shared" ref="AB21" si="30">IF(J21=0,"0",(L21/J21))</f>
        <v>1</v>
      </c>
      <c r="AC21" s="9">
        <f t="shared" ref="AC21" si="31">IF(P21=0,"0",(P21/24))</f>
        <v>0.16666666666666666</v>
      </c>
      <c r="AD21" s="10">
        <f>AC21*AB21*(1-O21)</f>
        <v>0.16666666666666666</v>
      </c>
      <c r="AE21" s="36">
        <f t="shared" si="7"/>
        <v>0.56140350877192979</v>
      </c>
      <c r="AF21" s="84">
        <f t="shared" ref="AF21" si="32">A21</f>
        <v>14</v>
      </c>
    </row>
    <row r="22" spans="1:32" ht="27" customHeight="1">
      <c r="A22" s="96">
        <v>14</v>
      </c>
      <c r="B22" s="11" t="s">
        <v>57</v>
      </c>
      <c r="C22" s="34" t="s">
        <v>120</v>
      </c>
      <c r="D22" s="52" t="s">
        <v>196</v>
      </c>
      <c r="E22" s="53" t="s">
        <v>376</v>
      </c>
      <c r="F22" s="30" t="s">
        <v>124</v>
      </c>
      <c r="G22" s="33">
        <v>1</v>
      </c>
      <c r="H22" s="35">
        <v>24</v>
      </c>
      <c r="I22" s="7">
        <v>4000</v>
      </c>
      <c r="J22" s="5">
        <v>4305</v>
      </c>
      <c r="K22" s="15">
        <f>L22</f>
        <v>4305</v>
      </c>
      <c r="L22" s="15">
        <f>1247+3058</f>
        <v>4305</v>
      </c>
      <c r="M22" s="15">
        <f t="shared" si="0"/>
        <v>4305</v>
      </c>
      <c r="N22" s="15">
        <v>0</v>
      </c>
      <c r="O22" s="58">
        <f t="shared" si="1"/>
        <v>0</v>
      </c>
      <c r="P22" s="39">
        <f t="shared" si="2"/>
        <v>19</v>
      </c>
      <c r="Q22" s="40">
        <f t="shared" si="3"/>
        <v>5</v>
      </c>
      <c r="R22" s="7"/>
      <c r="S22" s="6"/>
      <c r="T22" s="16">
        <v>5</v>
      </c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0.79166666666666663</v>
      </c>
      <c r="AD22" s="10">
        <f>AC22*AB22*(1-O22)</f>
        <v>0.79166666666666663</v>
      </c>
      <c r="AE22" s="36">
        <f t="shared" si="7"/>
        <v>0.56140350877192979</v>
      </c>
      <c r="AF22" s="84">
        <f t="shared" si="8"/>
        <v>14</v>
      </c>
    </row>
    <row r="23" spans="1:32" ht="27" customHeight="1">
      <c r="A23" s="96">
        <v>15</v>
      </c>
      <c r="B23" s="11" t="s">
        <v>57</v>
      </c>
      <c r="C23" s="11" t="s">
        <v>112</v>
      </c>
      <c r="D23" s="52" t="s">
        <v>115</v>
      </c>
      <c r="E23" s="53" t="s">
        <v>469</v>
      </c>
      <c r="F23" s="30" t="s">
        <v>119</v>
      </c>
      <c r="G23" s="33">
        <v>1</v>
      </c>
      <c r="H23" s="35">
        <v>24</v>
      </c>
      <c r="I23" s="7">
        <v>64000</v>
      </c>
      <c r="J23" s="14">
        <v>5593</v>
      </c>
      <c r="K23" s="15">
        <f>L23+4204+5394+5278+1522+3899+5224+5152+5164+2208+4924+654+3141</f>
        <v>52357</v>
      </c>
      <c r="L23" s="15">
        <f>2632+2961</f>
        <v>5593</v>
      </c>
      <c r="M23" s="15">
        <f t="shared" si="0"/>
        <v>5593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0.56140350877192979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432</v>
      </c>
      <c r="F24" s="12" t="s">
        <v>114</v>
      </c>
      <c r="G24" s="12">
        <v>4</v>
      </c>
      <c r="H24" s="35">
        <v>20</v>
      </c>
      <c r="I24" s="7">
        <v>500000</v>
      </c>
      <c r="J24" s="14">
        <v>39748</v>
      </c>
      <c r="K24" s="15">
        <f>L24+16808+39112+38440+39748</f>
        <v>134108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0.56140350877192979</v>
      </c>
      <c r="AF24" s="84">
        <f t="shared" si="8"/>
        <v>16</v>
      </c>
    </row>
    <row r="25" spans="1:32" ht="31.5" customHeight="1" thickBot="1">
      <c r="A25" s="545" t="s">
        <v>34</v>
      </c>
      <c r="B25" s="546"/>
      <c r="C25" s="546"/>
      <c r="D25" s="546"/>
      <c r="E25" s="546"/>
      <c r="F25" s="546"/>
      <c r="G25" s="546"/>
      <c r="H25" s="547"/>
      <c r="I25" s="22">
        <f t="shared" ref="I25:N25" si="33">SUM(I6:I24)</f>
        <v>1189700</v>
      </c>
      <c r="J25" s="19">
        <f t="shared" si="33"/>
        <v>144755</v>
      </c>
      <c r="K25" s="20">
        <f t="shared" si="33"/>
        <v>792554</v>
      </c>
      <c r="L25" s="21">
        <f t="shared" si="33"/>
        <v>94191</v>
      </c>
      <c r="M25" s="20">
        <f t="shared" si="33"/>
        <v>94191</v>
      </c>
      <c r="N25" s="21">
        <f t="shared" si="33"/>
        <v>0</v>
      </c>
      <c r="O25" s="41">
        <f t="shared" si="1"/>
        <v>0</v>
      </c>
      <c r="P25" s="42">
        <f t="shared" ref="P25:AA25" si="34">SUM(P6:P24)</f>
        <v>256</v>
      </c>
      <c r="Q25" s="43">
        <f t="shared" si="34"/>
        <v>200</v>
      </c>
      <c r="R25" s="23">
        <f t="shared" si="34"/>
        <v>24</v>
      </c>
      <c r="S25" s="24">
        <f t="shared" si="34"/>
        <v>32</v>
      </c>
      <c r="T25" s="24">
        <f t="shared" si="34"/>
        <v>21</v>
      </c>
      <c r="U25" s="24">
        <f t="shared" si="34"/>
        <v>0</v>
      </c>
      <c r="V25" s="25">
        <f t="shared" si="34"/>
        <v>30</v>
      </c>
      <c r="W25" s="26">
        <f t="shared" si="34"/>
        <v>82</v>
      </c>
      <c r="X25" s="27">
        <f t="shared" si="34"/>
        <v>0</v>
      </c>
      <c r="Y25" s="27">
        <f t="shared" si="34"/>
        <v>0</v>
      </c>
      <c r="Z25" s="27">
        <f t="shared" si="34"/>
        <v>0</v>
      </c>
      <c r="AA25" s="27">
        <f t="shared" si="34"/>
        <v>11</v>
      </c>
      <c r="AB25" s="28">
        <f>AVERAGE(AB6:AB24)</f>
        <v>0.78947368421052633</v>
      </c>
      <c r="AC25" s="4">
        <f>AVERAGE(AC6:AC24)</f>
        <v>0.56140350877192979</v>
      </c>
      <c r="AD25" s="4">
        <f>AVERAGE(AD6:AD24)</f>
        <v>0.56140350877192979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548" t="s">
        <v>45</v>
      </c>
      <c r="B52" s="548"/>
      <c r="C52" s="548"/>
      <c r="D52" s="548"/>
      <c r="E52" s="54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549" t="s">
        <v>485</v>
      </c>
      <c r="B53" s="550"/>
      <c r="C53" s="550"/>
      <c r="D53" s="550"/>
      <c r="E53" s="550"/>
      <c r="F53" s="550"/>
      <c r="G53" s="550"/>
      <c r="H53" s="550"/>
      <c r="I53" s="550"/>
      <c r="J53" s="550"/>
      <c r="K53" s="550"/>
      <c r="L53" s="550"/>
      <c r="M53" s="551"/>
      <c r="N53" s="552" t="s">
        <v>488</v>
      </c>
      <c r="O53" s="553"/>
      <c r="P53" s="553"/>
      <c r="Q53" s="553"/>
      <c r="R53" s="553"/>
      <c r="S53" s="553"/>
      <c r="T53" s="553"/>
      <c r="U53" s="553"/>
      <c r="V53" s="553"/>
      <c r="W53" s="553"/>
      <c r="X53" s="553"/>
      <c r="Y53" s="553"/>
      <c r="Z53" s="553"/>
      <c r="AA53" s="553"/>
      <c r="AB53" s="553"/>
      <c r="AC53" s="553"/>
      <c r="AD53" s="554"/>
    </row>
    <row r="54" spans="1:32" ht="27" customHeight="1">
      <c r="A54" s="555" t="s">
        <v>2</v>
      </c>
      <c r="B54" s="556"/>
      <c r="C54" s="338" t="s">
        <v>46</v>
      </c>
      <c r="D54" s="338" t="s">
        <v>47</v>
      </c>
      <c r="E54" s="338" t="s">
        <v>107</v>
      </c>
      <c r="F54" s="557" t="s">
        <v>106</v>
      </c>
      <c r="G54" s="558"/>
      <c r="H54" s="558"/>
      <c r="I54" s="558"/>
      <c r="J54" s="558"/>
      <c r="K54" s="558"/>
      <c r="L54" s="558"/>
      <c r="M54" s="559"/>
      <c r="N54" s="67" t="s">
        <v>110</v>
      </c>
      <c r="O54" s="338" t="s">
        <v>46</v>
      </c>
      <c r="P54" s="557" t="s">
        <v>47</v>
      </c>
      <c r="Q54" s="560"/>
      <c r="R54" s="557" t="s">
        <v>38</v>
      </c>
      <c r="S54" s="558"/>
      <c r="T54" s="558"/>
      <c r="U54" s="560"/>
      <c r="V54" s="557" t="s">
        <v>48</v>
      </c>
      <c r="W54" s="558"/>
      <c r="X54" s="558"/>
      <c r="Y54" s="558"/>
      <c r="Z54" s="558"/>
      <c r="AA54" s="558"/>
      <c r="AB54" s="558"/>
      <c r="AC54" s="558"/>
      <c r="AD54" s="559"/>
    </row>
    <row r="55" spans="1:32" ht="27" customHeight="1">
      <c r="A55" s="526" t="s">
        <v>120</v>
      </c>
      <c r="B55" s="527"/>
      <c r="C55" s="340" t="s">
        <v>137</v>
      </c>
      <c r="D55" s="340" t="s">
        <v>165</v>
      </c>
      <c r="E55" s="340" t="s">
        <v>429</v>
      </c>
      <c r="F55" s="528" t="s">
        <v>486</v>
      </c>
      <c r="G55" s="529"/>
      <c r="H55" s="529"/>
      <c r="I55" s="529"/>
      <c r="J55" s="529"/>
      <c r="K55" s="529"/>
      <c r="L55" s="529"/>
      <c r="M55" s="530"/>
      <c r="N55" s="339" t="s">
        <v>482</v>
      </c>
      <c r="O55" s="345" t="s">
        <v>142</v>
      </c>
      <c r="P55" s="540"/>
      <c r="Q55" s="541"/>
      <c r="R55" s="540" t="s">
        <v>483</v>
      </c>
      <c r="S55" s="542"/>
      <c r="T55" s="542"/>
      <c r="U55" s="541"/>
      <c r="V55" s="510" t="s">
        <v>151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121</v>
      </c>
      <c r="B56" s="527"/>
      <c r="C56" s="340" t="s">
        <v>179</v>
      </c>
      <c r="D56" s="340" t="s">
        <v>115</v>
      </c>
      <c r="E56" s="340" t="s">
        <v>351</v>
      </c>
      <c r="F56" s="528" t="s">
        <v>487</v>
      </c>
      <c r="G56" s="529"/>
      <c r="H56" s="529"/>
      <c r="I56" s="529"/>
      <c r="J56" s="529"/>
      <c r="K56" s="529"/>
      <c r="L56" s="529"/>
      <c r="M56" s="530"/>
      <c r="N56" s="339" t="s">
        <v>120</v>
      </c>
      <c r="O56" s="345" t="s">
        <v>214</v>
      </c>
      <c r="P56" s="540" t="s">
        <v>131</v>
      </c>
      <c r="Q56" s="541"/>
      <c r="R56" s="540" t="s">
        <v>490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482</v>
      </c>
      <c r="B57" s="527"/>
      <c r="C57" s="340" t="s">
        <v>142</v>
      </c>
      <c r="D57" s="340"/>
      <c r="E57" s="340" t="s">
        <v>483</v>
      </c>
      <c r="F57" s="528" t="s">
        <v>489</v>
      </c>
      <c r="G57" s="529"/>
      <c r="H57" s="529"/>
      <c r="I57" s="529"/>
      <c r="J57" s="529"/>
      <c r="K57" s="529"/>
      <c r="L57" s="529"/>
      <c r="M57" s="530"/>
      <c r="N57" s="339"/>
      <c r="O57" s="345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121</v>
      </c>
      <c r="B58" s="527"/>
      <c r="C58" s="340" t="s">
        <v>214</v>
      </c>
      <c r="D58" s="340"/>
      <c r="E58" s="340" t="s">
        <v>484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339"/>
      <c r="O58" s="345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112</v>
      </c>
      <c r="B59" s="527"/>
      <c r="C59" s="340" t="s">
        <v>239</v>
      </c>
      <c r="D59" s="340" t="s">
        <v>115</v>
      </c>
      <c r="E59" s="340" t="s">
        <v>475</v>
      </c>
      <c r="F59" s="528" t="s">
        <v>118</v>
      </c>
      <c r="G59" s="529"/>
      <c r="H59" s="529"/>
      <c r="I59" s="529"/>
      <c r="J59" s="529"/>
      <c r="K59" s="529"/>
      <c r="L59" s="529"/>
      <c r="M59" s="530"/>
      <c r="N59" s="339"/>
      <c r="O59" s="345"/>
      <c r="P59" s="540"/>
      <c r="Q59" s="541"/>
      <c r="R59" s="540"/>
      <c r="S59" s="542"/>
      <c r="T59" s="542"/>
      <c r="U59" s="541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 t="s">
        <v>120</v>
      </c>
      <c r="B60" s="527"/>
      <c r="C60" s="340" t="s">
        <v>239</v>
      </c>
      <c r="D60" s="340" t="s">
        <v>131</v>
      </c>
      <c r="E60" s="340" t="s">
        <v>476</v>
      </c>
      <c r="F60" s="528" t="s">
        <v>118</v>
      </c>
      <c r="G60" s="529"/>
      <c r="H60" s="529"/>
      <c r="I60" s="529"/>
      <c r="J60" s="529"/>
      <c r="K60" s="529"/>
      <c r="L60" s="529"/>
      <c r="M60" s="530"/>
      <c r="N60" s="339"/>
      <c r="O60" s="345"/>
      <c r="P60" s="540"/>
      <c r="Q60" s="541"/>
      <c r="R60" s="540"/>
      <c r="S60" s="542"/>
      <c r="T60" s="542"/>
      <c r="U60" s="541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 t="s">
        <v>112</v>
      </c>
      <c r="B61" s="527"/>
      <c r="C61" s="340" t="s">
        <v>194</v>
      </c>
      <c r="D61" s="340" t="s">
        <v>115</v>
      </c>
      <c r="E61" s="340" t="s">
        <v>324</v>
      </c>
      <c r="F61" s="528" t="s">
        <v>118</v>
      </c>
      <c r="G61" s="529"/>
      <c r="H61" s="529"/>
      <c r="I61" s="529"/>
      <c r="J61" s="529"/>
      <c r="K61" s="529"/>
      <c r="L61" s="529"/>
      <c r="M61" s="530"/>
      <c r="N61" s="339"/>
      <c r="O61" s="345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 t="s">
        <v>120</v>
      </c>
      <c r="B62" s="527"/>
      <c r="C62" s="340" t="s">
        <v>194</v>
      </c>
      <c r="D62" s="340" t="s">
        <v>196</v>
      </c>
      <c r="E62" s="340" t="s">
        <v>477</v>
      </c>
      <c r="F62" s="528" t="s">
        <v>118</v>
      </c>
      <c r="G62" s="529"/>
      <c r="H62" s="529"/>
      <c r="I62" s="529"/>
      <c r="J62" s="529"/>
      <c r="K62" s="529"/>
      <c r="L62" s="529"/>
      <c r="M62" s="530"/>
      <c r="N62" s="339"/>
      <c r="O62" s="345"/>
      <c r="P62" s="540"/>
      <c r="Q62" s="541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</row>
    <row r="63" spans="1:32" ht="27" customHeight="1">
      <c r="A63" s="526"/>
      <c r="B63" s="527"/>
      <c r="C63" s="340"/>
      <c r="D63" s="340"/>
      <c r="E63" s="340"/>
      <c r="F63" s="528"/>
      <c r="G63" s="529"/>
      <c r="H63" s="529"/>
      <c r="I63" s="529"/>
      <c r="J63" s="529"/>
      <c r="K63" s="529"/>
      <c r="L63" s="529"/>
      <c r="M63" s="530"/>
      <c r="N63" s="339"/>
      <c r="O63" s="345"/>
      <c r="P63" s="527"/>
      <c r="Q63" s="527"/>
      <c r="R63" s="527"/>
      <c r="S63" s="527"/>
      <c r="T63" s="527"/>
      <c r="U63" s="527"/>
      <c r="V63" s="510"/>
      <c r="W63" s="510"/>
      <c r="X63" s="510"/>
      <c r="Y63" s="510"/>
      <c r="Z63" s="510"/>
      <c r="AA63" s="510"/>
      <c r="AB63" s="510"/>
      <c r="AC63" s="510"/>
      <c r="AD63" s="531"/>
      <c r="AF63" s="84">
        <f>8*3000</f>
        <v>24000</v>
      </c>
    </row>
    <row r="64" spans="1:32" ht="27" customHeight="1" thickBot="1">
      <c r="A64" s="532"/>
      <c r="B64" s="533"/>
      <c r="C64" s="341"/>
      <c r="D64" s="342"/>
      <c r="E64" s="342"/>
      <c r="F64" s="534"/>
      <c r="G64" s="535"/>
      <c r="H64" s="535"/>
      <c r="I64" s="535"/>
      <c r="J64" s="535"/>
      <c r="K64" s="535"/>
      <c r="L64" s="535"/>
      <c r="M64" s="536"/>
      <c r="N64" s="112"/>
      <c r="O64" s="103"/>
      <c r="P64" s="537"/>
      <c r="Q64" s="537"/>
      <c r="R64" s="537"/>
      <c r="S64" s="537"/>
      <c r="T64" s="537"/>
      <c r="U64" s="537"/>
      <c r="V64" s="538"/>
      <c r="W64" s="538"/>
      <c r="X64" s="538"/>
      <c r="Y64" s="538"/>
      <c r="Z64" s="538"/>
      <c r="AA64" s="538"/>
      <c r="AB64" s="538"/>
      <c r="AC64" s="538"/>
      <c r="AD64" s="539"/>
      <c r="AF64" s="84">
        <f>16*3000</f>
        <v>48000</v>
      </c>
    </row>
    <row r="65" spans="1:32" ht="27.75" thickBot="1">
      <c r="A65" s="524" t="s">
        <v>491</v>
      </c>
      <c r="B65" s="524"/>
      <c r="C65" s="524"/>
      <c r="D65" s="524"/>
      <c r="E65" s="524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525" t="s">
        <v>111</v>
      </c>
      <c r="B66" s="520"/>
      <c r="C66" s="343" t="s">
        <v>2</v>
      </c>
      <c r="D66" s="343" t="s">
        <v>37</v>
      </c>
      <c r="E66" s="343" t="s">
        <v>3</v>
      </c>
      <c r="F66" s="520" t="s">
        <v>109</v>
      </c>
      <c r="G66" s="520"/>
      <c r="H66" s="520"/>
      <c r="I66" s="520"/>
      <c r="J66" s="520"/>
      <c r="K66" s="520" t="s">
        <v>39</v>
      </c>
      <c r="L66" s="520"/>
      <c r="M66" s="343" t="s">
        <v>40</v>
      </c>
      <c r="N66" s="520" t="s">
        <v>41</v>
      </c>
      <c r="O66" s="520"/>
      <c r="P66" s="517" t="s">
        <v>42</v>
      </c>
      <c r="Q66" s="519"/>
      <c r="R66" s="517" t="s">
        <v>43</v>
      </c>
      <c r="S66" s="518"/>
      <c r="T66" s="518"/>
      <c r="U66" s="518"/>
      <c r="V66" s="518"/>
      <c r="W66" s="518"/>
      <c r="X66" s="518"/>
      <c r="Y66" s="518"/>
      <c r="Z66" s="518"/>
      <c r="AA66" s="519"/>
      <c r="AB66" s="520" t="s">
        <v>44</v>
      </c>
      <c r="AC66" s="520"/>
      <c r="AD66" s="521"/>
      <c r="AF66" s="84">
        <f>SUM(AF63:AF65)</f>
        <v>96000</v>
      </c>
    </row>
    <row r="67" spans="1:32" ht="25.5" customHeight="1">
      <c r="A67" s="503">
        <v>1</v>
      </c>
      <c r="B67" s="504"/>
      <c r="C67" s="105" t="s">
        <v>120</v>
      </c>
      <c r="D67" s="347"/>
      <c r="E67" s="344" t="s">
        <v>115</v>
      </c>
      <c r="F67" s="513" t="s">
        <v>492</v>
      </c>
      <c r="G67" s="514"/>
      <c r="H67" s="514"/>
      <c r="I67" s="514"/>
      <c r="J67" s="515"/>
      <c r="K67" s="497">
        <v>7301</v>
      </c>
      <c r="L67" s="497"/>
      <c r="M67" s="51" t="s">
        <v>200</v>
      </c>
      <c r="N67" s="511" t="s">
        <v>214</v>
      </c>
      <c r="O67" s="511"/>
      <c r="P67" s="512">
        <v>50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516"/>
      <c r="AC67" s="522"/>
      <c r="AD67" s="523"/>
      <c r="AF67" s="50"/>
    </row>
    <row r="68" spans="1:32" ht="25.5" customHeight="1">
      <c r="A68" s="503">
        <v>2</v>
      </c>
      <c r="B68" s="504"/>
      <c r="C68" s="105" t="s">
        <v>120</v>
      </c>
      <c r="D68" s="347"/>
      <c r="E68" s="344" t="s">
        <v>131</v>
      </c>
      <c r="F68" s="513" t="s">
        <v>493</v>
      </c>
      <c r="G68" s="514"/>
      <c r="H68" s="514"/>
      <c r="I68" s="514"/>
      <c r="J68" s="515"/>
      <c r="K68" s="497" t="s">
        <v>210</v>
      </c>
      <c r="L68" s="497"/>
      <c r="M68" s="51" t="s">
        <v>200</v>
      </c>
      <c r="N68" s="511" t="s">
        <v>214</v>
      </c>
      <c r="O68" s="511"/>
      <c r="P68" s="512">
        <v>50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3</v>
      </c>
      <c r="B69" s="504"/>
      <c r="C69" s="105"/>
      <c r="D69" s="347"/>
      <c r="E69" s="344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4</v>
      </c>
      <c r="B70" s="504"/>
      <c r="C70" s="105"/>
      <c r="D70" s="347"/>
      <c r="E70" s="344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5</v>
      </c>
      <c r="B71" s="504"/>
      <c r="C71" s="105"/>
      <c r="D71" s="347"/>
      <c r="E71" s="344"/>
      <c r="F71" s="513"/>
      <c r="G71" s="514"/>
      <c r="H71" s="514"/>
      <c r="I71" s="514"/>
      <c r="J71" s="515"/>
      <c r="K71" s="516"/>
      <c r="L71" s="504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6</v>
      </c>
      <c r="B72" s="504"/>
      <c r="C72" s="105"/>
      <c r="D72" s="347"/>
      <c r="E72" s="344"/>
      <c r="F72" s="513"/>
      <c r="G72" s="514"/>
      <c r="H72" s="514"/>
      <c r="I72" s="514"/>
      <c r="J72" s="515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7</v>
      </c>
      <c r="B73" s="504"/>
      <c r="C73" s="105"/>
      <c r="D73" s="347"/>
      <c r="E73" s="344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8</v>
      </c>
      <c r="B74" s="504"/>
      <c r="C74" s="105"/>
      <c r="D74" s="347"/>
      <c r="E74" s="344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5.5" customHeight="1">
      <c r="A75" s="503">
        <v>9</v>
      </c>
      <c r="B75" s="504"/>
      <c r="C75" s="105"/>
      <c r="D75" s="347"/>
      <c r="E75" s="344"/>
      <c r="F75" s="505"/>
      <c r="G75" s="497"/>
      <c r="H75" s="497"/>
      <c r="I75" s="497"/>
      <c r="J75" s="497"/>
      <c r="K75" s="497"/>
      <c r="L75" s="497"/>
      <c r="M75" s="51"/>
      <c r="N75" s="511"/>
      <c r="O75" s="511"/>
      <c r="P75" s="512"/>
      <c r="Q75" s="512"/>
      <c r="R75" s="510"/>
      <c r="S75" s="510"/>
      <c r="T75" s="510"/>
      <c r="U75" s="510"/>
      <c r="V75" s="510"/>
      <c r="W75" s="510"/>
      <c r="X75" s="510"/>
      <c r="Y75" s="510"/>
      <c r="Z75" s="510"/>
      <c r="AA75" s="510"/>
      <c r="AB75" s="497"/>
      <c r="AC75" s="497"/>
      <c r="AD75" s="498"/>
      <c r="AF75" s="50"/>
    </row>
    <row r="76" spans="1:32" ht="25.5" customHeight="1">
      <c r="A76" s="503">
        <v>10</v>
      </c>
      <c r="B76" s="504"/>
      <c r="C76" s="105"/>
      <c r="D76" s="347"/>
      <c r="E76" s="344"/>
      <c r="F76" s="505"/>
      <c r="G76" s="497"/>
      <c r="H76" s="497"/>
      <c r="I76" s="497"/>
      <c r="J76" s="497"/>
      <c r="K76" s="497"/>
      <c r="L76" s="497"/>
      <c r="M76" s="51"/>
      <c r="N76" s="511"/>
      <c r="O76" s="511"/>
      <c r="P76" s="512"/>
      <c r="Q76" s="512"/>
      <c r="R76" s="510"/>
      <c r="S76" s="510"/>
      <c r="T76" s="510"/>
      <c r="U76" s="510"/>
      <c r="V76" s="510"/>
      <c r="W76" s="510"/>
      <c r="X76" s="510"/>
      <c r="Y76" s="510"/>
      <c r="Z76" s="510"/>
      <c r="AA76" s="510"/>
      <c r="AB76" s="497"/>
      <c r="AC76" s="497"/>
      <c r="AD76" s="498"/>
      <c r="AF76" s="50"/>
    </row>
    <row r="77" spans="1:32" ht="26.25" customHeight="1" thickBot="1">
      <c r="A77" s="477" t="s">
        <v>494</v>
      </c>
      <c r="B77" s="477"/>
      <c r="C77" s="477"/>
      <c r="D77" s="477"/>
      <c r="E77" s="477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478" t="s">
        <v>111</v>
      </c>
      <c r="B78" s="479"/>
      <c r="C78" s="346" t="s">
        <v>2</v>
      </c>
      <c r="D78" s="346" t="s">
        <v>37</v>
      </c>
      <c r="E78" s="346" t="s">
        <v>3</v>
      </c>
      <c r="F78" s="479" t="s">
        <v>38</v>
      </c>
      <c r="G78" s="479"/>
      <c r="H78" s="479"/>
      <c r="I78" s="479"/>
      <c r="J78" s="479"/>
      <c r="K78" s="499" t="s">
        <v>58</v>
      </c>
      <c r="L78" s="500"/>
      <c r="M78" s="500"/>
      <c r="N78" s="500"/>
      <c r="O78" s="500"/>
      <c r="P78" s="500"/>
      <c r="Q78" s="500"/>
      <c r="R78" s="500"/>
      <c r="S78" s="501"/>
      <c r="T78" s="479" t="s">
        <v>49</v>
      </c>
      <c r="U78" s="479"/>
      <c r="V78" s="499" t="s">
        <v>50</v>
      </c>
      <c r="W78" s="501"/>
      <c r="X78" s="500" t="s">
        <v>51</v>
      </c>
      <c r="Y78" s="500"/>
      <c r="Z78" s="500"/>
      <c r="AA78" s="500"/>
      <c r="AB78" s="500"/>
      <c r="AC78" s="500"/>
      <c r="AD78" s="502"/>
      <c r="AF78" s="50"/>
    </row>
    <row r="79" spans="1:32" ht="33.75" customHeight="1">
      <c r="A79" s="471">
        <v>1</v>
      </c>
      <c r="B79" s="472"/>
      <c r="C79" s="348" t="s">
        <v>112</v>
      </c>
      <c r="D79" s="348"/>
      <c r="E79" s="65" t="s">
        <v>117</v>
      </c>
      <c r="F79" s="486" t="s">
        <v>116</v>
      </c>
      <c r="G79" s="487"/>
      <c r="H79" s="487"/>
      <c r="I79" s="487"/>
      <c r="J79" s="488"/>
      <c r="K79" s="489" t="s">
        <v>122</v>
      </c>
      <c r="L79" s="490"/>
      <c r="M79" s="490"/>
      <c r="N79" s="490"/>
      <c r="O79" s="490"/>
      <c r="P79" s="490"/>
      <c r="Q79" s="490"/>
      <c r="R79" s="490"/>
      <c r="S79" s="491"/>
      <c r="T79" s="492">
        <v>43675</v>
      </c>
      <c r="U79" s="493"/>
      <c r="V79" s="494"/>
      <c r="W79" s="494"/>
      <c r="X79" s="495"/>
      <c r="Y79" s="495"/>
      <c r="Z79" s="495"/>
      <c r="AA79" s="495"/>
      <c r="AB79" s="495"/>
      <c r="AC79" s="495"/>
      <c r="AD79" s="496"/>
      <c r="AF79" s="50"/>
    </row>
    <row r="80" spans="1:32" ht="30" customHeight="1">
      <c r="A80" s="464">
        <f>A79+1</f>
        <v>2</v>
      </c>
      <c r="B80" s="465"/>
      <c r="C80" s="347"/>
      <c r="D80" s="347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ref="A81:A85" si="35">A80+1</f>
        <v>3</v>
      </c>
      <c r="B81" s="465"/>
      <c r="C81" s="347"/>
      <c r="D81" s="347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35"/>
        <v>4</v>
      </c>
      <c r="B82" s="465"/>
      <c r="C82" s="347"/>
      <c r="D82" s="347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35"/>
        <v>5</v>
      </c>
      <c r="B83" s="465"/>
      <c r="C83" s="347"/>
      <c r="D83" s="347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35"/>
        <v>6</v>
      </c>
      <c r="B84" s="465"/>
      <c r="C84" s="347"/>
      <c r="D84" s="347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0" customHeight="1">
      <c r="A85" s="464">
        <f t="shared" si="35"/>
        <v>7</v>
      </c>
      <c r="B85" s="465"/>
      <c r="C85" s="347"/>
      <c r="D85" s="347"/>
      <c r="E85" s="32"/>
      <c r="F85" s="465"/>
      <c r="G85" s="465"/>
      <c r="H85" s="465"/>
      <c r="I85" s="465"/>
      <c r="J85" s="465"/>
      <c r="K85" s="480"/>
      <c r="L85" s="481"/>
      <c r="M85" s="481"/>
      <c r="N85" s="481"/>
      <c r="O85" s="481"/>
      <c r="P85" s="481"/>
      <c r="Q85" s="481"/>
      <c r="R85" s="481"/>
      <c r="S85" s="482"/>
      <c r="T85" s="483"/>
      <c r="U85" s="483"/>
      <c r="V85" s="483"/>
      <c r="W85" s="483"/>
      <c r="X85" s="484"/>
      <c r="Y85" s="484"/>
      <c r="Z85" s="484"/>
      <c r="AA85" s="484"/>
      <c r="AB85" s="484"/>
      <c r="AC85" s="484"/>
      <c r="AD85" s="485"/>
      <c r="AF85" s="50"/>
    </row>
    <row r="86" spans="1:32" ht="36" thickBot="1">
      <c r="A86" s="477" t="s">
        <v>495</v>
      </c>
      <c r="B86" s="477"/>
      <c r="C86" s="477"/>
      <c r="D86" s="477"/>
      <c r="E86" s="477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478" t="s">
        <v>111</v>
      </c>
      <c r="B87" s="479"/>
      <c r="C87" s="469" t="s">
        <v>52</v>
      </c>
      <c r="D87" s="469"/>
      <c r="E87" s="469" t="s">
        <v>53</v>
      </c>
      <c r="F87" s="469"/>
      <c r="G87" s="469"/>
      <c r="H87" s="469"/>
      <c r="I87" s="469"/>
      <c r="J87" s="469"/>
      <c r="K87" s="469" t="s">
        <v>54</v>
      </c>
      <c r="L87" s="469"/>
      <c r="M87" s="469"/>
      <c r="N87" s="469"/>
      <c r="O87" s="469"/>
      <c r="P87" s="469"/>
      <c r="Q87" s="469"/>
      <c r="R87" s="469"/>
      <c r="S87" s="469"/>
      <c r="T87" s="469" t="s">
        <v>55</v>
      </c>
      <c r="U87" s="469"/>
      <c r="V87" s="469" t="s">
        <v>56</v>
      </c>
      <c r="W87" s="469"/>
      <c r="X87" s="469"/>
      <c r="Y87" s="469" t="s">
        <v>51</v>
      </c>
      <c r="Z87" s="469"/>
      <c r="AA87" s="469"/>
      <c r="AB87" s="469"/>
      <c r="AC87" s="469"/>
      <c r="AD87" s="470"/>
      <c r="AF87" s="50"/>
    </row>
    <row r="88" spans="1:32" ht="30.75" customHeight="1">
      <c r="A88" s="471">
        <v>1</v>
      </c>
      <c r="B88" s="472"/>
      <c r="C88" s="473"/>
      <c r="D88" s="473"/>
      <c r="E88" s="473"/>
      <c r="F88" s="473"/>
      <c r="G88" s="473"/>
      <c r="H88" s="473"/>
      <c r="I88" s="473"/>
      <c r="J88" s="473"/>
      <c r="K88" s="473"/>
      <c r="L88" s="473"/>
      <c r="M88" s="473"/>
      <c r="N88" s="473"/>
      <c r="O88" s="473"/>
      <c r="P88" s="473"/>
      <c r="Q88" s="473"/>
      <c r="R88" s="473"/>
      <c r="S88" s="473"/>
      <c r="T88" s="473"/>
      <c r="U88" s="473"/>
      <c r="V88" s="474"/>
      <c r="W88" s="474"/>
      <c r="X88" s="474"/>
      <c r="Y88" s="475"/>
      <c r="Z88" s="475"/>
      <c r="AA88" s="475"/>
      <c r="AB88" s="475"/>
      <c r="AC88" s="475"/>
      <c r="AD88" s="476"/>
      <c r="AF88" s="50"/>
    </row>
    <row r="89" spans="1:32" ht="30.75" customHeight="1">
      <c r="A89" s="464">
        <v>2</v>
      </c>
      <c r="B89" s="465"/>
      <c r="C89" s="466"/>
      <c r="D89" s="466"/>
      <c r="E89" s="466"/>
      <c r="F89" s="466"/>
      <c r="G89" s="466"/>
      <c r="H89" s="466"/>
      <c r="I89" s="466"/>
      <c r="J89" s="466"/>
      <c r="K89" s="466"/>
      <c r="L89" s="466"/>
      <c r="M89" s="466"/>
      <c r="N89" s="466"/>
      <c r="O89" s="466"/>
      <c r="P89" s="466"/>
      <c r="Q89" s="466"/>
      <c r="R89" s="466"/>
      <c r="S89" s="466"/>
      <c r="T89" s="467"/>
      <c r="U89" s="467"/>
      <c r="V89" s="468"/>
      <c r="W89" s="468"/>
      <c r="X89" s="468"/>
      <c r="Y89" s="457"/>
      <c r="Z89" s="457"/>
      <c r="AA89" s="457"/>
      <c r="AB89" s="457"/>
      <c r="AC89" s="457"/>
      <c r="AD89" s="458"/>
      <c r="AF89" s="50"/>
    </row>
    <row r="90" spans="1:32" ht="30.75" customHeight="1" thickBot="1">
      <c r="A90" s="459">
        <v>3</v>
      </c>
      <c r="B90" s="460"/>
      <c r="C90" s="461"/>
      <c r="D90" s="461"/>
      <c r="E90" s="461"/>
      <c r="F90" s="461"/>
      <c r="G90" s="461"/>
      <c r="H90" s="461"/>
      <c r="I90" s="461"/>
      <c r="J90" s="461"/>
      <c r="K90" s="461"/>
      <c r="L90" s="461"/>
      <c r="M90" s="461"/>
      <c r="N90" s="461"/>
      <c r="O90" s="461"/>
      <c r="P90" s="461"/>
      <c r="Q90" s="461"/>
      <c r="R90" s="461"/>
      <c r="S90" s="461"/>
      <c r="T90" s="461"/>
      <c r="U90" s="461"/>
      <c r="V90" s="461"/>
      <c r="W90" s="461"/>
      <c r="X90" s="461"/>
      <c r="Y90" s="462"/>
      <c r="Z90" s="462"/>
      <c r="AA90" s="462"/>
      <c r="AB90" s="462"/>
      <c r="AC90" s="462"/>
      <c r="AD90" s="463"/>
      <c r="AF90" s="50"/>
    </row>
  </sheetData>
  <mergeCells count="232"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50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4310-0317-4D98-B244-01BC2AF9C79D}">
  <dimension ref="A1:AF87"/>
  <sheetViews>
    <sheetView topLeftCell="A40" zoomScale="72" zoomScaleNormal="72" zoomScaleSheetLayoutView="70" workbookViewId="0">
      <selection activeCell="F69" sqref="F69:J6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496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49" t="s">
        <v>17</v>
      </c>
      <c r="L5" s="349" t="s">
        <v>18</v>
      </c>
      <c r="M5" s="349" t="s">
        <v>19</v>
      </c>
      <c r="N5" s="34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6548</v>
      </c>
      <c r="K6" s="15">
        <f>L6+5567+6177+5956+2594+5676+6103+6040+4713+6089+5522+2602+5766+6012+6125+6041+6061+6548</f>
        <v>93592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0.23786046054224155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L7+3794+3491</f>
        <v>7285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0.23786046054224155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2365</v>
      </c>
      <c r="K8" s="15">
        <f>L8+1658+3024+3826+5621+5758+5746+5871+5666+2439+5254+5051+3104+4798+5662+2420+5454+5616+4719+3224+5620+5700</f>
        <v>98596</v>
      </c>
      <c r="L8" s="15">
        <v>2365</v>
      </c>
      <c r="M8" s="15">
        <f t="shared" si="0"/>
        <v>2365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0.23786046054224155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482</v>
      </c>
      <c r="D9" s="52"/>
      <c r="E9" s="53" t="s">
        <v>483</v>
      </c>
      <c r="F9" s="30" t="s">
        <v>211</v>
      </c>
      <c r="G9" s="33">
        <v>1</v>
      </c>
      <c r="H9" s="35">
        <v>24</v>
      </c>
      <c r="I9" s="7">
        <v>1000</v>
      </c>
      <c r="J9" s="14">
        <v>1953</v>
      </c>
      <c r="K9" s="15">
        <f>L9+1830</f>
        <v>3783</v>
      </c>
      <c r="L9" s="15">
        <v>1953</v>
      </c>
      <c r="M9" s="15">
        <f t="shared" si="0"/>
        <v>1953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/>
      <c r="T9" s="16"/>
      <c r="U9" s="16"/>
      <c r="V9" s="17">
        <v>14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0.23786046054224155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131</v>
      </c>
      <c r="E10" s="53" t="s">
        <v>490</v>
      </c>
      <c r="F10" s="30" t="s">
        <v>210</v>
      </c>
      <c r="G10" s="33">
        <v>1</v>
      </c>
      <c r="H10" s="35">
        <v>24</v>
      </c>
      <c r="I10" s="7">
        <v>500</v>
      </c>
      <c r="J10" s="5">
        <v>567</v>
      </c>
      <c r="K10" s="15">
        <f>L10</f>
        <v>567</v>
      </c>
      <c r="L10" s="15">
        <v>567</v>
      </c>
      <c r="M10" s="15">
        <f t="shared" si="0"/>
        <v>567</v>
      </c>
      <c r="N10" s="15">
        <v>0</v>
      </c>
      <c r="O10" s="58">
        <f t="shared" si="1"/>
        <v>0</v>
      </c>
      <c r="P10" s="39">
        <f t="shared" si="2"/>
        <v>4</v>
      </c>
      <c r="Q10" s="40">
        <f t="shared" si="3"/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si="4"/>
        <v>1</v>
      </c>
      <c r="AC10" s="9">
        <f t="shared" si="5"/>
        <v>0.16666666666666666</v>
      </c>
      <c r="AD10" s="10">
        <f>AC10*AB10*(1-O10)</f>
        <v>0.16666666666666666</v>
      </c>
      <c r="AE10" s="36">
        <f t="shared" si="7"/>
        <v>0.23786046054224155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2482</v>
      </c>
      <c r="K11" s="15">
        <f>L11+4668+4429+5671+2067+5444+3967+5843+5907+3309+3086+364+5637+5791+5944+2759+4461+5131</f>
        <v>76960</v>
      </c>
      <c r="L11" s="15">
        <v>2482</v>
      </c>
      <c r="M11" s="15">
        <f t="shared" si="0"/>
        <v>2482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>AC11*AB11*(1-O11)</f>
        <v>0.41666666666666669</v>
      </c>
      <c r="AE11" s="36">
        <f t="shared" si="7"/>
        <v>0.23786046054224155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131</v>
      </c>
      <c r="E12" s="53" t="s">
        <v>476</v>
      </c>
      <c r="F12" s="30" t="s">
        <v>210</v>
      </c>
      <c r="G12" s="33">
        <v>1</v>
      </c>
      <c r="H12" s="35">
        <v>24</v>
      </c>
      <c r="I12" s="7">
        <v>6000</v>
      </c>
      <c r="J12" s="14">
        <v>2754</v>
      </c>
      <c r="K12" s="15">
        <f>L12+2754</f>
        <v>4775</v>
      </c>
      <c r="L12" s="15">
        <v>2021</v>
      </c>
      <c r="M12" s="15">
        <f t="shared" si="0"/>
        <v>2021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4"/>
        <v>0.73384168482207701</v>
      </c>
      <c r="AC12" s="9">
        <f t="shared" si="5"/>
        <v>0.41666666666666669</v>
      </c>
      <c r="AD12" s="10">
        <f t="shared" ref="AD12:AD14" si="9">AC12*AB12*(1-O12)</f>
        <v>0.30576736867586546</v>
      </c>
      <c r="AE12" s="36">
        <f t="shared" si="7"/>
        <v>0.23786046054224155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105000</v>
      </c>
      <c r="J13" s="14">
        <v>7347</v>
      </c>
      <c r="K13" s="15">
        <f>L13+11384+20364+9004+14763+16062+8880+19993</f>
        <v>107797</v>
      </c>
      <c r="L13" s="15">
        <f>2449*3</f>
        <v>7347</v>
      </c>
      <c r="M13" s="15">
        <f t="shared" si="0"/>
        <v>7347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/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9"/>
        <v>0.41666666666666669</v>
      </c>
      <c r="AE13" s="36">
        <f t="shared" si="7"/>
        <v>0.23786046054224155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L14+350</f>
        <v>350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0.23786046054224155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 t="s">
        <v>165</v>
      </c>
      <c r="E15" s="53" t="s">
        <v>388</v>
      </c>
      <c r="F15" s="12" t="s">
        <v>247</v>
      </c>
      <c r="G15" s="12">
        <v>1</v>
      </c>
      <c r="H15" s="13">
        <v>24</v>
      </c>
      <c r="I15" s="31">
        <v>1000</v>
      </c>
      <c r="J15" s="14">
        <v>870</v>
      </c>
      <c r="K15" s="15">
        <f>L15+870</f>
        <v>870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0.23786046054224155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131</v>
      </c>
      <c r="E16" s="53" t="s">
        <v>368</v>
      </c>
      <c r="F16" s="30" t="s">
        <v>210</v>
      </c>
      <c r="G16" s="12">
        <v>4</v>
      </c>
      <c r="H16" s="13">
        <v>28</v>
      </c>
      <c r="I16" s="7">
        <f>105000-16000</f>
        <v>89000</v>
      </c>
      <c r="J16" s="14">
        <v>9596</v>
      </c>
      <c r="K16" s="15">
        <f>L16+13804+13644+15168+9596</f>
        <v>52212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0.23786046054224155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468</v>
      </c>
      <c r="F17" s="30" t="s">
        <v>132</v>
      </c>
      <c r="G17" s="33">
        <v>2</v>
      </c>
      <c r="H17" s="35">
        <v>24</v>
      </c>
      <c r="I17" s="7">
        <v>33000</v>
      </c>
      <c r="J17" s="5">
        <v>4860</v>
      </c>
      <c r="K17" s="15">
        <f>L17+9348+11626</f>
        <v>25834</v>
      </c>
      <c r="L17" s="15">
        <f>2430*2</f>
        <v>4860</v>
      </c>
      <c r="M17" s="15">
        <f t="shared" si="0"/>
        <v>4860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>
        <v>14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0.23786046054224155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127</v>
      </c>
      <c r="E18" s="53" t="s">
        <v>458</v>
      </c>
      <c r="F18" s="30" t="s">
        <v>210</v>
      </c>
      <c r="G18" s="12">
        <v>2</v>
      </c>
      <c r="H18" s="13">
        <v>28</v>
      </c>
      <c r="I18" s="31">
        <v>44000</v>
      </c>
      <c r="J18" s="5">
        <v>5998</v>
      </c>
      <c r="K18" s="15">
        <f>L18+6198+14056+14264</f>
        <v>40516</v>
      </c>
      <c r="L18" s="15">
        <f>2999*2</f>
        <v>5998</v>
      </c>
      <c r="M18" s="15">
        <f t="shared" si="0"/>
        <v>5998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0.23786046054224155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120</v>
      </c>
      <c r="D19" s="52" t="s">
        <v>196</v>
      </c>
      <c r="E19" s="53" t="s">
        <v>477</v>
      </c>
      <c r="F19" s="30" t="s">
        <v>124</v>
      </c>
      <c r="G19" s="33">
        <v>1</v>
      </c>
      <c r="H19" s="35">
        <v>24</v>
      </c>
      <c r="I19" s="7">
        <v>4000</v>
      </c>
      <c r="J19" s="5">
        <v>2292</v>
      </c>
      <c r="K19" s="15">
        <f>L19+4305</f>
        <v>6597</v>
      </c>
      <c r="L19" s="15">
        <v>2292</v>
      </c>
      <c r="M19" s="15">
        <f t="shared" si="0"/>
        <v>2292</v>
      </c>
      <c r="N19" s="15">
        <v>0</v>
      </c>
      <c r="O19" s="58">
        <f t="shared" si="1"/>
        <v>0</v>
      </c>
      <c r="P19" s="39">
        <f t="shared" si="2"/>
        <v>10</v>
      </c>
      <c r="Q19" s="40">
        <f t="shared" si="3"/>
        <v>14</v>
      </c>
      <c r="R19" s="7"/>
      <c r="S19" s="6"/>
      <c r="T19" s="16"/>
      <c r="U19" s="16"/>
      <c r="V19" s="17">
        <v>14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0.41666666666666669</v>
      </c>
      <c r="AD19" s="10">
        <f>AC19*AB19*(1-O19)</f>
        <v>0.41666666666666669</v>
      </c>
      <c r="AE19" s="36">
        <f t="shared" si="7"/>
        <v>0.23786046054224155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469</v>
      </c>
      <c r="F20" s="30" t="s">
        <v>119</v>
      </c>
      <c r="G20" s="33">
        <v>1</v>
      </c>
      <c r="H20" s="35">
        <v>24</v>
      </c>
      <c r="I20" s="7">
        <v>64000</v>
      </c>
      <c r="J20" s="14">
        <v>2079</v>
      </c>
      <c r="K20" s="15">
        <f>L20+4204+5394+5278+1522+3899+5224+5152+5164+2208+4924+654+3141+5593</f>
        <v>54436</v>
      </c>
      <c r="L20" s="15">
        <v>2079</v>
      </c>
      <c r="M20" s="15">
        <f t="shared" si="0"/>
        <v>2079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/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0.23786046054224155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432</v>
      </c>
      <c r="F21" s="12" t="s">
        <v>114</v>
      </c>
      <c r="G21" s="12">
        <v>4</v>
      </c>
      <c r="H21" s="35">
        <v>20</v>
      </c>
      <c r="I21" s="7">
        <v>500000</v>
      </c>
      <c r="J21" s="14">
        <v>39748</v>
      </c>
      <c r="K21" s="15">
        <f>L21+16808+39112+38440+39748</f>
        <v>134108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0.23786046054224155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0">SUM(I6:I21)</f>
        <v>1082800</v>
      </c>
      <c r="J22" s="19">
        <f t="shared" si="10"/>
        <v>93300</v>
      </c>
      <c r="K22" s="20">
        <f t="shared" si="10"/>
        <v>708278</v>
      </c>
      <c r="L22" s="21">
        <f t="shared" si="10"/>
        <v>31964</v>
      </c>
      <c r="M22" s="20">
        <f t="shared" si="10"/>
        <v>31964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94</v>
      </c>
      <c r="Q22" s="43">
        <f t="shared" si="11"/>
        <v>290</v>
      </c>
      <c r="R22" s="23">
        <f t="shared" si="11"/>
        <v>24</v>
      </c>
      <c r="S22" s="24">
        <f t="shared" si="11"/>
        <v>24</v>
      </c>
      <c r="T22" s="24">
        <f t="shared" si="11"/>
        <v>0</v>
      </c>
      <c r="U22" s="24">
        <f t="shared" si="11"/>
        <v>0</v>
      </c>
      <c r="V22" s="25">
        <f t="shared" si="11"/>
        <v>150</v>
      </c>
      <c r="W22" s="26">
        <f t="shared" si="11"/>
        <v>92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0</v>
      </c>
      <c r="AB22" s="28">
        <f>AVERAGE(AB6:AB21)</f>
        <v>0.60836510530137988</v>
      </c>
      <c r="AC22" s="4">
        <f>AVERAGE(AC6:AC21)</f>
        <v>0.24479166666666663</v>
      </c>
      <c r="AD22" s="4">
        <f>AVERAGE(AD6:AD21)</f>
        <v>0.23786046054224155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497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499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350" t="s">
        <v>46</v>
      </c>
      <c r="D51" s="350" t="s">
        <v>47</v>
      </c>
      <c r="E51" s="350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350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120</v>
      </c>
      <c r="B52" s="527"/>
      <c r="C52" s="352" t="s">
        <v>214</v>
      </c>
      <c r="D52" s="352" t="s">
        <v>131</v>
      </c>
      <c r="E52" s="352" t="s">
        <v>498</v>
      </c>
      <c r="F52" s="528" t="s">
        <v>118</v>
      </c>
      <c r="G52" s="529"/>
      <c r="H52" s="529"/>
      <c r="I52" s="529"/>
      <c r="J52" s="529"/>
      <c r="K52" s="529"/>
      <c r="L52" s="529"/>
      <c r="M52" s="530"/>
      <c r="N52" s="351" t="s">
        <v>149</v>
      </c>
      <c r="O52" s="357" t="s">
        <v>214</v>
      </c>
      <c r="P52" s="540"/>
      <c r="Q52" s="541"/>
      <c r="R52" s="540" t="s">
        <v>500</v>
      </c>
      <c r="S52" s="542"/>
      <c r="T52" s="542"/>
      <c r="U52" s="541"/>
      <c r="V52" s="510" t="s">
        <v>118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482</v>
      </c>
      <c r="B53" s="527"/>
      <c r="C53" s="352" t="s">
        <v>142</v>
      </c>
      <c r="D53" s="352"/>
      <c r="E53" s="352" t="s">
        <v>483</v>
      </c>
      <c r="F53" s="528" t="s">
        <v>151</v>
      </c>
      <c r="G53" s="529"/>
      <c r="H53" s="529"/>
      <c r="I53" s="529"/>
      <c r="J53" s="529"/>
      <c r="K53" s="529"/>
      <c r="L53" s="529"/>
      <c r="M53" s="530"/>
      <c r="N53" s="351" t="s">
        <v>112</v>
      </c>
      <c r="O53" s="357" t="s">
        <v>194</v>
      </c>
      <c r="P53" s="540" t="s">
        <v>115</v>
      </c>
      <c r="Q53" s="541"/>
      <c r="R53" s="540" t="s">
        <v>153</v>
      </c>
      <c r="S53" s="542"/>
      <c r="T53" s="542"/>
      <c r="U53" s="541"/>
      <c r="V53" s="510" t="s">
        <v>118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/>
      <c r="B54" s="527"/>
      <c r="C54" s="352"/>
      <c r="D54" s="352"/>
      <c r="E54" s="352"/>
      <c r="F54" s="528"/>
      <c r="G54" s="529"/>
      <c r="H54" s="529"/>
      <c r="I54" s="529"/>
      <c r="J54" s="529"/>
      <c r="K54" s="529"/>
      <c r="L54" s="529"/>
      <c r="M54" s="530"/>
      <c r="N54" s="351" t="s">
        <v>501</v>
      </c>
      <c r="O54" s="357" t="s">
        <v>180</v>
      </c>
      <c r="P54" s="540"/>
      <c r="Q54" s="541"/>
      <c r="R54" s="540" t="s">
        <v>502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/>
      <c r="B55" s="527"/>
      <c r="C55" s="352"/>
      <c r="D55" s="352"/>
      <c r="E55" s="352"/>
      <c r="F55" s="528"/>
      <c r="G55" s="529"/>
      <c r="H55" s="529"/>
      <c r="I55" s="529"/>
      <c r="J55" s="529"/>
      <c r="K55" s="529"/>
      <c r="L55" s="529"/>
      <c r="M55" s="530"/>
      <c r="N55" s="351"/>
      <c r="O55" s="357"/>
      <c r="P55" s="540"/>
      <c r="Q55" s="541"/>
      <c r="R55" s="540"/>
      <c r="S55" s="542"/>
      <c r="T55" s="542"/>
      <c r="U55" s="541"/>
      <c r="V55" s="510"/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/>
      <c r="B56" s="527"/>
      <c r="C56" s="352"/>
      <c r="D56" s="352"/>
      <c r="E56" s="352"/>
      <c r="F56" s="528"/>
      <c r="G56" s="529"/>
      <c r="H56" s="529"/>
      <c r="I56" s="529"/>
      <c r="J56" s="529"/>
      <c r="K56" s="529"/>
      <c r="L56" s="529"/>
      <c r="M56" s="530"/>
      <c r="N56" s="351"/>
      <c r="O56" s="357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352"/>
      <c r="D57" s="352"/>
      <c r="E57" s="352"/>
      <c r="F57" s="528"/>
      <c r="G57" s="529"/>
      <c r="H57" s="529"/>
      <c r="I57" s="529"/>
      <c r="J57" s="529"/>
      <c r="K57" s="529"/>
      <c r="L57" s="529"/>
      <c r="M57" s="530"/>
      <c r="N57" s="351"/>
      <c r="O57" s="357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352"/>
      <c r="D58" s="352"/>
      <c r="E58" s="352"/>
      <c r="F58" s="528"/>
      <c r="G58" s="529"/>
      <c r="H58" s="529"/>
      <c r="I58" s="529"/>
      <c r="J58" s="529"/>
      <c r="K58" s="529"/>
      <c r="L58" s="529"/>
      <c r="M58" s="530"/>
      <c r="N58" s="351"/>
      <c r="O58" s="357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352"/>
      <c r="D59" s="352"/>
      <c r="E59" s="352"/>
      <c r="F59" s="528"/>
      <c r="G59" s="529"/>
      <c r="H59" s="529"/>
      <c r="I59" s="529"/>
      <c r="J59" s="529"/>
      <c r="K59" s="529"/>
      <c r="L59" s="529"/>
      <c r="M59" s="530"/>
      <c r="N59" s="351"/>
      <c r="O59" s="357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352"/>
      <c r="D60" s="352"/>
      <c r="E60" s="352"/>
      <c r="F60" s="528"/>
      <c r="G60" s="529"/>
      <c r="H60" s="529"/>
      <c r="I60" s="529"/>
      <c r="J60" s="529"/>
      <c r="K60" s="529"/>
      <c r="L60" s="529"/>
      <c r="M60" s="530"/>
      <c r="N60" s="351"/>
      <c r="O60" s="357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353"/>
      <c r="D61" s="354"/>
      <c r="E61" s="354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503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355" t="s">
        <v>2</v>
      </c>
      <c r="D63" s="355" t="s">
        <v>37</v>
      </c>
      <c r="E63" s="355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355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/>
      <c r="D64" s="359"/>
      <c r="E64" s="356"/>
      <c r="F64" s="513"/>
      <c r="G64" s="514"/>
      <c r="H64" s="514"/>
      <c r="I64" s="514"/>
      <c r="J64" s="515"/>
      <c r="K64" s="497"/>
      <c r="L64" s="497"/>
      <c r="M64" s="51"/>
      <c r="N64" s="511"/>
      <c r="O64" s="511"/>
      <c r="P64" s="512"/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/>
      <c r="D65" s="359"/>
      <c r="E65" s="356"/>
      <c r="F65" s="513"/>
      <c r="G65" s="514"/>
      <c r="H65" s="514"/>
      <c r="I65" s="514"/>
      <c r="J65" s="515"/>
      <c r="K65" s="497"/>
      <c r="L65" s="497"/>
      <c r="M65" s="51"/>
      <c r="N65" s="511"/>
      <c r="O65" s="511"/>
      <c r="P65" s="512"/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359"/>
      <c r="E66" s="356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359"/>
      <c r="E67" s="356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359"/>
      <c r="E68" s="356"/>
      <c r="F68" s="513"/>
      <c r="G68" s="514"/>
      <c r="H68" s="514"/>
      <c r="I68" s="514"/>
      <c r="J68" s="515"/>
      <c r="K68" s="516"/>
      <c r="L68" s="504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359"/>
      <c r="E69" s="356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359"/>
      <c r="E70" s="356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359"/>
      <c r="E71" s="356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359"/>
      <c r="E72" s="356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359"/>
      <c r="E73" s="356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504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358" t="s">
        <v>2</v>
      </c>
      <c r="D75" s="358" t="s">
        <v>37</v>
      </c>
      <c r="E75" s="358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360" t="s">
        <v>112</v>
      </c>
      <c r="D76" s="360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359"/>
      <c r="D77" s="359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2">A77+1</f>
        <v>3</v>
      </c>
      <c r="B78" s="465"/>
      <c r="C78" s="359"/>
      <c r="D78" s="359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2"/>
        <v>4</v>
      </c>
      <c r="B79" s="465"/>
      <c r="C79" s="359"/>
      <c r="D79" s="359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2"/>
        <v>5</v>
      </c>
      <c r="B80" s="465"/>
      <c r="C80" s="359"/>
      <c r="D80" s="359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2"/>
        <v>6</v>
      </c>
      <c r="B81" s="465"/>
      <c r="C81" s="359"/>
      <c r="D81" s="359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2"/>
        <v>7</v>
      </c>
      <c r="B82" s="465"/>
      <c r="C82" s="359"/>
      <c r="D82" s="359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505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0D0C-5CA8-46E8-813E-93F654FF0751}">
  <dimension ref="A1:AF88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62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375" style="50" bestFit="1" customWidth="1"/>
    <col min="8" max="8" width="11" style="50" bestFit="1" customWidth="1"/>
    <col min="9" max="9" width="16.875" style="50" customWidth="1"/>
    <col min="10" max="10" width="15.5" style="50" bestFit="1" customWidth="1"/>
    <col min="11" max="11" width="21.75" style="50" bestFit="1" customWidth="1"/>
    <col min="12" max="12" width="15.7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75" style="50" bestFit="1" customWidth="1"/>
    <col min="20" max="20" width="6.75" style="50" bestFit="1" customWidth="1"/>
    <col min="21" max="21" width="7" style="50" bestFit="1" customWidth="1"/>
    <col min="22" max="22" width="9.25" style="50" bestFit="1" customWidth="1"/>
    <col min="23" max="23" width="10.625" style="50" bestFit="1" customWidth="1"/>
    <col min="24" max="24" width="7.375" style="50" bestFit="1" customWidth="1"/>
    <col min="25" max="26" width="6.375" style="50" bestFit="1" customWidth="1"/>
    <col min="27" max="27" width="7.75" style="50" bestFit="1" customWidth="1"/>
    <col min="28" max="28" width="8.875" style="50" bestFit="1" customWidth="1"/>
    <col min="29" max="30" width="8.5" style="50" bestFit="1" customWidth="1"/>
    <col min="31" max="31" width="6.375" style="50" bestFit="1" customWidth="1"/>
    <col min="32" max="32" width="9.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506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72" t="s">
        <v>17</v>
      </c>
      <c r="L5" s="372" t="s">
        <v>18</v>
      </c>
      <c r="M5" s="372" t="s">
        <v>19</v>
      </c>
      <c r="N5" s="37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6548</v>
      </c>
      <c r="K6" s="15">
        <f>L6+5567+6177+5956+2594+5676+6103+6040+4713+6089+5522+2602+5766+6012+6125+6041+6061+6548</f>
        <v>93592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13" si="7">$AD$23</f>
        <v>0.49686746891488315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L7+3794+3491</f>
        <v>7285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0.49686746891488315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100000</v>
      </c>
      <c r="J8" s="14">
        <v>5265</v>
      </c>
      <c r="K8" s="15">
        <f>L8+1658+3024+3826+5621+5758+5746+5871+5666+2439+5254+5051+3104+4798+5662+2420+5454+5616+4719+3224+5620+5700+2365</f>
        <v>103861</v>
      </c>
      <c r="L8" s="15">
        <f>2387+2878</f>
        <v>5265</v>
      </c>
      <c r="M8" s="15">
        <f t="shared" si="0"/>
        <v>5265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0.49686746891488315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482</v>
      </c>
      <c r="D9" s="52"/>
      <c r="E9" s="53" t="s">
        <v>483</v>
      </c>
      <c r="F9" s="30" t="s">
        <v>211</v>
      </c>
      <c r="G9" s="33">
        <v>1</v>
      </c>
      <c r="H9" s="35">
        <v>24</v>
      </c>
      <c r="I9" s="7">
        <v>1000</v>
      </c>
      <c r="J9" s="14">
        <v>1953</v>
      </c>
      <c r="K9" s="15">
        <f>L9+1830+1953</f>
        <v>3783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0.49686746891488315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149</v>
      </c>
      <c r="D10" s="52"/>
      <c r="E10" s="53" t="s">
        <v>500</v>
      </c>
      <c r="F10" s="30" t="s">
        <v>507</v>
      </c>
      <c r="G10" s="33">
        <v>2</v>
      </c>
      <c r="H10" s="35">
        <v>24</v>
      </c>
      <c r="I10" s="7">
        <v>20000</v>
      </c>
      <c r="J10" s="5">
        <v>9854</v>
      </c>
      <c r="K10" s="15">
        <f>L10</f>
        <v>9854</v>
      </c>
      <c r="L10" s="15">
        <f>2848*2+2079*2</f>
        <v>9854</v>
      </c>
      <c r="M10" s="15">
        <f t="shared" si="0"/>
        <v>9854</v>
      </c>
      <c r="N10" s="15">
        <v>0</v>
      </c>
      <c r="O10" s="58">
        <f t="shared" si="1"/>
        <v>0</v>
      </c>
      <c r="P10" s="39">
        <f t="shared" si="2"/>
        <v>23</v>
      </c>
      <c r="Q10" s="40">
        <f t="shared" si="3"/>
        <v>1</v>
      </c>
      <c r="R10" s="7"/>
      <c r="S10" s="6"/>
      <c r="T10" s="16">
        <v>1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0.95833333333333337</v>
      </c>
      <c r="AD10" s="10">
        <f>AC10*AB10*(1-O10)</f>
        <v>0.95833333333333337</v>
      </c>
      <c r="AE10" s="36">
        <f t="shared" si="7"/>
        <v>0.49686746891488315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5527</v>
      </c>
      <c r="K11" s="15">
        <f>L11+4668+4429+5671+2067+5444+3967+5843+5907+3309+3086+364+5637+5791+5944+2759+4461+5131+2482</f>
        <v>82487</v>
      </c>
      <c r="L11" s="15">
        <f>2385+3142</f>
        <v>5527</v>
      </c>
      <c r="M11" s="15">
        <f t="shared" si="0"/>
        <v>5527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0.49686746891488315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131</v>
      </c>
      <c r="E12" s="53" t="s">
        <v>476</v>
      </c>
      <c r="F12" s="30" t="s">
        <v>210</v>
      </c>
      <c r="G12" s="33">
        <v>1</v>
      </c>
      <c r="H12" s="35">
        <v>24</v>
      </c>
      <c r="I12" s="7">
        <v>6000</v>
      </c>
      <c r="J12" s="14">
        <v>4976</v>
      </c>
      <c r="K12" s="15">
        <f>L12+2754+2021</f>
        <v>9751</v>
      </c>
      <c r="L12" s="15">
        <f>2361+2615</f>
        <v>4976</v>
      </c>
      <c r="M12" s="15">
        <f t="shared" si="0"/>
        <v>4976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5" si="9">AC12*AB12*(1-O12)</f>
        <v>1</v>
      </c>
      <c r="AE12" s="36">
        <f t="shared" si="7"/>
        <v>0.49686746891488315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105000</v>
      </c>
      <c r="J13" s="14">
        <v>7347</v>
      </c>
      <c r="K13" s="15">
        <f>L13+11384+20364+9004+14763+16062+8880+19993+7347</f>
        <v>109123</v>
      </c>
      <c r="L13" s="15">
        <f>442*3</f>
        <v>1326</v>
      </c>
      <c r="M13" s="15">
        <f t="shared" si="0"/>
        <v>1326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0.18048182931808901</v>
      </c>
      <c r="AC13" s="9">
        <f t="shared" si="5"/>
        <v>0.16666666666666666</v>
      </c>
      <c r="AD13" s="10">
        <f t="shared" si="9"/>
        <v>3.0080304886348167E-2</v>
      </c>
      <c r="AE13" s="36">
        <f t="shared" si="7"/>
        <v>0.49686746891488315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121</v>
      </c>
      <c r="D14" s="52" t="s">
        <v>115</v>
      </c>
      <c r="E14" s="53" t="s">
        <v>263</v>
      </c>
      <c r="F14" s="30" t="s">
        <v>125</v>
      </c>
      <c r="G14" s="33">
        <v>4</v>
      </c>
      <c r="H14" s="35">
        <v>24</v>
      </c>
      <c r="I14" s="7">
        <v>520000</v>
      </c>
      <c r="J14" s="14">
        <v>11064</v>
      </c>
      <c r="K14" s="15">
        <f>L14+11600+9308+18652+20744+3640</f>
        <v>75008</v>
      </c>
      <c r="L14" s="15">
        <f>1800*4+966*4</f>
        <v>11064</v>
      </c>
      <c r="M14" s="15">
        <f t="shared" si="0"/>
        <v>11064</v>
      </c>
      <c r="N14" s="15">
        <v>0</v>
      </c>
      <c r="O14" s="58">
        <f t="shared" si="1"/>
        <v>0</v>
      </c>
      <c r="P14" s="39">
        <f t="shared" si="2"/>
        <v>15</v>
      </c>
      <c r="Q14" s="40">
        <f t="shared" si="3"/>
        <v>9</v>
      </c>
      <c r="R14" s="7"/>
      <c r="S14" s="6">
        <v>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0.625</v>
      </c>
      <c r="AD14" s="10">
        <f t="shared" si="9"/>
        <v>0.625</v>
      </c>
      <c r="AE14" s="36">
        <f t="shared" ref="AE14" si="10">$AD$23</f>
        <v>0.49686746891488315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383</v>
      </c>
      <c r="F15" s="30" t="s">
        <v>211</v>
      </c>
      <c r="G15" s="33">
        <v>1</v>
      </c>
      <c r="H15" s="35">
        <v>24</v>
      </c>
      <c r="I15" s="7">
        <v>300</v>
      </c>
      <c r="J15" s="5">
        <v>350</v>
      </c>
      <c r="K15" s="15">
        <f>L15+350</f>
        <v>350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ref="AE15:AE22" si="11">$AD$23</f>
        <v>0.49686746891488315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501</v>
      </c>
      <c r="D16" s="52"/>
      <c r="E16" s="53" t="s">
        <v>508</v>
      </c>
      <c r="F16" s="12" t="s">
        <v>509</v>
      </c>
      <c r="G16" s="12">
        <v>8</v>
      </c>
      <c r="H16" s="13">
        <v>24</v>
      </c>
      <c r="I16" s="31">
        <v>1000</v>
      </c>
      <c r="J16" s="14">
        <v>4000</v>
      </c>
      <c r="K16" s="15">
        <f>L16</f>
        <v>4000</v>
      </c>
      <c r="L16" s="15">
        <v>4000</v>
      </c>
      <c r="M16" s="15">
        <f t="shared" si="0"/>
        <v>4000</v>
      </c>
      <c r="N16" s="15">
        <v>0</v>
      </c>
      <c r="O16" s="58">
        <f t="shared" si="1"/>
        <v>0</v>
      </c>
      <c r="P16" s="39">
        <f t="shared" si="2"/>
        <v>4</v>
      </c>
      <c r="Q16" s="40">
        <f t="shared" si="3"/>
        <v>20</v>
      </c>
      <c r="R16" s="7"/>
      <c r="S16" s="6"/>
      <c r="T16" s="16"/>
      <c r="U16" s="16"/>
      <c r="V16" s="17"/>
      <c r="W16" s="5">
        <v>20</v>
      </c>
      <c r="X16" s="16"/>
      <c r="Y16" s="16"/>
      <c r="Z16" s="16"/>
      <c r="AA16" s="18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6">
        <f t="shared" si="11"/>
        <v>0.49686746891488315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131</v>
      </c>
      <c r="E17" s="53" t="s">
        <v>368</v>
      </c>
      <c r="F17" s="30" t="s">
        <v>210</v>
      </c>
      <c r="G17" s="12">
        <v>4</v>
      </c>
      <c r="H17" s="13">
        <v>28</v>
      </c>
      <c r="I17" s="7">
        <f>105000-16000</f>
        <v>89000</v>
      </c>
      <c r="J17" s="14">
        <v>9596</v>
      </c>
      <c r="K17" s="15">
        <f>L17+13804+13644+15168+9596</f>
        <v>52212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1"/>
        <v>0.49686746891488315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131</v>
      </c>
      <c r="E18" s="53" t="s">
        <v>468</v>
      </c>
      <c r="F18" s="30" t="s">
        <v>132</v>
      </c>
      <c r="G18" s="33">
        <v>2</v>
      </c>
      <c r="H18" s="35">
        <v>24</v>
      </c>
      <c r="I18" s="7">
        <v>33000</v>
      </c>
      <c r="J18" s="5">
        <v>8048</v>
      </c>
      <c r="K18" s="15">
        <f>L18+9348+11626+4860</f>
        <v>33882</v>
      </c>
      <c r="L18" s="15">
        <f>1599*2+2425*2</f>
        <v>8048</v>
      </c>
      <c r="M18" s="15">
        <f t="shared" si="0"/>
        <v>8048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11"/>
        <v>0.49686746891488315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127</v>
      </c>
      <c r="E19" s="53" t="s">
        <v>458</v>
      </c>
      <c r="F19" s="30" t="s">
        <v>210</v>
      </c>
      <c r="G19" s="12">
        <v>2</v>
      </c>
      <c r="H19" s="13">
        <v>28</v>
      </c>
      <c r="I19" s="31">
        <v>44000</v>
      </c>
      <c r="J19" s="5">
        <v>13826</v>
      </c>
      <c r="K19" s="15">
        <f>L19+6198+14056+14264+5998</f>
        <v>54342</v>
      </c>
      <c r="L19" s="15">
        <f>3756*2+242*2+2915*2</f>
        <v>13826</v>
      </c>
      <c r="M19" s="15">
        <f t="shared" si="0"/>
        <v>13826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11"/>
        <v>0.49686746891488315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146</v>
      </c>
      <c r="G20" s="33">
        <v>1</v>
      </c>
      <c r="H20" s="35">
        <v>24</v>
      </c>
      <c r="I20" s="7">
        <v>500</v>
      </c>
      <c r="J20" s="5">
        <v>517</v>
      </c>
      <c r="K20" s="15">
        <f>L20</f>
        <v>517</v>
      </c>
      <c r="L20" s="15">
        <v>517</v>
      </c>
      <c r="M20" s="15">
        <f t="shared" si="0"/>
        <v>517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18</v>
      </c>
      <c r="AB20" s="8">
        <f t="shared" si="4"/>
        <v>1</v>
      </c>
      <c r="AC20" s="9">
        <f t="shared" si="5"/>
        <v>0.25</v>
      </c>
      <c r="AD20" s="10">
        <f>AC20*AB20*(1-O20)</f>
        <v>0.25</v>
      </c>
      <c r="AE20" s="36">
        <f t="shared" si="11"/>
        <v>0.49686746891488315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469</v>
      </c>
      <c r="F21" s="30" t="s">
        <v>119</v>
      </c>
      <c r="G21" s="33">
        <v>1</v>
      </c>
      <c r="H21" s="35">
        <v>24</v>
      </c>
      <c r="I21" s="7">
        <v>64000</v>
      </c>
      <c r="J21" s="14">
        <v>5343</v>
      </c>
      <c r="K21" s="15">
        <f>L21+4204+5394+5278+1522+3899+5224+5152+5164+2208+4924+654+3141+5593+2079</f>
        <v>59779</v>
      </c>
      <c r="L21" s="15">
        <f>2986+2357</f>
        <v>5343</v>
      </c>
      <c r="M21" s="15">
        <f t="shared" si="0"/>
        <v>5343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11"/>
        <v>0.49686746891488315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432</v>
      </c>
      <c r="F22" s="12" t="s">
        <v>114</v>
      </c>
      <c r="G22" s="12">
        <v>4</v>
      </c>
      <c r="H22" s="35">
        <v>20</v>
      </c>
      <c r="I22" s="7">
        <v>500000</v>
      </c>
      <c r="J22" s="14">
        <v>31140</v>
      </c>
      <c r="K22" s="15">
        <f>L22+16808+39112+38440+39748</f>
        <v>165248</v>
      </c>
      <c r="L22" s="15">
        <f>7785*4</f>
        <v>31140</v>
      </c>
      <c r="M22" s="15">
        <f t="shared" si="0"/>
        <v>31140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11"/>
        <v>0.49686746891488315</v>
      </c>
      <c r="AF22" s="84">
        <f t="shared" si="8"/>
        <v>16</v>
      </c>
    </row>
    <row r="23" spans="1:32" ht="31.5" customHeight="1" thickBot="1">
      <c r="A23" s="545" t="s">
        <v>34</v>
      </c>
      <c r="B23" s="546"/>
      <c r="C23" s="546"/>
      <c r="D23" s="546"/>
      <c r="E23" s="546"/>
      <c r="F23" s="546"/>
      <c r="G23" s="546"/>
      <c r="H23" s="547"/>
      <c r="I23" s="22">
        <f t="shared" ref="I23:N23" si="12">SUM(I6:I22)</f>
        <v>1618800</v>
      </c>
      <c r="J23" s="19">
        <f t="shared" si="12"/>
        <v>128845</v>
      </c>
      <c r="K23" s="20">
        <f t="shared" si="12"/>
        <v>865074</v>
      </c>
      <c r="L23" s="21">
        <f t="shared" si="12"/>
        <v>100886</v>
      </c>
      <c r="M23" s="20">
        <f t="shared" si="12"/>
        <v>100886</v>
      </c>
      <c r="N23" s="21">
        <f t="shared" si="12"/>
        <v>0</v>
      </c>
      <c r="O23" s="41">
        <f t="shared" si="1"/>
        <v>0</v>
      </c>
      <c r="P23" s="42">
        <f t="shared" ref="P23:AA23" si="13">SUM(P6:P22)</f>
        <v>206</v>
      </c>
      <c r="Q23" s="43">
        <f t="shared" si="13"/>
        <v>202</v>
      </c>
      <c r="R23" s="23">
        <f t="shared" si="13"/>
        <v>24</v>
      </c>
      <c r="S23" s="24">
        <f t="shared" si="13"/>
        <v>29</v>
      </c>
      <c r="T23" s="24">
        <f t="shared" si="13"/>
        <v>1</v>
      </c>
      <c r="U23" s="24">
        <f t="shared" si="13"/>
        <v>0</v>
      </c>
      <c r="V23" s="25">
        <f t="shared" si="13"/>
        <v>14</v>
      </c>
      <c r="W23" s="26">
        <f t="shared" si="13"/>
        <v>92</v>
      </c>
      <c r="X23" s="27">
        <f t="shared" si="13"/>
        <v>0</v>
      </c>
      <c r="Y23" s="27">
        <f t="shared" si="13"/>
        <v>0</v>
      </c>
      <c r="Z23" s="27">
        <f t="shared" si="13"/>
        <v>0</v>
      </c>
      <c r="AA23" s="27">
        <f t="shared" si="13"/>
        <v>42</v>
      </c>
      <c r="AB23" s="28">
        <f>AVERAGE(AB6:AB22)</f>
        <v>0.65767540172459349</v>
      </c>
      <c r="AC23" s="4">
        <f>AVERAGE(AC6:AC22)</f>
        <v>0.50490196078431371</v>
      </c>
      <c r="AD23" s="4">
        <f>AVERAGE(AD6:AD22)</f>
        <v>0.49686746891488315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8" t="s">
        <v>45</v>
      </c>
      <c r="B50" s="548"/>
      <c r="C50" s="548"/>
      <c r="D50" s="548"/>
      <c r="E50" s="5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9" t="s">
        <v>510</v>
      </c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1"/>
      <c r="N51" s="552" t="s">
        <v>511</v>
      </c>
      <c r="O51" s="553"/>
      <c r="P51" s="553"/>
      <c r="Q51" s="553"/>
      <c r="R51" s="553"/>
      <c r="S51" s="553"/>
      <c r="T51" s="553"/>
      <c r="U51" s="553"/>
      <c r="V51" s="553"/>
      <c r="W51" s="553"/>
      <c r="X51" s="553"/>
      <c r="Y51" s="553"/>
      <c r="Z51" s="553"/>
      <c r="AA51" s="553"/>
      <c r="AB51" s="553"/>
      <c r="AC51" s="553"/>
      <c r="AD51" s="554"/>
    </row>
    <row r="52" spans="1:32" ht="27" customHeight="1">
      <c r="A52" s="555" t="s">
        <v>2</v>
      </c>
      <c r="B52" s="556"/>
      <c r="C52" s="371" t="s">
        <v>46</v>
      </c>
      <c r="D52" s="371" t="s">
        <v>47</v>
      </c>
      <c r="E52" s="371" t="s">
        <v>107</v>
      </c>
      <c r="F52" s="557" t="s">
        <v>106</v>
      </c>
      <c r="G52" s="558"/>
      <c r="H52" s="558"/>
      <c r="I52" s="558"/>
      <c r="J52" s="558"/>
      <c r="K52" s="558"/>
      <c r="L52" s="558"/>
      <c r="M52" s="559"/>
      <c r="N52" s="67" t="s">
        <v>110</v>
      </c>
      <c r="O52" s="371" t="s">
        <v>46</v>
      </c>
      <c r="P52" s="557" t="s">
        <v>47</v>
      </c>
      <c r="Q52" s="560"/>
      <c r="R52" s="557" t="s">
        <v>38</v>
      </c>
      <c r="S52" s="558"/>
      <c r="T52" s="558"/>
      <c r="U52" s="560"/>
      <c r="V52" s="557" t="s">
        <v>48</v>
      </c>
      <c r="W52" s="558"/>
      <c r="X52" s="558"/>
      <c r="Y52" s="558"/>
      <c r="Z52" s="558"/>
      <c r="AA52" s="558"/>
      <c r="AB52" s="558"/>
      <c r="AC52" s="558"/>
      <c r="AD52" s="559"/>
    </row>
    <row r="53" spans="1:32" ht="27" customHeight="1">
      <c r="A53" s="526" t="s">
        <v>149</v>
      </c>
      <c r="B53" s="527"/>
      <c r="C53" s="368" t="s">
        <v>214</v>
      </c>
      <c r="D53" s="368"/>
      <c r="E53" s="368" t="s">
        <v>500</v>
      </c>
      <c r="F53" s="528" t="s">
        <v>118</v>
      </c>
      <c r="G53" s="529"/>
      <c r="H53" s="529"/>
      <c r="I53" s="529"/>
      <c r="J53" s="529"/>
      <c r="K53" s="529"/>
      <c r="L53" s="529"/>
      <c r="M53" s="530"/>
      <c r="N53" s="367" t="s">
        <v>120</v>
      </c>
      <c r="O53" s="365" t="s">
        <v>130</v>
      </c>
      <c r="P53" s="540" t="s">
        <v>128</v>
      </c>
      <c r="Q53" s="541"/>
      <c r="R53" s="540" t="s">
        <v>512</v>
      </c>
      <c r="S53" s="542"/>
      <c r="T53" s="542"/>
      <c r="U53" s="541"/>
      <c r="V53" s="510" t="s">
        <v>118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121</v>
      </c>
      <c r="B54" s="527"/>
      <c r="C54" s="368" t="s">
        <v>179</v>
      </c>
      <c r="D54" s="368" t="s">
        <v>115</v>
      </c>
      <c r="E54" s="368" t="s">
        <v>351</v>
      </c>
      <c r="F54" s="528" t="s">
        <v>449</v>
      </c>
      <c r="G54" s="529"/>
      <c r="H54" s="529"/>
      <c r="I54" s="529"/>
      <c r="J54" s="529"/>
      <c r="K54" s="529"/>
      <c r="L54" s="529"/>
      <c r="M54" s="530"/>
      <c r="N54" s="367" t="s">
        <v>120</v>
      </c>
      <c r="O54" s="365" t="s">
        <v>142</v>
      </c>
      <c r="P54" s="540" t="s">
        <v>134</v>
      </c>
      <c r="Q54" s="541"/>
      <c r="R54" s="540" t="s">
        <v>513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121</v>
      </c>
      <c r="B55" s="527"/>
      <c r="C55" s="368" t="s">
        <v>179</v>
      </c>
      <c r="D55" s="368" t="s">
        <v>115</v>
      </c>
      <c r="E55" s="368" t="s">
        <v>263</v>
      </c>
      <c r="F55" s="528" t="s">
        <v>449</v>
      </c>
      <c r="G55" s="529"/>
      <c r="H55" s="529"/>
      <c r="I55" s="529"/>
      <c r="J55" s="529"/>
      <c r="K55" s="529"/>
      <c r="L55" s="529"/>
      <c r="M55" s="530"/>
      <c r="N55" s="367" t="s">
        <v>121</v>
      </c>
      <c r="O55" s="365" t="s">
        <v>141</v>
      </c>
      <c r="P55" s="540" t="s">
        <v>131</v>
      </c>
      <c r="Q55" s="541"/>
      <c r="R55" s="540" t="s">
        <v>329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501</v>
      </c>
      <c r="B56" s="527"/>
      <c r="C56" s="368" t="s">
        <v>180</v>
      </c>
      <c r="D56" s="368"/>
      <c r="E56" s="368" t="s">
        <v>508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367" t="s">
        <v>120</v>
      </c>
      <c r="O56" s="365" t="s">
        <v>239</v>
      </c>
      <c r="P56" s="540" t="s">
        <v>196</v>
      </c>
      <c r="Q56" s="541"/>
      <c r="R56" s="540" t="s">
        <v>514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368" t="s">
        <v>194</v>
      </c>
      <c r="D57" s="368" t="s">
        <v>115</v>
      </c>
      <c r="E57" s="368" t="s">
        <v>153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367" t="s">
        <v>121</v>
      </c>
      <c r="O57" s="365" t="s">
        <v>179</v>
      </c>
      <c r="P57" s="540" t="s">
        <v>115</v>
      </c>
      <c r="Q57" s="541"/>
      <c r="R57" s="540" t="s">
        <v>351</v>
      </c>
      <c r="S57" s="542"/>
      <c r="T57" s="542"/>
      <c r="U57" s="541"/>
      <c r="V57" s="510" t="s">
        <v>151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368"/>
      <c r="D58" s="368"/>
      <c r="E58" s="368"/>
      <c r="F58" s="528"/>
      <c r="G58" s="529"/>
      <c r="H58" s="529"/>
      <c r="I58" s="529"/>
      <c r="J58" s="529"/>
      <c r="K58" s="529"/>
      <c r="L58" s="529"/>
      <c r="M58" s="530"/>
      <c r="N58" s="367"/>
      <c r="O58" s="365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368"/>
      <c r="D59" s="368"/>
      <c r="E59" s="368"/>
      <c r="F59" s="528"/>
      <c r="G59" s="529"/>
      <c r="H59" s="529"/>
      <c r="I59" s="529"/>
      <c r="J59" s="529"/>
      <c r="K59" s="529"/>
      <c r="L59" s="529"/>
      <c r="M59" s="530"/>
      <c r="N59" s="367"/>
      <c r="O59" s="365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368"/>
      <c r="D60" s="368"/>
      <c r="E60" s="368"/>
      <c r="F60" s="528"/>
      <c r="G60" s="529"/>
      <c r="H60" s="529"/>
      <c r="I60" s="529"/>
      <c r="J60" s="529"/>
      <c r="K60" s="529"/>
      <c r="L60" s="529"/>
      <c r="M60" s="530"/>
      <c r="N60" s="367"/>
      <c r="O60" s="365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368"/>
      <c r="D61" s="368"/>
      <c r="E61" s="368"/>
      <c r="F61" s="528"/>
      <c r="G61" s="529"/>
      <c r="H61" s="529"/>
      <c r="I61" s="529"/>
      <c r="J61" s="529"/>
      <c r="K61" s="529"/>
      <c r="L61" s="529"/>
      <c r="M61" s="530"/>
      <c r="N61" s="367"/>
      <c r="O61" s="365"/>
      <c r="P61" s="527"/>
      <c r="Q61" s="527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  <c r="AF61" s="84">
        <f>8*3000</f>
        <v>24000</v>
      </c>
    </row>
    <row r="62" spans="1:32" ht="27" customHeight="1" thickBot="1">
      <c r="A62" s="532"/>
      <c r="B62" s="533"/>
      <c r="C62" s="369"/>
      <c r="D62" s="370"/>
      <c r="E62" s="370"/>
      <c r="F62" s="534"/>
      <c r="G62" s="535"/>
      <c r="H62" s="535"/>
      <c r="I62" s="535"/>
      <c r="J62" s="535"/>
      <c r="K62" s="535"/>
      <c r="L62" s="535"/>
      <c r="M62" s="536"/>
      <c r="N62" s="112"/>
      <c r="O62" s="103"/>
      <c r="P62" s="537"/>
      <c r="Q62" s="537"/>
      <c r="R62" s="537"/>
      <c r="S62" s="537"/>
      <c r="T62" s="537"/>
      <c r="U62" s="537"/>
      <c r="V62" s="538"/>
      <c r="W62" s="538"/>
      <c r="X62" s="538"/>
      <c r="Y62" s="538"/>
      <c r="Z62" s="538"/>
      <c r="AA62" s="538"/>
      <c r="AB62" s="538"/>
      <c r="AC62" s="538"/>
      <c r="AD62" s="539"/>
      <c r="AF62" s="84">
        <f>16*3000</f>
        <v>48000</v>
      </c>
    </row>
    <row r="63" spans="1:32" ht="27.75" thickBot="1">
      <c r="A63" s="524" t="s">
        <v>515</v>
      </c>
      <c r="B63" s="524"/>
      <c r="C63" s="524"/>
      <c r="D63" s="524"/>
      <c r="E63" s="52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25" t="s">
        <v>111</v>
      </c>
      <c r="B64" s="520"/>
      <c r="C64" s="366" t="s">
        <v>2</v>
      </c>
      <c r="D64" s="366" t="s">
        <v>37</v>
      </c>
      <c r="E64" s="366" t="s">
        <v>3</v>
      </c>
      <c r="F64" s="520" t="s">
        <v>109</v>
      </c>
      <c r="G64" s="520"/>
      <c r="H64" s="520"/>
      <c r="I64" s="520"/>
      <c r="J64" s="520"/>
      <c r="K64" s="520" t="s">
        <v>39</v>
      </c>
      <c r="L64" s="520"/>
      <c r="M64" s="366" t="s">
        <v>40</v>
      </c>
      <c r="N64" s="520" t="s">
        <v>41</v>
      </c>
      <c r="O64" s="520"/>
      <c r="P64" s="517" t="s">
        <v>42</v>
      </c>
      <c r="Q64" s="519"/>
      <c r="R64" s="517" t="s">
        <v>43</v>
      </c>
      <c r="S64" s="518"/>
      <c r="T64" s="518"/>
      <c r="U64" s="518"/>
      <c r="V64" s="518"/>
      <c r="W64" s="518"/>
      <c r="X64" s="518"/>
      <c r="Y64" s="518"/>
      <c r="Z64" s="518"/>
      <c r="AA64" s="519"/>
      <c r="AB64" s="520" t="s">
        <v>44</v>
      </c>
      <c r="AC64" s="520"/>
      <c r="AD64" s="521"/>
      <c r="AF64" s="84">
        <f>SUM(AF61:AF63)</f>
        <v>96000</v>
      </c>
    </row>
    <row r="65" spans="1:32" ht="25.5" customHeight="1">
      <c r="A65" s="503">
        <v>1</v>
      </c>
      <c r="B65" s="504"/>
      <c r="C65" s="105" t="s">
        <v>120</v>
      </c>
      <c r="D65" s="361"/>
      <c r="E65" s="364" t="s">
        <v>370</v>
      </c>
      <c r="F65" s="513" t="s">
        <v>516</v>
      </c>
      <c r="G65" s="514"/>
      <c r="H65" s="514"/>
      <c r="I65" s="514"/>
      <c r="J65" s="515"/>
      <c r="K65" s="497" t="s">
        <v>521</v>
      </c>
      <c r="L65" s="497"/>
      <c r="M65" s="51" t="s">
        <v>144</v>
      </c>
      <c r="N65" s="511" t="s">
        <v>142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516"/>
      <c r="AC65" s="522"/>
      <c r="AD65" s="523"/>
      <c r="AF65" s="50"/>
    </row>
    <row r="66" spans="1:32" ht="25.5" customHeight="1">
      <c r="A66" s="503">
        <v>2</v>
      </c>
      <c r="B66" s="504"/>
      <c r="C66" s="105" t="s">
        <v>120</v>
      </c>
      <c r="D66" s="361"/>
      <c r="E66" s="364" t="s">
        <v>196</v>
      </c>
      <c r="F66" s="513" t="s">
        <v>517</v>
      </c>
      <c r="G66" s="514"/>
      <c r="H66" s="514"/>
      <c r="I66" s="514"/>
      <c r="J66" s="515"/>
      <c r="K66" s="497" t="s">
        <v>256</v>
      </c>
      <c r="L66" s="497"/>
      <c r="M66" s="51" t="s">
        <v>144</v>
      </c>
      <c r="N66" s="511" t="s">
        <v>142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3</v>
      </c>
      <c r="B67" s="504"/>
      <c r="C67" s="105" t="s">
        <v>120</v>
      </c>
      <c r="D67" s="361"/>
      <c r="E67" s="364" t="s">
        <v>128</v>
      </c>
      <c r="F67" s="513" t="s">
        <v>518</v>
      </c>
      <c r="G67" s="514"/>
      <c r="H67" s="514"/>
      <c r="I67" s="514"/>
      <c r="J67" s="515"/>
      <c r="K67" s="497" t="s">
        <v>521</v>
      </c>
      <c r="L67" s="497"/>
      <c r="M67" s="51" t="s">
        <v>144</v>
      </c>
      <c r="N67" s="511" t="s">
        <v>142</v>
      </c>
      <c r="O67" s="511"/>
      <c r="P67" s="512">
        <v>50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4</v>
      </c>
      <c r="B68" s="504"/>
      <c r="C68" s="105" t="s">
        <v>120</v>
      </c>
      <c r="D68" s="361"/>
      <c r="E68" s="364" t="s">
        <v>134</v>
      </c>
      <c r="F68" s="513" t="s">
        <v>519</v>
      </c>
      <c r="G68" s="514"/>
      <c r="H68" s="514"/>
      <c r="I68" s="514"/>
      <c r="J68" s="515"/>
      <c r="K68" s="497" t="s">
        <v>135</v>
      </c>
      <c r="L68" s="497"/>
      <c r="M68" s="51" t="s">
        <v>144</v>
      </c>
      <c r="N68" s="511" t="s">
        <v>142</v>
      </c>
      <c r="O68" s="511"/>
      <c r="P68" s="512"/>
      <c r="Q68" s="512"/>
      <c r="R68" s="510" t="s">
        <v>522</v>
      </c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5</v>
      </c>
      <c r="B69" s="504"/>
      <c r="C69" s="105" t="s">
        <v>120</v>
      </c>
      <c r="D69" s="361"/>
      <c r="E69" s="364" t="s">
        <v>115</v>
      </c>
      <c r="F69" s="513" t="s">
        <v>520</v>
      </c>
      <c r="G69" s="514"/>
      <c r="H69" s="514"/>
      <c r="I69" s="514"/>
      <c r="J69" s="515"/>
      <c r="K69" s="497" t="s">
        <v>521</v>
      </c>
      <c r="L69" s="497"/>
      <c r="M69" s="51" t="s">
        <v>144</v>
      </c>
      <c r="N69" s="511" t="s">
        <v>194</v>
      </c>
      <c r="O69" s="511"/>
      <c r="P69" s="512">
        <v>50</v>
      </c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6</v>
      </c>
      <c r="B70" s="504"/>
      <c r="C70" s="105"/>
      <c r="D70" s="361"/>
      <c r="E70" s="364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7</v>
      </c>
      <c r="B71" s="504"/>
      <c r="C71" s="105"/>
      <c r="D71" s="361"/>
      <c r="E71" s="364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8</v>
      </c>
      <c r="B72" s="504"/>
      <c r="C72" s="105"/>
      <c r="D72" s="361"/>
      <c r="E72" s="364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9</v>
      </c>
      <c r="B73" s="504"/>
      <c r="C73" s="105"/>
      <c r="D73" s="361"/>
      <c r="E73" s="364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10</v>
      </c>
      <c r="B74" s="504"/>
      <c r="C74" s="105"/>
      <c r="D74" s="361"/>
      <c r="E74" s="364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6.25" customHeight="1" thickBot="1">
      <c r="A75" s="477" t="s">
        <v>523</v>
      </c>
      <c r="B75" s="477"/>
      <c r="C75" s="477"/>
      <c r="D75" s="477"/>
      <c r="E75" s="47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8" t="s">
        <v>111</v>
      </c>
      <c r="B76" s="479"/>
      <c r="C76" s="363" t="s">
        <v>2</v>
      </c>
      <c r="D76" s="363" t="s">
        <v>37</v>
      </c>
      <c r="E76" s="363" t="s">
        <v>3</v>
      </c>
      <c r="F76" s="479" t="s">
        <v>38</v>
      </c>
      <c r="G76" s="479"/>
      <c r="H76" s="479"/>
      <c r="I76" s="479"/>
      <c r="J76" s="479"/>
      <c r="K76" s="499" t="s">
        <v>58</v>
      </c>
      <c r="L76" s="500"/>
      <c r="M76" s="500"/>
      <c r="N76" s="500"/>
      <c r="O76" s="500"/>
      <c r="P76" s="500"/>
      <c r="Q76" s="500"/>
      <c r="R76" s="500"/>
      <c r="S76" s="501"/>
      <c r="T76" s="479" t="s">
        <v>49</v>
      </c>
      <c r="U76" s="479"/>
      <c r="V76" s="499" t="s">
        <v>50</v>
      </c>
      <c r="W76" s="501"/>
      <c r="X76" s="500" t="s">
        <v>51</v>
      </c>
      <c r="Y76" s="500"/>
      <c r="Z76" s="500"/>
      <c r="AA76" s="500"/>
      <c r="AB76" s="500"/>
      <c r="AC76" s="500"/>
      <c r="AD76" s="502"/>
      <c r="AF76" s="50"/>
    </row>
    <row r="77" spans="1:32" ht="33.75" customHeight="1">
      <c r="A77" s="471">
        <v>1</v>
      </c>
      <c r="B77" s="472"/>
      <c r="C77" s="362" t="s">
        <v>112</v>
      </c>
      <c r="D77" s="362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64">
        <f>A77+1</f>
        <v>2</v>
      </c>
      <c r="B78" s="465"/>
      <c r="C78" s="361"/>
      <c r="D78" s="361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ref="A79:A83" si="14">A78+1</f>
        <v>3</v>
      </c>
      <c r="B79" s="465"/>
      <c r="C79" s="361"/>
      <c r="D79" s="361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4"/>
        <v>4</v>
      </c>
      <c r="B80" s="465"/>
      <c r="C80" s="361"/>
      <c r="D80" s="361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4"/>
        <v>5</v>
      </c>
      <c r="B81" s="465"/>
      <c r="C81" s="361"/>
      <c r="D81" s="361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4"/>
        <v>6</v>
      </c>
      <c r="B82" s="465"/>
      <c r="C82" s="361"/>
      <c r="D82" s="361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14"/>
        <v>7</v>
      </c>
      <c r="B83" s="465"/>
      <c r="C83" s="361"/>
      <c r="D83" s="361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7" t="s">
        <v>524</v>
      </c>
      <c r="B84" s="477"/>
      <c r="C84" s="477"/>
      <c r="D84" s="477"/>
      <c r="E84" s="47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8" t="s">
        <v>111</v>
      </c>
      <c r="B85" s="479"/>
      <c r="C85" s="469" t="s">
        <v>52</v>
      </c>
      <c r="D85" s="469"/>
      <c r="E85" s="469" t="s">
        <v>53</v>
      </c>
      <c r="F85" s="469"/>
      <c r="G85" s="469"/>
      <c r="H85" s="469"/>
      <c r="I85" s="469"/>
      <c r="J85" s="469"/>
      <c r="K85" s="469" t="s">
        <v>54</v>
      </c>
      <c r="L85" s="469"/>
      <c r="M85" s="469"/>
      <c r="N85" s="469"/>
      <c r="O85" s="469"/>
      <c r="P85" s="469"/>
      <c r="Q85" s="469"/>
      <c r="R85" s="469"/>
      <c r="S85" s="469"/>
      <c r="T85" s="469" t="s">
        <v>55</v>
      </c>
      <c r="U85" s="469"/>
      <c r="V85" s="469" t="s">
        <v>56</v>
      </c>
      <c r="W85" s="469"/>
      <c r="X85" s="469"/>
      <c r="Y85" s="469" t="s">
        <v>51</v>
      </c>
      <c r="Z85" s="469"/>
      <c r="AA85" s="469"/>
      <c r="AB85" s="469"/>
      <c r="AC85" s="469"/>
      <c r="AD85" s="470"/>
      <c r="AF85" s="50"/>
    </row>
    <row r="86" spans="1:32" ht="30.75" customHeight="1">
      <c r="A86" s="471">
        <v>1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4"/>
      <c r="W86" s="474"/>
      <c r="X86" s="474"/>
      <c r="Y86" s="475"/>
      <c r="Z86" s="475"/>
      <c r="AA86" s="475"/>
      <c r="AB86" s="475"/>
      <c r="AC86" s="475"/>
      <c r="AD86" s="476"/>
      <c r="AF86" s="50"/>
    </row>
    <row r="87" spans="1:32" ht="30.75" customHeight="1">
      <c r="A87" s="464">
        <v>2</v>
      </c>
      <c r="B87" s="465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7"/>
      <c r="U87" s="467"/>
      <c r="V87" s="468"/>
      <c r="W87" s="468"/>
      <c r="X87" s="468"/>
      <c r="Y87" s="457"/>
      <c r="Z87" s="457"/>
      <c r="AA87" s="457"/>
      <c r="AB87" s="457"/>
      <c r="AC87" s="457"/>
      <c r="AD87" s="458"/>
      <c r="AF87" s="50"/>
    </row>
    <row r="88" spans="1:32" ht="30.75" customHeight="1" thickBot="1">
      <c r="A88" s="459">
        <v>3</v>
      </c>
      <c r="B88" s="460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2"/>
      <c r="Z88" s="462"/>
      <c r="AA88" s="462"/>
      <c r="AB88" s="462"/>
      <c r="AC88" s="462"/>
      <c r="AD88" s="463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48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90C7-74FD-4C65-97F4-886C4F359323}">
  <dimension ref="A1:AF88"/>
  <sheetViews>
    <sheetView view="pageBreakPreview" topLeftCell="A40" zoomScale="70" zoomScaleNormal="72" zoomScaleSheetLayoutView="70" workbookViewId="0">
      <selection activeCell="F61" sqref="F61:M61"/>
    </sheetView>
  </sheetViews>
  <sheetFormatPr defaultRowHeight="14.25"/>
  <cols>
    <col min="1" max="1" width="4.62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375" style="50" bestFit="1" customWidth="1"/>
    <col min="8" max="8" width="11" style="50" bestFit="1" customWidth="1"/>
    <col min="9" max="9" width="16.875" style="50" customWidth="1"/>
    <col min="10" max="10" width="15.5" style="50" bestFit="1" customWidth="1"/>
    <col min="11" max="11" width="21.75" style="50" bestFit="1" customWidth="1"/>
    <col min="12" max="12" width="15.7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75" style="50" bestFit="1" customWidth="1"/>
    <col min="20" max="20" width="6.75" style="50" bestFit="1" customWidth="1"/>
    <col min="21" max="21" width="7" style="50" bestFit="1" customWidth="1"/>
    <col min="22" max="22" width="9.25" style="50" bestFit="1" customWidth="1"/>
    <col min="23" max="23" width="10.625" style="50" bestFit="1" customWidth="1"/>
    <col min="24" max="24" width="7.375" style="50" bestFit="1" customWidth="1"/>
    <col min="25" max="26" width="6.375" style="50" bestFit="1" customWidth="1"/>
    <col min="27" max="27" width="7.75" style="50" bestFit="1" customWidth="1"/>
    <col min="28" max="28" width="8.875" style="50" bestFit="1" customWidth="1"/>
    <col min="29" max="30" width="8.5" style="50" bestFit="1" customWidth="1"/>
    <col min="31" max="31" width="6.375" style="50" bestFit="1" customWidth="1"/>
    <col min="32" max="32" width="9.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525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73" t="s">
        <v>17</v>
      </c>
      <c r="L5" s="373" t="s">
        <v>18</v>
      </c>
      <c r="M5" s="373" t="s">
        <v>19</v>
      </c>
      <c r="N5" s="37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238</v>
      </c>
      <c r="F6" s="30" t="s">
        <v>143</v>
      </c>
      <c r="G6" s="12">
        <v>1</v>
      </c>
      <c r="H6" s="13">
        <v>24</v>
      </c>
      <c r="I6" s="31">
        <v>64000</v>
      </c>
      <c r="J6" s="5">
        <v>6548</v>
      </c>
      <c r="K6" s="15">
        <f>L6+5567+6177+5956+2594+5676+6103+6040+4713+6089+5522+2602+5766+6012+6125+6041+6061+6548</f>
        <v>93592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0.49509803921568635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L7+3794+3491</f>
        <v>7285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0.49509803921568635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512</v>
      </c>
      <c r="F8" s="30" t="s">
        <v>146</v>
      </c>
      <c r="G8" s="33">
        <v>1</v>
      </c>
      <c r="H8" s="35">
        <v>24</v>
      </c>
      <c r="I8" s="7">
        <v>15000</v>
      </c>
      <c r="J8" s="14">
        <v>4409</v>
      </c>
      <c r="K8" s="15">
        <f>L8</f>
        <v>4409</v>
      </c>
      <c r="L8" s="15">
        <f>2937+1472</f>
        <v>4409</v>
      </c>
      <c r="M8" s="15">
        <f t="shared" si="0"/>
        <v>4409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0.49509803921568635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134</v>
      </c>
      <c r="E9" s="53" t="s">
        <v>513</v>
      </c>
      <c r="F9" s="30" t="s">
        <v>526</v>
      </c>
      <c r="G9" s="33">
        <v>16</v>
      </c>
      <c r="H9" s="35">
        <v>24</v>
      </c>
      <c r="I9" s="7">
        <v>10000</v>
      </c>
      <c r="J9" s="14">
        <v>10000</v>
      </c>
      <c r="K9" s="15">
        <f>L9</f>
        <v>10000</v>
      </c>
      <c r="L9" s="15">
        <f>10000</f>
        <v>10000</v>
      </c>
      <c r="M9" s="15">
        <f t="shared" si="0"/>
        <v>10000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0.49509803921568635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149</v>
      </c>
      <c r="D10" s="52"/>
      <c r="E10" s="53" t="s">
        <v>500</v>
      </c>
      <c r="F10" s="30" t="s">
        <v>507</v>
      </c>
      <c r="G10" s="33">
        <v>2</v>
      </c>
      <c r="H10" s="35">
        <v>24</v>
      </c>
      <c r="I10" s="7">
        <v>20000</v>
      </c>
      <c r="J10" s="5">
        <v>7338</v>
      </c>
      <c r="K10" s="15">
        <f>L10+9854</f>
        <v>17192</v>
      </c>
      <c r="L10" s="15">
        <f>2654*2+1015*2</f>
        <v>7338</v>
      </c>
      <c r="M10" s="15">
        <f t="shared" si="0"/>
        <v>7338</v>
      </c>
      <c r="N10" s="15">
        <v>0</v>
      </c>
      <c r="O10" s="58">
        <f t="shared" si="1"/>
        <v>0</v>
      </c>
      <c r="P10" s="39">
        <f t="shared" si="2"/>
        <v>19</v>
      </c>
      <c r="Q10" s="40">
        <f t="shared" si="3"/>
        <v>5</v>
      </c>
      <c r="R10" s="7"/>
      <c r="S10" s="6"/>
      <c r="T10" s="16"/>
      <c r="U10" s="16"/>
      <c r="V10" s="17"/>
      <c r="W10" s="5">
        <v>5</v>
      </c>
      <c r="X10" s="16"/>
      <c r="Y10" s="16"/>
      <c r="Z10" s="16"/>
      <c r="AA10" s="18"/>
      <c r="AB10" s="8">
        <f t="shared" si="4"/>
        <v>1</v>
      </c>
      <c r="AC10" s="9">
        <f t="shared" si="5"/>
        <v>0.79166666666666663</v>
      </c>
      <c r="AD10" s="10">
        <f>AC10*AB10*(1-O10)</f>
        <v>0.79166666666666663</v>
      </c>
      <c r="AE10" s="36">
        <f t="shared" si="7"/>
        <v>0.49509803921568635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112</v>
      </c>
      <c r="D11" s="52" t="s">
        <v>257</v>
      </c>
      <c r="E11" s="53" t="s">
        <v>258</v>
      </c>
      <c r="F11" s="30" t="s">
        <v>124</v>
      </c>
      <c r="G11" s="33">
        <v>1</v>
      </c>
      <c r="H11" s="35">
        <v>24</v>
      </c>
      <c r="I11" s="7">
        <v>64000</v>
      </c>
      <c r="J11" s="5">
        <v>5542</v>
      </c>
      <c r="K11" s="15">
        <f>L11+4668+4429+5671+2067+5444+3967+5843+5907+3309+3086+364+5637+5791+5944+2759+4461+5131+2482+5527</f>
        <v>88029</v>
      </c>
      <c r="L11" s="15">
        <f>2809+2733</f>
        <v>5542</v>
      </c>
      <c r="M11" s="15">
        <f t="shared" si="0"/>
        <v>5542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0.49509803921568635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196</v>
      </c>
      <c r="E12" s="53" t="s">
        <v>514</v>
      </c>
      <c r="F12" s="30" t="s">
        <v>210</v>
      </c>
      <c r="G12" s="33">
        <v>1</v>
      </c>
      <c r="H12" s="35">
        <v>24</v>
      </c>
      <c r="I12" s="7">
        <v>6000</v>
      </c>
      <c r="J12" s="14">
        <v>4190</v>
      </c>
      <c r="K12" s="15">
        <f>L12</f>
        <v>4190</v>
      </c>
      <c r="L12" s="15">
        <f>1847+2343</f>
        <v>4190</v>
      </c>
      <c r="M12" s="15">
        <f t="shared" si="0"/>
        <v>4190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/>
      <c r="T12" s="16">
        <v>2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ref="AD12:AD15" si="9">AC12*AB12*(1-O12)</f>
        <v>0.91666666666666663</v>
      </c>
      <c r="AE12" s="36">
        <f t="shared" si="7"/>
        <v>0.49509803921568635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105000</v>
      </c>
      <c r="J13" s="14">
        <v>8092</v>
      </c>
      <c r="K13" s="15">
        <f>L13+11384+20364+9004+14763+16062+8880+19993+7347+1326</f>
        <v>117215</v>
      </c>
      <c r="L13" s="15">
        <f>579*4+1444*4</f>
        <v>8092</v>
      </c>
      <c r="M13" s="15">
        <f t="shared" si="0"/>
        <v>8092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9"/>
        <v>0.41666666666666669</v>
      </c>
      <c r="AE13" s="36">
        <f t="shared" si="7"/>
        <v>0.49509803921568635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121</v>
      </c>
      <c r="D14" s="52" t="s">
        <v>115</v>
      </c>
      <c r="E14" s="53" t="s">
        <v>263</v>
      </c>
      <c r="F14" s="30" t="s">
        <v>125</v>
      </c>
      <c r="G14" s="33">
        <v>4</v>
      </c>
      <c r="H14" s="35">
        <v>24</v>
      </c>
      <c r="I14" s="7">
        <v>520000</v>
      </c>
      <c r="J14" s="14">
        <v>11064</v>
      </c>
      <c r="K14" s="15">
        <f>L14+11600+9308+18652+20744+3640+11064</f>
        <v>75008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9</v>
      </c>
      <c r="R14" s="7"/>
      <c r="S14" s="6">
        <v>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0.49509803921568635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383</v>
      </c>
      <c r="F15" s="30" t="s">
        <v>211</v>
      </c>
      <c r="G15" s="33">
        <v>1</v>
      </c>
      <c r="H15" s="35">
        <v>24</v>
      </c>
      <c r="I15" s="7">
        <v>300</v>
      </c>
      <c r="J15" s="5">
        <v>350</v>
      </c>
      <c r="K15" s="15">
        <f>L15+350</f>
        <v>350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0.49509803921568635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501</v>
      </c>
      <c r="D16" s="52"/>
      <c r="E16" s="53" t="s">
        <v>508</v>
      </c>
      <c r="F16" s="12" t="s">
        <v>509</v>
      </c>
      <c r="G16" s="12">
        <v>8</v>
      </c>
      <c r="H16" s="13">
        <v>24</v>
      </c>
      <c r="I16" s="31">
        <v>1000</v>
      </c>
      <c r="J16" s="14">
        <v>4000</v>
      </c>
      <c r="K16" s="15">
        <f>L16+4000</f>
        <v>4000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0.49509803921568635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131</v>
      </c>
      <c r="E17" s="53" t="s">
        <v>368</v>
      </c>
      <c r="F17" s="30" t="s">
        <v>210</v>
      </c>
      <c r="G17" s="12">
        <v>4</v>
      </c>
      <c r="H17" s="13">
        <v>28</v>
      </c>
      <c r="I17" s="7">
        <f>105000-16000</f>
        <v>89000</v>
      </c>
      <c r="J17" s="14">
        <v>5796</v>
      </c>
      <c r="K17" s="15">
        <f>L17+13804+13644+15168+9596</f>
        <v>58008</v>
      </c>
      <c r="L17" s="15">
        <f>412*4+1037*4</f>
        <v>5796</v>
      </c>
      <c r="M17" s="15">
        <f t="shared" si="0"/>
        <v>5796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>
        <v>18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7"/>
        <v>0.49509803921568635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131</v>
      </c>
      <c r="E18" s="53" t="s">
        <v>527</v>
      </c>
      <c r="F18" s="30" t="s">
        <v>132</v>
      </c>
      <c r="G18" s="33">
        <v>4</v>
      </c>
      <c r="H18" s="35">
        <v>24</v>
      </c>
      <c r="I18" s="7">
        <v>500000</v>
      </c>
      <c r="J18" s="5">
        <v>19272</v>
      </c>
      <c r="K18" s="15">
        <f>L18</f>
        <v>19272</v>
      </c>
      <c r="L18" s="15">
        <f>2054*4+2764*4</f>
        <v>19272</v>
      </c>
      <c r="M18" s="15">
        <f t="shared" si="0"/>
        <v>19272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0.49509803921568635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528</v>
      </c>
      <c r="E19" s="53" t="s">
        <v>529</v>
      </c>
      <c r="F19" s="30" t="s">
        <v>211</v>
      </c>
      <c r="G19" s="12">
        <v>1</v>
      </c>
      <c r="H19" s="13">
        <v>28</v>
      </c>
      <c r="I19" s="31">
        <v>20000</v>
      </c>
      <c r="J19" s="5">
        <v>5076</v>
      </c>
      <c r="K19" s="15">
        <f>L19</f>
        <v>5076</v>
      </c>
      <c r="L19" s="15">
        <f>2077+2999</f>
        <v>5076</v>
      </c>
      <c r="M19" s="15">
        <f t="shared" si="0"/>
        <v>5076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0.49509803921568635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146</v>
      </c>
      <c r="G20" s="33">
        <v>1</v>
      </c>
      <c r="H20" s="35">
        <v>24</v>
      </c>
      <c r="I20" s="7">
        <v>500</v>
      </c>
      <c r="J20" s="5">
        <v>517</v>
      </c>
      <c r="K20" s="15">
        <f>L20+517</f>
        <v>517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0.49509803921568635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469</v>
      </c>
      <c r="F21" s="30" t="s">
        <v>119</v>
      </c>
      <c r="G21" s="33">
        <v>1</v>
      </c>
      <c r="H21" s="35">
        <v>24</v>
      </c>
      <c r="I21" s="7">
        <v>64000</v>
      </c>
      <c r="J21" s="14">
        <v>5450</v>
      </c>
      <c r="K21" s="15">
        <f>L21+4204+5394+5278+1522+3899+5224+5152+5164+2208+4924+654+3141+5593+2079+5343</f>
        <v>65229</v>
      </c>
      <c r="L21" s="15">
        <f>2676+2774</f>
        <v>5450</v>
      </c>
      <c r="M21" s="15">
        <f t="shared" si="0"/>
        <v>5450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0.49509803921568635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432</v>
      </c>
      <c r="F22" s="12" t="s">
        <v>114</v>
      </c>
      <c r="G22" s="12">
        <v>4</v>
      </c>
      <c r="H22" s="35">
        <v>20</v>
      </c>
      <c r="I22" s="7">
        <v>500000</v>
      </c>
      <c r="J22" s="14">
        <v>68844</v>
      </c>
      <c r="K22" s="15">
        <f>L22+16808+39112+38440+39748+31140</f>
        <v>234092</v>
      </c>
      <c r="L22" s="15">
        <f>7211*4+10000*4</f>
        <v>68844</v>
      </c>
      <c r="M22" s="15">
        <f t="shared" si="0"/>
        <v>68844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0.49509803921568635</v>
      </c>
      <c r="AF22" s="84">
        <f t="shared" si="8"/>
        <v>16</v>
      </c>
    </row>
    <row r="23" spans="1:32" ht="31.5" customHeight="1" thickBot="1">
      <c r="A23" s="545" t="s">
        <v>34</v>
      </c>
      <c r="B23" s="546"/>
      <c r="C23" s="546"/>
      <c r="D23" s="546"/>
      <c r="E23" s="546"/>
      <c r="F23" s="546"/>
      <c r="G23" s="546"/>
      <c r="H23" s="547"/>
      <c r="I23" s="22">
        <f t="shared" ref="I23:N23" si="10">SUM(I6:I22)</f>
        <v>1985800</v>
      </c>
      <c r="J23" s="19">
        <f t="shared" si="10"/>
        <v>169979</v>
      </c>
      <c r="K23" s="20">
        <f t="shared" si="10"/>
        <v>803464</v>
      </c>
      <c r="L23" s="21">
        <f t="shared" si="10"/>
        <v>144009</v>
      </c>
      <c r="M23" s="20">
        <f t="shared" si="10"/>
        <v>144009</v>
      </c>
      <c r="N23" s="21">
        <f t="shared" si="10"/>
        <v>0</v>
      </c>
      <c r="O23" s="41">
        <f t="shared" si="1"/>
        <v>0</v>
      </c>
      <c r="P23" s="42">
        <f t="shared" ref="P23:AA23" si="11">SUM(P6:P22)</f>
        <v>202</v>
      </c>
      <c r="Q23" s="43">
        <f t="shared" si="11"/>
        <v>191</v>
      </c>
      <c r="R23" s="23">
        <f t="shared" si="11"/>
        <v>18</v>
      </c>
      <c r="S23" s="24">
        <f t="shared" si="11"/>
        <v>30</v>
      </c>
      <c r="T23" s="24">
        <f t="shared" si="11"/>
        <v>4</v>
      </c>
      <c r="U23" s="24">
        <f t="shared" si="11"/>
        <v>0</v>
      </c>
      <c r="V23" s="25">
        <f t="shared" si="11"/>
        <v>0</v>
      </c>
      <c r="W23" s="26">
        <f t="shared" si="11"/>
        <v>115</v>
      </c>
      <c r="X23" s="27">
        <f t="shared" si="11"/>
        <v>0</v>
      </c>
      <c r="Y23" s="27">
        <f t="shared" si="11"/>
        <v>0</v>
      </c>
      <c r="Z23" s="27">
        <f t="shared" si="11"/>
        <v>0</v>
      </c>
      <c r="AA23" s="27">
        <f t="shared" si="11"/>
        <v>24</v>
      </c>
      <c r="AB23" s="28">
        <f>AVERAGE(AB6:AB22)</f>
        <v>0.6470588235294118</v>
      </c>
      <c r="AC23" s="4">
        <f>AVERAGE(AC6:AC22)</f>
        <v>0.49509803921568635</v>
      </c>
      <c r="AD23" s="4">
        <f>AVERAGE(AD6:AD22)</f>
        <v>0.49509803921568635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8" t="s">
        <v>45</v>
      </c>
      <c r="B50" s="548"/>
      <c r="C50" s="548"/>
      <c r="D50" s="548"/>
      <c r="E50" s="5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9" t="s">
        <v>530</v>
      </c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1"/>
      <c r="N51" s="552" t="s">
        <v>533</v>
      </c>
      <c r="O51" s="553"/>
      <c r="P51" s="553"/>
      <c r="Q51" s="553"/>
      <c r="R51" s="553"/>
      <c r="S51" s="553"/>
      <c r="T51" s="553"/>
      <c r="U51" s="553"/>
      <c r="V51" s="553"/>
      <c r="W51" s="553"/>
      <c r="X51" s="553"/>
      <c r="Y51" s="553"/>
      <c r="Z51" s="553"/>
      <c r="AA51" s="553"/>
      <c r="AB51" s="553"/>
      <c r="AC51" s="553"/>
      <c r="AD51" s="554"/>
    </row>
    <row r="52" spans="1:32" ht="27" customHeight="1">
      <c r="A52" s="555" t="s">
        <v>2</v>
      </c>
      <c r="B52" s="556"/>
      <c r="C52" s="374" t="s">
        <v>46</v>
      </c>
      <c r="D52" s="374" t="s">
        <v>47</v>
      </c>
      <c r="E52" s="374" t="s">
        <v>107</v>
      </c>
      <c r="F52" s="557" t="s">
        <v>106</v>
      </c>
      <c r="G52" s="558"/>
      <c r="H52" s="558"/>
      <c r="I52" s="558"/>
      <c r="J52" s="558"/>
      <c r="K52" s="558"/>
      <c r="L52" s="558"/>
      <c r="M52" s="559"/>
      <c r="N52" s="67" t="s">
        <v>110</v>
      </c>
      <c r="O52" s="374" t="s">
        <v>46</v>
      </c>
      <c r="P52" s="557" t="s">
        <v>47</v>
      </c>
      <c r="Q52" s="560"/>
      <c r="R52" s="557" t="s">
        <v>38</v>
      </c>
      <c r="S52" s="558"/>
      <c r="T52" s="558"/>
      <c r="U52" s="560"/>
      <c r="V52" s="557" t="s">
        <v>48</v>
      </c>
      <c r="W52" s="558"/>
      <c r="X52" s="558"/>
      <c r="Y52" s="558"/>
      <c r="Z52" s="558"/>
      <c r="AA52" s="558"/>
      <c r="AB52" s="558"/>
      <c r="AC52" s="558"/>
      <c r="AD52" s="559"/>
    </row>
    <row r="53" spans="1:32" ht="27" customHeight="1">
      <c r="A53" s="526" t="s">
        <v>120</v>
      </c>
      <c r="B53" s="527"/>
      <c r="C53" s="376" t="s">
        <v>142</v>
      </c>
      <c r="D53" s="376" t="s">
        <v>134</v>
      </c>
      <c r="E53" s="376" t="s">
        <v>531</v>
      </c>
      <c r="F53" s="528" t="s">
        <v>441</v>
      </c>
      <c r="G53" s="529"/>
      <c r="H53" s="529"/>
      <c r="I53" s="529"/>
      <c r="J53" s="529"/>
      <c r="K53" s="529"/>
      <c r="L53" s="529"/>
      <c r="M53" s="530"/>
      <c r="N53" s="375" t="s">
        <v>120</v>
      </c>
      <c r="O53" s="381" t="s">
        <v>142</v>
      </c>
      <c r="P53" s="540" t="s">
        <v>134</v>
      </c>
      <c r="Q53" s="541"/>
      <c r="R53" s="540" t="s">
        <v>160</v>
      </c>
      <c r="S53" s="542"/>
      <c r="T53" s="542"/>
      <c r="U53" s="541"/>
      <c r="V53" s="510" t="s">
        <v>118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121</v>
      </c>
      <c r="B54" s="527"/>
      <c r="C54" s="376" t="s">
        <v>179</v>
      </c>
      <c r="D54" s="376" t="s">
        <v>115</v>
      </c>
      <c r="E54" s="376" t="s">
        <v>351</v>
      </c>
      <c r="F54" s="528" t="s">
        <v>151</v>
      </c>
      <c r="G54" s="529"/>
      <c r="H54" s="529"/>
      <c r="I54" s="529"/>
      <c r="J54" s="529"/>
      <c r="K54" s="529"/>
      <c r="L54" s="529"/>
      <c r="M54" s="530"/>
      <c r="N54" s="375" t="s">
        <v>123</v>
      </c>
      <c r="O54" s="381" t="s">
        <v>261</v>
      </c>
      <c r="P54" s="540"/>
      <c r="Q54" s="541"/>
      <c r="R54" s="540" t="s">
        <v>162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376" t="s">
        <v>130</v>
      </c>
      <c r="D55" s="376" t="s">
        <v>128</v>
      </c>
      <c r="E55" s="376" t="s">
        <v>512</v>
      </c>
      <c r="F55" s="528" t="s">
        <v>532</v>
      </c>
      <c r="G55" s="529"/>
      <c r="H55" s="529"/>
      <c r="I55" s="529"/>
      <c r="J55" s="529"/>
      <c r="K55" s="529"/>
      <c r="L55" s="529"/>
      <c r="M55" s="530"/>
      <c r="N55" s="375" t="s">
        <v>121</v>
      </c>
      <c r="O55" s="381" t="s">
        <v>179</v>
      </c>
      <c r="P55" s="540" t="s">
        <v>115</v>
      </c>
      <c r="Q55" s="541"/>
      <c r="R55" s="540" t="s">
        <v>263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120</v>
      </c>
      <c r="B56" s="527"/>
      <c r="C56" s="376" t="s">
        <v>239</v>
      </c>
      <c r="D56" s="376" t="s">
        <v>196</v>
      </c>
      <c r="E56" s="376" t="s">
        <v>514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375" t="s">
        <v>112</v>
      </c>
      <c r="O56" s="381" t="s">
        <v>179</v>
      </c>
      <c r="P56" s="540" t="s">
        <v>115</v>
      </c>
      <c r="Q56" s="541"/>
      <c r="R56" s="540" t="s">
        <v>534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120</v>
      </c>
      <c r="B57" s="527"/>
      <c r="C57" s="376" t="s">
        <v>147</v>
      </c>
      <c r="D57" s="376" t="s">
        <v>528</v>
      </c>
      <c r="E57" s="376" t="s">
        <v>529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375" t="s">
        <v>120</v>
      </c>
      <c r="O57" s="381" t="s">
        <v>180</v>
      </c>
      <c r="P57" s="540" t="s">
        <v>165</v>
      </c>
      <c r="Q57" s="541"/>
      <c r="R57" s="540" t="s">
        <v>166</v>
      </c>
      <c r="S57" s="542"/>
      <c r="T57" s="542"/>
      <c r="U57" s="541"/>
      <c r="V57" s="510" t="s">
        <v>118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376"/>
      <c r="D58" s="376"/>
      <c r="E58" s="376"/>
      <c r="F58" s="528"/>
      <c r="G58" s="529"/>
      <c r="H58" s="529"/>
      <c r="I58" s="529"/>
      <c r="J58" s="529"/>
      <c r="K58" s="529"/>
      <c r="L58" s="529"/>
      <c r="M58" s="530"/>
      <c r="N58" s="375"/>
      <c r="O58" s="381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376"/>
      <c r="D59" s="376"/>
      <c r="E59" s="376"/>
      <c r="F59" s="528"/>
      <c r="G59" s="529"/>
      <c r="H59" s="529"/>
      <c r="I59" s="529"/>
      <c r="J59" s="529"/>
      <c r="K59" s="529"/>
      <c r="L59" s="529"/>
      <c r="M59" s="530"/>
      <c r="N59" s="375"/>
      <c r="O59" s="381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376"/>
      <c r="D60" s="376"/>
      <c r="E60" s="376"/>
      <c r="F60" s="528"/>
      <c r="G60" s="529"/>
      <c r="H60" s="529"/>
      <c r="I60" s="529"/>
      <c r="J60" s="529"/>
      <c r="K60" s="529"/>
      <c r="L60" s="529"/>
      <c r="M60" s="530"/>
      <c r="N60" s="375"/>
      <c r="O60" s="381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376"/>
      <c r="D61" s="376"/>
      <c r="E61" s="376"/>
      <c r="F61" s="528"/>
      <c r="G61" s="529"/>
      <c r="H61" s="529"/>
      <c r="I61" s="529"/>
      <c r="J61" s="529"/>
      <c r="K61" s="529"/>
      <c r="L61" s="529"/>
      <c r="M61" s="530"/>
      <c r="N61" s="375"/>
      <c r="O61" s="381"/>
      <c r="P61" s="527"/>
      <c r="Q61" s="527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  <c r="AF61" s="84">
        <f>8*3000</f>
        <v>24000</v>
      </c>
    </row>
    <row r="62" spans="1:32" ht="27" customHeight="1" thickBot="1">
      <c r="A62" s="532"/>
      <c r="B62" s="533"/>
      <c r="C62" s="377"/>
      <c r="D62" s="378"/>
      <c r="E62" s="378"/>
      <c r="F62" s="534"/>
      <c r="G62" s="535"/>
      <c r="H62" s="535"/>
      <c r="I62" s="535"/>
      <c r="J62" s="535"/>
      <c r="K62" s="535"/>
      <c r="L62" s="535"/>
      <c r="M62" s="536"/>
      <c r="N62" s="112"/>
      <c r="O62" s="103"/>
      <c r="P62" s="537"/>
      <c r="Q62" s="537"/>
      <c r="R62" s="537"/>
      <c r="S62" s="537"/>
      <c r="T62" s="537"/>
      <c r="U62" s="537"/>
      <c r="V62" s="538"/>
      <c r="W62" s="538"/>
      <c r="X62" s="538"/>
      <c r="Y62" s="538"/>
      <c r="Z62" s="538"/>
      <c r="AA62" s="538"/>
      <c r="AB62" s="538"/>
      <c r="AC62" s="538"/>
      <c r="AD62" s="539"/>
      <c r="AF62" s="84">
        <f>16*3000</f>
        <v>48000</v>
      </c>
    </row>
    <row r="63" spans="1:32" ht="27.75" thickBot="1">
      <c r="A63" s="524" t="s">
        <v>535</v>
      </c>
      <c r="B63" s="524"/>
      <c r="C63" s="524"/>
      <c r="D63" s="524"/>
      <c r="E63" s="52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25" t="s">
        <v>111</v>
      </c>
      <c r="B64" s="520"/>
      <c r="C64" s="379" t="s">
        <v>2</v>
      </c>
      <c r="D64" s="379" t="s">
        <v>37</v>
      </c>
      <c r="E64" s="379" t="s">
        <v>3</v>
      </c>
      <c r="F64" s="520" t="s">
        <v>109</v>
      </c>
      <c r="G64" s="520"/>
      <c r="H64" s="520"/>
      <c r="I64" s="520"/>
      <c r="J64" s="520"/>
      <c r="K64" s="520" t="s">
        <v>39</v>
      </c>
      <c r="L64" s="520"/>
      <c r="M64" s="379" t="s">
        <v>40</v>
      </c>
      <c r="N64" s="520" t="s">
        <v>41</v>
      </c>
      <c r="O64" s="520"/>
      <c r="P64" s="517" t="s">
        <v>42</v>
      </c>
      <c r="Q64" s="519"/>
      <c r="R64" s="517" t="s">
        <v>43</v>
      </c>
      <c r="S64" s="518"/>
      <c r="T64" s="518"/>
      <c r="U64" s="518"/>
      <c r="V64" s="518"/>
      <c r="W64" s="518"/>
      <c r="X64" s="518"/>
      <c r="Y64" s="518"/>
      <c r="Z64" s="518"/>
      <c r="AA64" s="519"/>
      <c r="AB64" s="520" t="s">
        <v>44</v>
      </c>
      <c r="AC64" s="520"/>
      <c r="AD64" s="521"/>
      <c r="AF64" s="84">
        <f>SUM(AF61:AF63)</f>
        <v>96000</v>
      </c>
    </row>
    <row r="65" spans="1:32" ht="25.5" customHeight="1">
      <c r="A65" s="503">
        <v>1</v>
      </c>
      <c r="B65" s="504"/>
      <c r="C65" s="105" t="s">
        <v>120</v>
      </c>
      <c r="D65" s="383"/>
      <c r="E65" s="380" t="s">
        <v>196</v>
      </c>
      <c r="F65" s="513" t="s">
        <v>536</v>
      </c>
      <c r="G65" s="514"/>
      <c r="H65" s="514"/>
      <c r="I65" s="514"/>
      <c r="J65" s="515"/>
      <c r="K65" s="497" t="s">
        <v>210</v>
      </c>
      <c r="L65" s="497"/>
      <c r="M65" s="51" t="s">
        <v>200</v>
      </c>
      <c r="N65" s="511" t="s">
        <v>194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516"/>
      <c r="AC65" s="522"/>
      <c r="AD65" s="523"/>
      <c r="AF65" s="50"/>
    </row>
    <row r="66" spans="1:32" ht="25.5" customHeight="1">
      <c r="A66" s="503">
        <v>2</v>
      </c>
      <c r="B66" s="504"/>
      <c r="C66" s="105" t="s">
        <v>123</v>
      </c>
      <c r="D66" s="383"/>
      <c r="E66" s="380"/>
      <c r="F66" s="513" t="s">
        <v>273</v>
      </c>
      <c r="G66" s="514"/>
      <c r="H66" s="514"/>
      <c r="I66" s="514"/>
      <c r="J66" s="515"/>
      <c r="K66" s="497" t="s">
        <v>247</v>
      </c>
      <c r="L66" s="497"/>
      <c r="M66" s="51" t="s">
        <v>200</v>
      </c>
      <c r="N66" s="511" t="s">
        <v>180</v>
      </c>
      <c r="O66" s="511"/>
      <c r="P66" s="512">
        <v>200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3</v>
      </c>
      <c r="B67" s="504"/>
      <c r="C67" s="105" t="s">
        <v>120</v>
      </c>
      <c r="D67" s="383"/>
      <c r="E67" s="380" t="s">
        <v>128</v>
      </c>
      <c r="F67" s="513" t="s">
        <v>537</v>
      </c>
      <c r="G67" s="514"/>
      <c r="H67" s="514"/>
      <c r="I67" s="514"/>
      <c r="J67" s="515"/>
      <c r="K67" s="497">
        <v>7301</v>
      </c>
      <c r="L67" s="497"/>
      <c r="M67" s="51" t="s">
        <v>248</v>
      </c>
      <c r="N67" s="511" t="s">
        <v>194</v>
      </c>
      <c r="O67" s="511"/>
      <c r="P67" s="512">
        <v>400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4</v>
      </c>
      <c r="B68" s="504"/>
      <c r="C68" s="105" t="s">
        <v>120</v>
      </c>
      <c r="D68" s="383"/>
      <c r="E68" s="380" t="s">
        <v>165</v>
      </c>
      <c r="F68" s="513" t="s">
        <v>538</v>
      </c>
      <c r="G68" s="514"/>
      <c r="H68" s="514"/>
      <c r="I68" s="514"/>
      <c r="J68" s="515"/>
      <c r="K68" s="497" t="s">
        <v>143</v>
      </c>
      <c r="L68" s="497"/>
      <c r="M68" s="51" t="s">
        <v>144</v>
      </c>
      <c r="N68" s="511" t="s">
        <v>137</v>
      </c>
      <c r="O68" s="511"/>
      <c r="P68" s="512">
        <v>50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5</v>
      </c>
      <c r="B69" s="504"/>
      <c r="C69" s="105" t="s">
        <v>120</v>
      </c>
      <c r="D69" s="383"/>
      <c r="E69" s="380" t="s">
        <v>115</v>
      </c>
      <c r="F69" s="513" t="s">
        <v>539</v>
      </c>
      <c r="G69" s="514"/>
      <c r="H69" s="514"/>
      <c r="I69" s="514"/>
      <c r="J69" s="515"/>
      <c r="K69" s="497" t="s">
        <v>256</v>
      </c>
      <c r="L69" s="497"/>
      <c r="M69" s="51" t="s">
        <v>248</v>
      </c>
      <c r="N69" s="511" t="s">
        <v>194</v>
      </c>
      <c r="O69" s="511"/>
      <c r="P69" s="512">
        <v>500</v>
      </c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6</v>
      </c>
      <c r="B70" s="504"/>
      <c r="C70" s="105" t="s">
        <v>120</v>
      </c>
      <c r="D70" s="383"/>
      <c r="E70" s="380" t="s">
        <v>165</v>
      </c>
      <c r="F70" s="513" t="s">
        <v>540</v>
      </c>
      <c r="G70" s="514"/>
      <c r="H70" s="514"/>
      <c r="I70" s="514"/>
      <c r="J70" s="515"/>
      <c r="K70" s="497" t="s">
        <v>132</v>
      </c>
      <c r="L70" s="497"/>
      <c r="M70" s="51" t="s">
        <v>200</v>
      </c>
      <c r="N70" s="511" t="s">
        <v>180</v>
      </c>
      <c r="O70" s="511"/>
      <c r="P70" s="512"/>
      <c r="Q70" s="512"/>
      <c r="R70" s="510" t="s">
        <v>407</v>
      </c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7</v>
      </c>
      <c r="B71" s="504"/>
      <c r="C71" s="105"/>
      <c r="D71" s="383"/>
      <c r="E71" s="380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8</v>
      </c>
      <c r="B72" s="504"/>
      <c r="C72" s="105"/>
      <c r="D72" s="383"/>
      <c r="E72" s="380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9</v>
      </c>
      <c r="B73" s="504"/>
      <c r="C73" s="105"/>
      <c r="D73" s="383"/>
      <c r="E73" s="380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10</v>
      </c>
      <c r="B74" s="504"/>
      <c r="C74" s="105"/>
      <c r="D74" s="383"/>
      <c r="E74" s="380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6.25" customHeight="1" thickBot="1">
      <c r="A75" s="477" t="s">
        <v>541</v>
      </c>
      <c r="B75" s="477"/>
      <c r="C75" s="477"/>
      <c r="D75" s="477"/>
      <c r="E75" s="47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8" t="s">
        <v>111</v>
      </c>
      <c r="B76" s="479"/>
      <c r="C76" s="382" t="s">
        <v>2</v>
      </c>
      <c r="D76" s="382" t="s">
        <v>37</v>
      </c>
      <c r="E76" s="382" t="s">
        <v>3</v>
      </c>
      <c r="F76" s="479" t="s">
        <v>38</v>
      </c>
      <c r="G76" s="479"/>
      <c r="H76" s="479"/>
      <c r="I76" s="479"/>
      <c r="J76" s="479"/>
      <c r="K76" s="499" t="s">
        <v>58</v>
      </c>
      <c r="L76" s="500"/>
      <c r="M76" s="500"/>
      <c r="N76" s="500"/>
      <c r="O76" s="500"/>
      <c r="P76" s="500"/>
      <c r="Q76" s="500"/>
      <c r="R76" s="500"/>
      <c r="S76" s="501"/>
      <c r="T76" s="479" t="s">
        <v>49</v>
      </c>
      <c r="U76" s="479"/>
      <c r="V76" s="499" t="s">
        <v>50</v>
      </c>
      <c r="W76" s="501"/>
      <c r="X76" s="500" t="s">
        <v>51</v>
      </c>
      <c r="Y76" s="500"/>
      <c r="Z76" s="500"/>
      <c r="AA76" s="500"/>
      <c r="AB76" s="500"/>
      <c r="AC76" s="500"/>
      <c r="AD76" s="502"/>
      <c r="AF76" s="50"/>
    </row>
    <row r="77" spans="1:32" ht="33.75" customHeight="1">
      <c r="A77" s="471">
        <v>1</v>
      </c>
      <c r="B77" s="472"/>
      <c r="C77" s="384" t="s">
        <v>112</v>
      </c>
      <c r="D77" s="384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64">
        <f>A77+1</f>
        <v>2</v>
      </c>
      <c r="B78" s="465"/>
      <c r="C78" s="383"/>
      <c r="D78" s="383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ref="A79:A83" si="12">A78+1</f>
        <v>3</v>
      </c>
      <c r="B79" s="465"/>
      <c r="C79" s="383"/>
      <c r="D79" s="383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2"/>
        <v>4</v>
      </c>
      <c r="B80" s="465"/>
      <c r="C80" s="383"/>
      <c r="D80" s="383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2"/>
        <v>5</v>
      </c>
      <c r="B81" s="465"/>
      <c r="C81" s="383"/>
      <c r="D81" s="383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2"/>
        <v>6</v>
      </c>
      <c r="B82" s="465"/>
      <c r="C82" s="383"/>
      <c r="D82" s="383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12"/>
        <v>7</v>
      </c>
      <c r="B83" s="465"/>
      <c r="C83" s="383"/>
      <c r="D83" s="383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7" t="s">
        <v>542</v>
      </c>
      <c r="B84" s="477"/>
      <c r="C84" s="477"/>
      <c r="D84" s="477"/>
      <c r="E84" s="47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8" t="s">
        <v>111</v>
      </c>
      <c r="B85" s="479"/>
      <c r="C85" s="469" t="s">
        <v>52</v>
      </c>
      <c r="D85" s="469"/>
      <c r="E85" s="469" t="s">
        <v>53</v>
      </c>
      <c r="F85" s="469"/>
      <c r="G85" s="469"/>
      <c r="H85" s="469"/>
      <c r="I85" s="469"/>
      <c r="J85" s="469"/>
      <c r="K85" s="469" t="s">
        <v>54</v>
      </c>
      <c r="L85" s="469"/>
      <c r="M85" s="469"/>
      <c r="N85" s="469"/>
      <c r="O85" s="469"/>
      <c r="P85" s="469"/>
      <c r="Q85" s="469"/>
      <c r="R85" s="469"/>
      <c r="S85" s="469"/>
      <c r="T85" s="469" t="s">
        <v>55</v>
      </c>
      <c r="U85" s="469"/>
      <c r="V85" s="469" t="s">
        <v>56</v>
      </c>
      <c r="W85" s="469"/>
      <c r="X85" s="469"/>
      <c r="Y85" s="469" t="s">
        <v>51</v>
      </c>
      <c r="Z85" s="469"/>
      <c r="AA85" s="469"/>
      <c r="AB85" s="469"/>
      <c r="AC85" s="469"/>
      <c r="AD85" s="470"/>
      <c r="AF85" s="50"/>
    </row>
    <row r="86" spans="1:32" ht="30.75" customHeight="1">
      <c r="A86" s="471">
        <v>1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4"/>
      <c r="W86" s="474"/>
      <c r="X86" s="474"/>
      <c r="Y86" s="475"/>
      <c r="Z86" s="475"/>
      <c r="AA86" s="475"/>
      <c r="AB86" s="475"/>
      <c r="AC86" s="475"/>
      <c r="AD86" s="476"/>
      <c r="AF86" s="50"/>
    </row>
    <row r="87" spans="1:32" ht="30.75" customHeight="1">
      <c r="A87" s="464">
        <v>2</v>
      </c>
      <c r="B87" s="465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7"/>
      <c r="U87" s="467"/>
      <c r="V87" s="468"/>
      <c r="W87" s="468"/>
      <c r="X87" s="468"/>
      <c r="Y87" s="457"/>
      <c r="Z87" s="457"/>
      <c r="AA87" s="457"/>
      <c r="AB87" s="457"/>
      <c r="AC87" s="457"/>
      <c r="AD87" s="458"/>
      <c r="AF87" s="50"/>
    </row>
    <row r="88" spans="1:32" ht="30.75" customHeight="1" thickBot="1">
      <c r="A88" s="459">
        <v>3</v>
      </c>
      <c r="B88" s="460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2"/>
      <c r="Z88" s="462"/>
      <c r="AA88" s="462"/>
      <c r="AB88" s="462"/>
      <c r="AC88" s="462"/>
      <c r="AD88" s="463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48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CD6-C628-456F-94D8-83293B32B056}">
  <dimension ref="A1:AF87"/>
  <sheetViews>
    <sheetView zoomScale="72" zoomScaleNormal="72" zoomScaleSheetLayoutView="70" workbookViewId="0">
      <selection activeCell="R67" sqref="R67:AA6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543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96" t="s">
        <v>17</v>
      </c>
      <c r="L5" s="396" t="s">
        <v>18</v>
      </c>
      <c r="M5" s="396" t="s">
        <v>19</v>
      </c>
      <c r="N5" s="39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544</v>
      </c>
      <c r="F6" s="30" t="s">
        <v>143</v>
      </c>
      <c r="G6" s="12">
        <v>4</v>
      </c>
      <c r="H6" s="13">
        <v>24</v>
      </c>
      <c r="I6" s="31">
        <v>25000</v>
      </c>
      <c r="J6" s="5">
        <v>12197</v>
      </c>
      <c r="K6" s="15">
        <f>L6</f>
        <v>12197</v>
      </c>
      <c r="L6" s="15">
        <f>931*3+2351*4</f>
        <v>12197</v>
      </c>
      <c r="M6" s="15">
        <f t="shared" ref="M6:M21" si="0">L6-N6</f>
        <v>12197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18</v>
      </c>
      <c r="Q6" s="40">
        <f t="shared" ref="Q6:Q21" si="3">SUM(R6:AA6)</f>
        <v>6</v>
      </c>
      <c r="R6" s="7"/>
      <c r="S6" s="6">
        <v>6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0.75</v>
      </c>
      <c r="AD6" s="10">
        <f t="shared" ref="AD6:AD21" si="6">AC6*AB6*(1-O6)</f>
        <v>0.75</v>
      </c>
      <c r="AE6" s="36">
        <f t="shared" ref="AE6:AE21" si="7">$AD$22</f>
        <v>0.53125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L7+3794+3491</f>
        <v>7285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0.53125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512</v>
      </c>
      <c r="F8" s="30" t="s">
        <v>146</v>
      </c>
      <c r="G8" s="33">
        <v>1</v>
      </c>
      <c r="H8" s="35">
        <v>24</v>
      </c>
      <c r="I8" s="7">
        <v>15000</v>
      </c>
      <c r="J8" s="14">
        <v>4411</v>
      </c>
      <c r="K8" s="15">
        <f>L8+4409</f>
        <v>8820</v>
      </c>
      <c r="L8" s="15">
        <f>1671+2740</f>
        <v>4411</v>
      </c>
      <c r="M8" s="15">
        <f t="shared" si="0"/>
        <v>4411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0.53125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134</v>
      </c>
      <c r="E9" s="53" t="s">
        <v>513</v>
      </c>
      <c r="F9" s="30" t="s">
        <v>526</v>
      </c>
      <c r="G9" s="33">
        <v>16</v>
      </c>
      <c r="H9" s="35">
        <v>24</v>
      </c>
      <c r="I9" s="7">
        <v>10000</v>
      </c>
      <c r="J9" s="14">
        <v>10000</v>
      </c>
      <c r="K9" s="15">
        <f>L9+10000</f>
        <v>10000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>
        <v>24</v>
      </c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0.53125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149</v>
      </c>
      <c r="D10" s="52"/>
      <c r="E10" s="53" t="s">
        <v>545</v>
      </c>
      <c r="F10" s="30" t="s">
        <v>507</v>
      </c>
      <c r="G10" s="33" t="s">
        <v>546</v>
      </c>
      <c r="H10" s="35">
        <v>24</v>
      </c>
      <c r="I10" s="7">
        <v>5000</v>
      </c>
      <c r="J10" s="5">
        <v>4275</v>
      </c>
      <c r="K10" s="15">
        <f>L10</f>
        <v>4275</v>
      </c>
      <c r="L10" s="15">
        <f>1222+3053</f>
        <v>4275</v>
      </c>
      <c r="M10" s="15">
        <f t="shared" si="0"/>
        <v>4275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/>
      <c r="T10" s="16">
        <v>2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>AC10*AB10*(1-O10)</f>
        <v>0.91666666666666663</v>
      </c>
      <c r="AE10" s="36">
        <f t="shared" si="7"/>
        <v>0.53125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34" t="s">
        <v>120</v>
      </c>
      <c r="D11" s="52" t="s">
        <v>134</v>
      </c>
      <c r="E11" s="53" t="s">
        <v>160</v>
      </c>
      <c r="F11" s="30" t="s">
        <v>526</v>
      </c>
      <c r="G11" s="33">
        <v>32</v>
      </c>
      <c r="H11" s="35">
        <v>24</v>
      </c>
      <c r="I11" s="7">
        <v>100000</v>
      </c>
      <c r="J11" s="5">
        <v>10000</v>
      </c>
      <c r="K11" s="15">
        <f>L11</f>
        <v>10000</v>
      </c>
      <c r="L11" s="15">
        <f>10000</f>
        <v>10000</v>
      </c>
      <c r="M11" s="15">
        <f t="shared" si="0"/>
        <v>10000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>
        <v>14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>AC11*AB11*(1-O11)</f>
        <v>0.41666666666666669</v>
      </c>
      <c r="AE11" s="36">
        <f t="shared" si="7"/>
        <v>0.53125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196</v>
      </c>
      <c r="E12" s="53" t="s">
        <v>514</v>
      </c>
      <c r="F12" s="30" t="s">
        <v>210</v>
      </c>
      <c r="G12" s="33">
        <v>1</v>
      </c>
      <c r="H12" s="35">
        <v>24</v>
      </c>
      <c r="I12" s="7">
        <v>6000</v>
      </c>
      <c r="J12" s="14">
        <v>4604</v>
      </c>
      <c r="K12" s="15">
        <f>L12+4190</f>
        <v>8794</v>
      </c>
      <c r="L12" s="15">
        <f>2202+2402</f>
        <v>4604</v>
      </c>
      <c r="M12" s="15">
        <f t="shared" si="0"/>
        <v>4604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9">AC12*AB12*(1-O12)</f>
        <v>1</v>
      </c>
      <c r="AE12" s="36">
        <f t="shared" si="7"/>
        <v>0.53125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115</v>
      </c>
      <c r="E13" s="53" t="s">
        <v>351</v>
      </c>
      <c r="F13" s="30" t="s">
        <v>146</v>
      </c>
      <c r="G13" s="33">
        <v>4</v>
      </c>
      <c r="H13" s="35">
        <v>24</v>
      </c>
      <c r="I13" s="7">
        <v>105000</v>
      </c>
      <c r="J13" s="14">
        <v>8092</v>
      </c>
      <c r="K13" s="15">
        <f>L13+11384+20364+9004+14763+16062+8880+19993+7347+1326+8092</f>
        <v>117215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9"/>
        <v>0</v>
      </c>
      <c r="AE13" s="36">
        <f t="shared" si="7"/>
        <v>0.53125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383</v>
      </c>
      <c r="F14" s="30" t="s">
        <v>211</v>
      </c>
      <c r="G14" s="33">
        <v>1</v>
      </c>
      <c r="H14" s="35">
        <v>24</v>
      </c>
      <c r="I14" s="7">
        <v>300</v>
      </c>
      <c r="J14" s="5">
        <v>350</v>
      </c>
      <c r="K14" s="15">
        <f>L14+350</f>
        <v>350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0.53125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166</v>
      </c>
      <c r="F15" s="12" t="s">
        <v>132</v>
      </c>
      <c r="G15" s="12">
        <v>1</v>
      </c>
      <c r="H15" s="13">
        <v>24</v>
      </c>
      <c r="I15" s="31">
        <v>2600</v>
      </c>
      <c r="J15" s="14">
        <v>2824</v>
      </c>
      <c r="K15" s="15">
        <f>L15</f>
        <v>2824</v>
      </c>
      <c r="L15" s="15">
        <f>2398+426</f>
        <v>2824</v>
      </c>
      <c r="M15" s="15">
        <f t="shared" si="0"/>
        <v>2824</v>
      </c>
      <c r="N15" s="15">
        <v>0</v>
      </c>
      <c r="O15" s="58">
        <f t="shared" si="1"/>
        <v>0</v>
      </c>
      <c r="P15" s="39">
        <f t="shared" si="2"/>
        <v>17</v>
      </c>
      <c r="Q15" s="40">
        <f t="shared" si="3"/>
        <v>7</v>
      </c>
      <c r="R15" s="7"/>
      <c r="S15" s="6">
        <v>7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0.70833333333333337</v>
      </c>
      <c r="AD15" s="10">
        <f t="shared" si="6"/>
        <v>0.70833333333333337</v>
      </c>
      <c r="AE15" s="36">
        <f t="shared" si="7"/>
        <v>0.53125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131</v>
      </c>
      <c r="E16" s="53" t="s">
        <v>368</v>
      </c>
      <c r="F16" s="30" t="s">
        <v>210</v>
      </c>
      <c r="G16" s="12">
        <v>4</v>
      </c>
      <c r="H16" s="13">
        <v>28</v>
      </c>
      <c r="I16" s="7">
        <f>105000-16000</f>
        <v>89000</v>
      </c>
      <c r="J16" s="14">
        <v>2740</v>
      </c>
      <c r="K16" s="15">
        <f>L16+13804+13644+15168+9596+5796</f>
        <v>60748</v>
      </c>
      <c r="L16" s="15">
        <f>685*4</f>
        <v>2740</v>
      </c>
      <c r="M16" s="15">
        <f t="shared" si="0"/>
        <v>2740</v>
      </c>
      <c r="N16" s="15">
        <v>0</v>
      </c>
      <c r="O16" s="58">
        <f t="shared" si="1"/>
        <v>0</v>
      </c>
      <c r="P16" s="39">
        <f t="shared" si="2"/>
        <v>4</v>
      </c>
      <c r="Q16" s="40">
        <f t="shared" si="3"/>
        <v>20</v>
      </c>
      <c r="R16" s="7">
        <v>20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6">
        <f t="shared" si="7"/>
        <v>0.53125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527</v>
      </c>
      <c r="F17" s="30" t="s">
        <v>132</v>
      </c>
      <c r="G17" s="33">
        <v>4</v>
      </c>
      <c r="H17" s="35">
        <v>24</v>
      </c>
      <c r="I17" s="7">
        <v>500000</v>
      </c>
      <c r="J17" s="5">
        <v>21812</v>
      </c>
      <c r="K17" s="15">
        <f>L17+19272</f>
        <v>41084</v>
      </c>
      <c r="L17" s="15">
        <f>2610*4+2843*4</f>
        <v>21812</v>
      </c>
      <c r="M17" s="15">
        <f t="shared" si="0"/>
        <v>21812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0.53125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528</v>
      </c>
      <c r="E18" s="53" t="s">
        <v>529</v>
      </c>
      <c r="F18" s="30" t="s">
        <v>211</v>
      </c>
      <c r="G18" s="12">
        <v>1</v>
      </c>
      <c r="H18" s="13">
        <v>28</v>
      </c>
      <c r="I18" s="31">
        <v>20000</v>
      </c>
      <c r="J18" s="5">
        <v>5794</v>
      </c>
      <c r="K18" s="15">
        <f>L18+5076</f>
        <v>10870</v>
      </c>
      <c r="L18" s="15">
        <f>2803+2991</f>
        <v>5794</v>
      </c>
      <c r="M18" s="15">
        <f t="shared" si="0"/>
        <v>5794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0.53125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115</v>
      </c>
      <c r="E19" s="53" t="s">
        <v>263</v>
      </c>
      <c r="F19" s="30" t="s">
        <v>125</v>
      </c>
      <c r="G19" s="33">
        <v>1</v>
      </c>
      <c r="H19" s="35">
        <v>24</v>
      </c>
      <c r="I19" s="7">
        <v>500000</v>
      </c>
      <c r="J19" s="5">
        <v>12212</v>
      </c>
      <c r="K19" s="15">
        <f>L19</f>
        <v>12212</v>
      </c>
      <c r="L19" s="15">
        <f>417*4+2636*4</f>
        <v>12212</v>
      </c>
      <c r="M19" s="15">
        <f t="shared" si="0"/>
        <v>12212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>
        <v>7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>AC19*AB19*(1-O19)</f>
        <v>0.70833333333333337</v>
      </c>
      <c r="AE19" s="36">
        <f t="shared" si="7"/>
        <v>0.53125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469</v>
      </c>
      <c r="F20" s="30" t="s">
        <v>119</v>
      </c>
      <c r="G20" s="33">
        <v>1</v>
      </c>
      <c r="H20" s="35">
        <v>24</v>
      </c>
      <c r="I20" s="7">
        <v>64000</v>
      </c>
      <c r="J20" s="14">
        <v>440</v>
      </c>
      <c r="K20" s="15">
        <f>L20+4204+5394+5278+1522+3899+5224+5152+5164+2208+4924+654+3141+5593+2079+5343+5450</f>
        <v>65669</v>
      </c>
      <c r="L20" s="15">
        <f>440</f>
        <v>440</v>
      </c>
      <c r="M20" s="15">
        <f t="shared" si="0"/>
        <v>440</v>
      </c>
      <c r="N20" s="15">
        <v>0</v>
      </c>
      <c r="O20" s="58">
        <f t="shared" si="1"/>
        <v>0</v>
      </c>
      <c r="P20" s="39">
        <f t="shared" si="2"/>
        <v>3</v>
      </c>
      <c r="Q20" s="40">
        <f t="shared" si="3"/>
        <v>21</v>
      </c>
      <c r="R20" s="7"/>
      <c r="S20" s="6">
        <v>21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0.125</v>
      </c>
      <c r="AD20" s="10">
        <f t="shared" si="6"/>
        <v>0.125</v>
      </c>
      <c r="AE20" s="36">
        <f t="shared" si="7"/>
        <v>0.53125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432</v>
      </c>
      <c r="F21" s="12" t="s">
        <v>114</v>
      </c>
      <c r="G21" s="12">
        <v>4</v>
      </c>
      <c r="H21" s="35">
        <v>20</v>
      </c>
      <c r="I21" s="7">
        <v>500000</v>
      </c>
      <c r="J21" s="14">
        <v>45656</v>
      </c>
      <c r="K21" s="15">
        <f>L21+16808+39112+38440+39748+31140+68844</f>
        <v>279748</v>
      </c>
      <c r="L21" s="15">
        <f>9968*4+1446*4</f>
        <v>45656</v>
      </c>
      <c r="M21" s="15">
        <f t="shared" si="0"/>
        <v>45656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/>
      <c r="T21" s="16"/>
      <c r="U21" s="16"/>
      <c r="V21" s="17">
        <v>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6"/>
        <v>0.83333333333333337</v>
      </c>
      <c r="AE21" s="36">
        <f t="shared" si="7"/>
        <v>0.53125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0">SUM(I6:I21)</f>
        <v>1948900</v>
      </c>
      <c r="J22" s="19">
        <f t="shared" si="10"/>
        <v>148898</v>
      </c>
      <c r="K22" s="20">
        <f t="shared" si="10"/>
        <v>652091</v>
      </c>
      <c r="L22" s="21">
        <f t="shared" si="10"/>
        <v>126965</v>
      </c>
      <c r="M22" s="20">
        <f t="shared" si="10"/>
        <v>126965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204</v>
      </c>
      <c r="Q22" s="43">
        <f t="shared" si="11"/>
        <v>180</v>
      </c>
      <c r="R22" s="23">
        <f t="shared" si="11"/>
        <v>58</v>
      </c>
      <c r="S22" s="24">
        <f t="shared" si="11"/>
        <v>68</v>
      </c>
      <c r="T22" s="24">
        <f t="shared" si="11"/>
        <v>2</v>
      </c>
      <c r="U22" s="24">
        <f t="shared" si="11"/>
        <v>0</v>
      </c>
      <c r="V22" s="25">
        <f t="shared" si="11"/>
        <v>4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0.75</v>
      </c>
      <c r="AC22" s="4">
        <f>AVERAGE(AC6:AC21)</f>
        <v>0.53125</v>
      </c>
      <c r="AD22" s="4">
        <f>AVERAGE(AD6:AD21)</f>
        <v>0.53125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547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551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395" t="s">
        <v>46</v>
      </c>
      <c r="D51" s="395" t="s">
        <v>47</v>
      </c>
      <c r="E51" s="395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395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120</v>
      </c>
      <c r="B52" s="527"/>
      <c r="C52" s="392" t="s">
        <v>261</v>
      </c>
      <c r="D52" s="392" t="s">
        <v>134</v>
      </c>
      <c r="E52" s="392" t="s">
        <v>160</v>
      </c>
      <c r="F52" s="528" t="s">
        <v>441</v>
      </c>
      <c r="G52" s="529"/>
      <c r="H52" s="529"/>
      <c r="I52" s="529"/>
      <c r="J52" s="529"/>
      <c r="K52" s="529"/>
      <c r="L52" s="529"/>
      <c r="M52" s="530"/>
      <c r="N52" s="391" t="s">
        <v>123</v>
      </c>
      <c r="O52" s="389" t="s">
        <v>179</v>
      </c>
      <c r="P52" s="540"/>
      <c r="Q52" s="541"/>
      <c r="R52" s="540" t="s">
        <v>162</v>
      </c>
      <c r="S52" s="542"/>
      <c r="T52" s="542"/>
      <c r="U52" s="541"/>
      <c r="V52" s="510" t="s">
        <v>118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121</v>
      </c>
      <c r="B53" s="527"/>
      <c r="C53" s="392" t="s">
        <v>194</v>
      </c>
      <c r="D53" s="392" t="s">
        <v>115</v>
      </c>
      <c r="E53" s="392" t="s">
        <v>263</v>
      </c>
      <c r="F53" s="528" t="s">
        <v>548</v>
      </c>
      <c r="G53" s="529"/>
      <c r="H53" s="529"/>
      <c r="I53" s="529"/>
      <c r="J53" s="529"/>
      <c r="K53" s="529"/>
      <c r="L53" s="529"/>
      <c r="M53" s="530"/>
      <c r="N53" s="391" t="s">
        <v>112</v>
      </c>
      <c r="O53" s="389" t="s">
        <v>223</v>
      </c>
      <c r="P53" s="540" t="s">
        <v>115</v>
      </c>
      <c r="Q53" s="541"/>
      <c r="R53" s="540" t="s">
        <v>224</v>
      </c>
      <c r="S53" s="542"/>
      <c r="T53" s="542"/>
      <c r="U53" s="541"/>
      <c r="V53" s="510" t="s">
        <v>151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120</v>
      </c>
      <c r="B54" s="527"/>
      <c r="C54" s="392" t="s">
        <v>130</v>
      </c>
      <c r="D54" s="392" t="s">
        <v>128</v>
      </c>
      <c r="E54" s="392" t="s">
        <v>512</v>
      </c>
      <c r="F54" s="528" t="s">
        <v>549</v>
      </c>
      <c r="G54" s="529"/>
      <c r="H54" s="529"/>
      <c r="I54" s="529"/>
      <c r="J54" s="529"/>
      <c r="K54" s="529"/>
      <c r="L54" s="529"/>
      <c r="M54" s="530"/>
      <c r="N54" s="391" t="s">
        <v>552</v>
      </c>
      <c r="O54" s="389" t="s">
        <v>142</v>
      </c>
      <c r="P54" s="540" t="s">
        <v>115</v>
      </c>
      <c r="Q54" s="541"/>
      <c r="R54" s="540" t="s">
        <v>127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112</v>
      </c>
      <c r="B55" s="527"/>
      <c r="C55" s="392" t="s">
        <v>185</v>
      </c>
      <c r="D55" s="392" t="s">
        <v>165</v>
      </c>
      <c r="E55" s="392" t="s">
        <v>544</v>
      </c>
      <c r="F55" s="528" t="s">
        <v>362</v>
      </c>
      <c r="G55" s="529"/>
      <c r="H55" s="529"/>
      <c r="I55" s="529"/>
      <c r="J55" s="529"/>
      <c r="K55" s="529"/>
      <c r="L55" s="529"/>
      <c r="M55" s="530"/>
      <c r="N55" s="391"/>
      <c r="O55" s="389"/>
      <c r="P55" s="540"/>
      <c r="Q55" s="541"/>
      <c r="R55" s="540"/>
      <c r="S55" s="542"/>
      <c r="T55" s="542"/>
      <c r="U55" s="541"/>
      <c r="V55" s="510"/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149</v>
      </c>
      <c r="B56" s="527"/>
      <c r="C56" s="392" t="s">
        <v>214</v>
      </c>
      <c r="D56" s="392"/>
      <c r="E56" s="392" t="s">
        <v>545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391"/>
      <c r="O56" s="389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392" t="s">
        <v>179</v>
      </c>
      <c r="D57" s="392" t="s">
        <v>115</v>
      </c>
      <c r="E57" s="392" t="s">
        <v>534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391"/>
      <c r="O57" s="389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120</v>
      </c>
      <c r="B58" s="527"/>
      <c r="C58" s="392" t="s">
        <v>180</v>
      </c>
      <c r="D58" s="392" t="s">
        <v>165</v>
      </c>
      <c r="E58" s="392" t="s">
        <v>166</v>
      </c>
      <c r="F58" s="528" t="s">
        <v>550</v>
      </c>
      <c r="G58" s="529"/>
      <c r="H58" s="529"/>
      <c r="I58" s="529"/>
      <c r="J58" s="529"/>
      <c r="K58" s="529"/>
      <c r="L58" s="529"/>
      <c r="M58" s="530"/>
      <c r="N58" s="391"/>
      <c r="O58" s="389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112</v>
      </c>
      <c r="B59" s="527"/>
      <c r="C59" s="392" t="s">
        <v>223</v>
      </c>
      <c r="D59" s="392" t="s">
        <v>115</v>
      </c>
      <c r="E59" s="392" t="s">
        <v>469</v>
      </c>
      <c r="F59" s="528" t="s">
        <v>449</v>
      </c>
      <c r="G59" s="529"/>
      <c r="H59" s="529"/>
      <c r="I59" s="529"/>
      <c r="J59" s="529"/>
      <c r="K59" s="529"/>
      <c r="L59" s="529"/>
      <c r="M59" s="530"/>
      <c r="N59" s="391"/>
      <c r="O59" s="389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392"/>
      <c r="D60" s="392"/>
      <c r="E60" s="392"/>
      <c r="F60" s="528"/>
      <c r="G60" s="529"/>
      <c r="H60" s="529"/>
      <c r="I60" s="529"/>
      <c r="J60" s="529"/>
      <c r="K60" s="529"/>
      <c r="L60" s="529"/>
      <c r="M60" s="530"/>
      <c r="N60" s="391"/>
      <c r="O60" s="389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393"/>
      <c r="D61" s="394"/>
      <c r="E61" s="394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553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390" t="s">
        <v>2</v>
      </c>
      <c r="D63" s="390" t="s">
        <v>37</v>
      </c>
      <c r="E63" s="390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390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120</v>
      </c>
      <c r="D64" s="385"/>
      <c r="E64" s="388" t="s">
        <v>165</v>
      </c>
      <c r="F64" s="513" t="s">
        <v>540</v>
      </c>
      <c r="G64" s="514"/>
      <c r="H64" s="514"/>
      <c r="I64" s="514"/>
      <c r="J64" s="515"/>
      <c r="K64" s="497" t="s">
        <v>132</v>
      </c>
      <c r="L64" s="497"/>
      <c r="M64" s="51" t="s">
        <v>200</v>
      </c>
      <c r="N64" s="511" t="s">
        <v>180</v>
      </c>
      <c r="O64" s="511"/>
      <c r="P64" s="512">
        <v>50</v>
      </c>
      <c r="Q64" s="512"/>
      <c r="R64" s="510" t="s">
        <v>556</v>
      </c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120</v>
      </c>
      <c r="D65" s="385"/>
      <c r="E65" s="388" t="s">
        <v>115</v>
      </c>
      <c r="F65" s="513" t="s">
        <v>492</v>
      </c>
      <c r="G65" s="514"/>
      <c r="H65" s="514"/>
      <c r="I65" s="514"/>
      <c r="J65" s="515"/>
      <c r="K65" s="497">
        <v>7301</v>
      </c>
      <c r="L65" s="497"/>
      <c r="M65" s="51" t="s">
        <v>200</v>
      </c>
      <c r="N65" s="511" t="s">
        <v>142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 t="s">
        <v>557</v>
      </c>
      <c r="D66" s="385"/>
      <c r="E66" s="388"/>
      <c r="F66" s="513" t="s">
        <v>558</v>
      </c>
      <c r="G66" s="514"/>
      <c r="H66" s="514"/>
      <c r="I66" s="514"/>
      <c r="J66" s="515"/>
      <c r="K66" s="497">
        <v>8301</v>
      </c>
      <c r="L66" s="497"/>
      <c r="M66" s="51" t="s">
        <v>144</v>
      </c>
      <c r="N66" s="511" t="s">
        <v>137</v>
      </c>
      <c r="O66" s="511"/>
      <c r="P66" s="512"/>
      <c r="Q66" s="512"/>
      <c r="R66" s="510" t="s">
        <v>522</v>
      </c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 t="s">
        <v>557</v>
      </c>
      <c r="D67" s="385"/>
      <c r="E67" s="388"/>
      <c r="F67" s="513" t="s">
        <v>559</v>
      </c>
      <c r="G67" s="514"/>
      <c r="H67" s="514"/>
      <c r="I67" s="514"/>
      <c r="J67" s="515"/>
      <c r="K67" s="497">
        <v>8301</v>
      </c>
      <c r="L67" s="497"/>
      <c r="M67" s="51" t="s">
        <v>144</v>
      </c>
      <c r="N67" s="511" t="s">
        <v>137</v>
      </c>
      <c r="O67" s="511"/>
      <c r="P67" s="512">
        <v>100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385"/>
      <c r="E68" s="388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385"/>
      <c r="E69" s="388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385"/>
      <c r="E70" s="388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385"/>
      <c r="E71" s="388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385"/>
      <c r="E72" s="388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385"/>
      <c r="E73" s="388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554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387" t="s">
        <v>2</v>
      </c>
      <c r="D75" s="387" t="s">
        <v>37</v>
      </c>
      <c r="E75" s="387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386" t="s">
        <v>112</v>
      </c>
      <c r="D76" s="386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385"/>
      <c r="D77" s="385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2">A77+1</f>
        <v>3</v>
      </c>
      <c r="B78" s="465"/>
      <c r="C78" s="385"/>
      <c r="D78" s="385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2"/>
        <v>4</v>
      </c>
      <c r="B79" s="465"/>
      <c r="C79" s="385"/>
      <c r="D79" s="385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2"/>
        <v>5</v>
      </c>
      <c r="B80" s="465"/>
      <c r="C80" s="385"/>
      <c r="D80" s="385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2"/>
        <v>6</v>
      </c>
      <c r="B81" s="465"/>
      <c r="C81" s="385"/>
      <c r="D81" s="385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2"/>
        <v>7</v>
      </c>
      <c r="B82" s="465"/>
      <c r="C82" s="385"/>
      <c r="D82" s="385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555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47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19AB-0304-4CE6-B8E9-AD3CB5CEA9C6}">
  <dimension ref="A1:AF88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560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397" t="s">
        <v>17</v>
      </c>
      <c r="L5" s="397" t="s">
        <v>18</v>
      </c>
      <c r="M5" s="397" t="s">
        <v>19</v>
      </c>
      <c r="N5" s="3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544</v>
      </c>
      <c r="F6" s="30" t="s">
        <v>143</v>
      </c>
      <c r="G6" s="12">
        <v>4</v>
      </c>
      <c r="H6" s="13">
        <v>24</v>
      </c>
      <c r="I6" s="31">
        <v>25000</v>
      </c>
      <c r="J6" s="5">
        <v>23044</v>
      </c>
      <c r="K6" s="15">
        <f>L6+12197</f>
        <v>35241</v>
      </c>
      <c r="L6" s="15">
        <f>2691*4+3070*4</f>
        <v>23044</v>
      </c>
      <c r="M6" s="15">
        <f t="shared" ref="M6:M22" si="0">L6-N6</f>
        <v>23044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24</v>
      </c>
      <c r="Q6" s="40">
        <f t="shared" ref="Q6:Q22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6">
        <f t="shared" ref="AE6:AE22" si="7">$AD$23</f>
        <v>0.47058823529411764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L7+3794+3491</f>
        <v>7285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0.47058823529411764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512</v>
      </c>
      <c r="F8" s="30" t="s">
        <v>146</v>
      </c>
      <c r="G8" s="33">
        <v>1</v>
      </c>
      <c r="H8" s="35">
        <v>24</v>
      </c>
      <c r="I8" s="7">
        <v>15000</v>
      </c>
      <c r="J8" s="14">
        <v>4411</v>
      </c>
      <c r="K8" s="15">
        <f>L8+4409+4411</f>
        <v>8820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>
        <v>24</v>
      </c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0.47058823529411764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561</v>
      </c>
      <c r="D9" s="52"/>
      <c r="E9" s="53" t="s">
        <v>127</v>
      </c>
      <c r="F9" s="30" t="s">
        <v>211</v>
      </c>
      <c r="G9" s="33">
        <v>1</v>
      </c>
      <c r="H9" s="35">
        <v>24</v>
      </c>
      <c r="I9" s="7">
        <v>1000</v>
      </c>
      <c r="J9" s="14">
        <v>1109</v>
      </c>
      <c r="K9" s="15">
        <f>L9</f>
        <v>1109</v>
      </c>
      <c r="L9" s="15">
        <f>858+251</f>
        <v>1109</v>
      </c>
      <c r="M9" s="15">
        <f t="shared" si="0"/>
        <v>1109</v>
      </c>
      <c r="N9" s="15">
        <v>0</v>
      </c>
      <c r="O9" s="58">
        <f t="shared" si="1"/>
        <v>0</v>
      </c>
      <c r="P9" s="39">
        <f t="shared" si="2"/>
        <v>7</v>
      </c>
      <c r="Q9" s="40">
        <f t="shared" si="3"/>
        <v>17</v>
      </c>
      <c r="R9" s="7"/>
      <c r="S9" s="6">
        <v>10</v>
      </c>
      <c r="T9" s="16"/>
      <c r="U9" s="16"/>
      <c r="V9" s="17"/>
      <c r="W9" s="5">
        <v>7</v>
      </c>
      <c r="X9" s="16"/>
      <c r="Y9" s="16"/>
      <c r="Z9" s="16"/>
      <c r="AA9" s="18"/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6">
        <f t="shared" si="7"/>
        <v>0.47058823529411764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149</v>
      </c>
      <c r="D10" s="52"/>
      <c r="E10" s="53" t="s">
        <v>545</v>
      </c>
      <c r="F10" s="30" t="s">
        <v>507</v>
      </c>
      <c r="G10" s="33" t="s">
        <v>546</v>
      </c>
      <c r="H10" s="35">
        <v>24</v>
      </c>
      <c r="I10" s="7">
        <v>5000</v>
      </c>
      <c r="J10" s="5">
        <v>2816</v>
      </c>
      <c r="K10" s="15">
        <f>L10+4275</f>
        <v>7091</v>
      </c>
      <c r="L10" s="15">
        <f>2816</f>
        <v>2816</v>
      </c>
      <c r="M10" s="15">
        <f t="shared" si="0"/>
        <v>2816</v>
      </c>
      <c r="N10" s="15">
        <v>0</v>
      </c>
      <c r="O10" s="58">
        <f t="shared" si="1"/>
        <v>0</v>
      </c>
      <c r="P10" s="39">
        <f t="shared" si="2"/>
        <v>9</v>
      </c>
      <c r="Q10" s="40">
        <f t="shared" si="3"/>
        <v>15</v>
      </c>
      <c r="R10" s="7"/>
      <c r="S10" s="6"/>
      <c r="T10" s="16"/>
      <c r="U10" s="16"/>
      <c r="V10" s="17"/>
      <c r="W10" s="5">
        <v>15</v>
      </c>
      <c r="X10" s="16"/>
      <c r="Y10" s="16"/>
      <c r="Z10" s="16"/>
      <c r="AA10" s="18"/>
      <c r="AB10" s="8">
        <f t="shared" si="4"/>
        <v>1</v>
      </c>
      <c r="AC10" s="9">
        <f t="shared" si="5"/>
        <v>0.375</v>
      </c>
      <c r="AD10" s="10">
        <f>AC10*AB10*(1-O10)</f>
        <v>0.375</v>
      </c>
      <c r="AE10" s="36">
        <f t="shared" si="7"/>
        <v>0.47058823529411764</v>
      </c>
      <c r="AF10" s="84">
        <f t="shared" si="8"/>
        <v>5</v>
      </c>
    </row>
    <row r="11" spans="1:32" ht="27" customHeight="1">
      <c r="A11" s="96">
        <v>5</v>
      </c>
      <c r="B11" s="11" t="s">
        <v>57</v>
      </c>
      <c r="C11" s="34" t="s">
        <v>112</v>
      </c>
      <c r="D11" s="52" t="s">
        <v>128</v>
      </c>
      <c r="E11" s="53" t="s">
        <v>562</v>
      </c>
      <c r="F11" s="30" t="s">
        <v>146</v>
      </c>
      <c r="G11" s="33">
        <v>1</v>
      </c>
      <c r="H11" s="35">
        <v>24</v>
      </c>
      <c r="I11" s="7">
        <v>34000</v>
      </c>
      <c r="J11" s="5">
        <v>2816</v>
      </c>
      <c r="K11" s="15">
        <f>L11</f>
        <v>0</v>
      </c>
      <c r="L11" s="15">
        <v>0</v>
      </c>
      <c r="M11" s="15">
        <f t="shared" ref="M11:M12" si="9">L11-N11</f>
        <v>0</v>
      </c>
      <c r="N11" s="15">
        <v>0</v>
      </c>
      <c r="O11" s="58" t="str">
        <f t="shared" ref="O11:O12" si="10">IF(L11=0,"0",N11/L11)</f>
        <v>0</v>
      </c>
      <c r="P11" s="39" t="str">
        <f t="shared" ref="P11:P12" si="11">IF(L11=0,"0",(24-Q11))</f>
        <v>0</v>
      </c>
      <c r="Q11" s="40">
        <f t="shared" ref="Q11:Q12" si="12">SUM(R11:AA11)</f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ref="AB11:AB12" si="13">IF(J11=0,"0",(L11/J11))</f>
        <v>0</v>
      </c>
      <c r="AC11" s="9">
        <f t="shared" ref="AC11:AC12" si="14">IF(P11=0,"0",(P11/24))</f>
        <v>0</v>
      </c>
      <c r="AD11" s="10">
        <f>AC11*AB11*(1-O11)</f>
        <v>0</v>
      </c>
      <c r="AE11" s="36">
        <f t="shared" si="7"/>
        <v>0.47058823529411764</v>
      </c>
      <c r="AF11" s="84">
        <f t="shared" ref="AF11:AF12" si="15">A11</f>
        <v>5</v>
      </c>
    </row>
    <row r="12" spans="1:32" ht="30" customHeight="1">
      <c r="A12" s="96">
        <v>6</v>
      </c>
      <c r="B12" s="11" t="s">
        <v>57</v>
      </c>
      <c r="C12" s="34" t="s">
        <v>121</v>
      </c>
      <c r="D12" s="52" t="s">
        <v>131</v>
      </c>
      <c r="E12" s="53" t="s">
        <v>368</v>
      </c>
      <c r="F12" s="30" t="s">
        <v>210</v>
      </c>
      <c r="G12" s="12">
        <v>4</v>
      </c>
      <c r="H12" s="13">
        <v>28</v>
      </c>
      <c r="I12" s="7">
        <f>105000-16000</f>
        <v>89000</v>
      </c>
      <c r="J12" s="14">
        <v>12384</v>
      </c>
      <c r="K12" s="15">
        <f>L12+13804+13644+15168+9596+5796+2740</f>
        <v>73132</v>
      </c>
      <c r="L12" s="15">
        <f>2894*4+808</f>
        <v>12384</v>
      </c>
      <c r="M12" s="15">
        <f t="shared" si="9"/>
        <v>12384</v>
      </c>
      <c r="N12" s="15">
        <v>0</v>
      </c>
      <c r="O12" s="58">
        <f t="shared" si="10"/>
        <v>0</v>
      </c>
      <c r="P12" s="39">
        <f t="shared" si="11"/>
        <v>18</v>
      </c>
      <c r="Q12" s="40">
        <f t="shared" si="12"/>
        <v>6</v>
      </c>
      <c r="R12" s="7">
        <v>6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13"/>
        <v>1</v>
      </c>
      <c r="AC12" s="9">
        <f t="shared" si="14"/>
        <v>0.75</v>
      </c>
      <c r="AD12" s="10">
        <f t="shared" ref="AD12" si="16">AC12*AB12*(1-O12)</f>
        <v>0.75</v>
      </c>
      <c r="AE12" s="36">
        <f t="shared" si="7"/>
        <v>0.47058823529411764</v>
      </c>
      <c r="AF12" s="84">
        <f t="shared" si="15"/>
        <v>6</v>
      </c>
    </row>
    <row r="13" spans="1:32" ht="27" customHeight="1">
      <c r="A13" s="96">
        <v>7</v>
      </c>
      <c r="B13" s="11" t="s">
        <v>57</v>
      </c>
      <c r="C13" s="11" t="s">
        <v>120</v>
      </c>
      <c r="D13" s="52" t="s">
        <v>196</v>
      </c>
      <c r="E13" s="53" t="s">
        <v>514</v>
      </c>
      <c r="F13" s="30" t="s">
        <v>210</v>
      </c>
      <c r="G13" s="33">
        <v>1</v>
      </c>
      <c r="H13" s="35">
        <v>24</v>
      </c>
      <c r="I13" s="7">
        <v>6000</v>
      </c>
      <c r="J13" s="14">
        <v>4480</v>
      </c>
      <c r="K13" s="15">
        <f>L13+4190+4604</f>
        <v>13274</v>
      </c>
      <c r="L13" s="15">
        <f>2182+2298</f>
        <v>4480</v>
      </c>
      <c r="M13" s="15">
        <f t="shared" si="0"/>
        <v>4480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ref="AD13:AD15" si="17">AC13*AB13*(1-O13)</f>
        <v>1</v>
      </c>
      <c r="AE13" s="36">
        <f t="shared" si="7"/>
        <v>0.47058823529411764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123</v>
      </c>
      <c r="D14" s="52" t="s">
        <v>115</v>
      </c>
      <c r="E14" s="53" t="s">
        <v>162</v>
      </c>
      <c r="F14" s="30" t="s">
        <v>167</v>
      </c>
      <c r="G14" s="33">
        <v>1</v>
      </c>
      <c r="H14" s="35">
        <v>24</v>
      </c>
      <c r="I14" s="7">
        <v>2500</v>
      </c>
      <c r="J14" s="14">
        <v>3348</v>
      </c>
      <c r="K14" s="15">
        <f>L14</f>
        <v>3348</v>
      </c>
      <c r="L14" s="15">
        <f>2950+398</f>
        <v>3348</v>
      </c>
      <c r="M14" s="15">
        <f t="shared" si="0"/>
        <v>3348</v>
      </c>
      <c r="N14" s="15">
        <v>0</v>
      </c>
      <c r="O14" s="58">
        <f t="shared" si="1"/>
        <v>0</v>
      </c>
      <c r="P14" s="39">
        <f t="shared" si="2"/>
        <v>16</v>
      </c>
      <c r="Q14" s="40">
        <f t="shared" si="3"/>
        <v>8</v>
      </c>
      <c r="R14" s="7"/>
      <c r="S14" s="6">
        <v>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0.66666666666666663</v>
      </c>
      <c r="AD14" s="10">
        <f t="shared" si="17"/>
        <v>0.66666666666666663</v>
      </c>
      <c r="AE14" s="36">
        <f t="shared" si="7"/>
        <v>0.47058823529411764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383</v>
      </c>
      <c r="F15" s="30" t="s">
        <v>211</v>
      </c>
      <c r="G15" s="33">
        <v>1</v>
      </c>
      <c r="H15" s="35">
        <v>24</v>
      </c>
      <c r="I15" s="7">
        <v>300</v>
      </c>
      <c r="J15" s="5">
        <v>350</v>
      </c>
      <c r="K15" s="15">
        <f>L15+350</f>
        <v>350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17"/>
        <v>0</v>
      </c>
      <c r="AE15" s="36">
        <f t="shared" si="7"/>
        <v>0.47058823529411764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 t="s">
        <v>165</v>
      </c>
      <c r="E16" s="53" t="s">
        <v>166</v>
      </c>
      <c r="F16" s="12" t="s">
        <v>132</v>
      </c>
      <c r="G16" s="12">
        <v>1</v>
      </c>
      <c r="H16" s="13">
        <v>24</v>
      </c>
      <c r="I16" s="31">
        <v>2600</v>
      </c>
      <c r="J16" s="14">
        <v>2824</v>
      </c>
      <c r="K16" s="15">
        <f>L16+2824</f>
        <v>2824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0.47058823529411764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131</v>
      </c>
      <c r="E17" s="53" t="s">
        <v>368</v>
      </c>
      <c r="F17" s="30" t="s">
        <v>210</v>
      </c>
      <c r="G17" s="12">
        <v>4</v>
      </c>
      <c r="H17" s="13">
        <v>28</v>
      </c>
      <c r="I17" s="7">
        <f>105000-16000</f>
        <v>89000</v>
      </c>
      <c r="J17" s="14">
        <v>2740</v>
      </c>
      <c r="K17" s="15">
        <f>L17+13804+13644+15168+9596+5796+2740</f>
        <v>60748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0.47058823529411764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131</v>
      </c>
      <c r="E18" s="53" t="s">
        <v>527</v>
      </c>
      <c r="F18" s="30" t="s">
        <v>132</v>
      </c>
      <c r="G18" s="33">
        <v>4</v>
      </c>
      <c r="H18" s="35">
        <v>24</v>
      </c>
      <c r="I18" s="7">
        <v>500000</v>
      </c>
      <c r="J18" s="5">
        <v>22172</v>
      </c>
      <c r="K18" s="15">
        <f>L18+19272+21812</f>
        <v>63256</v>
      </c>
      <c r="L18" s="15">
        <f>2594*4+2949*4</f>
        <v>22172</v>
      </c>
      <c r="M18" s="15">
        <f t="shared" si="0"/>
        <v>22172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0.47058823529411764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528</v>
      </c>
      <c r="E19" s="53" t="s">
        <v>529</v>
      </c>
      <c r="F19" s="30" t="s">
        <v>211</v>
      </c>
      <c r="G19" s="12">
        <v>1</v>
      </c>
      <c r="H19" s="13">
        <v>28</v>
      </c>
      <c r="I19" s="31">
        <v>20000</v>
      </c>
      <c r="J19" s="5">
        <v>5275</v>
      </c>
      <c r="K19" s="15">
        <f>L19+5076+5794</f>
        <v>16145</v>
      </c>
      <c r="L19" s="15">
        <f>2546+2729</f>
        <v>5275</v>
      </c>
      <c r="M19" s="15">
        <f t="shared" si="0"/>
        <v>5275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0.47058823529411764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121</v>
      </c>
      <c r="D20" s="52" t="s">
        <v>115</v>
      </c>
      <c r="E20" s="53" t="s">
        <v>263</v>
      </c>
      <c r="F20" s="30" t="s">
        <v>125</v>
      </c>
      <c r="G20" s="33">
        <v>1</v>
      </c>
      <c r="H20" s="35">
        <v>24</v>
      </c>
      <c r="I20" s="7">
        <v>500000</v>
      </c>
      <c r="J20" s="5">
        <v>20232</v>
      </c>
      <c r="K20" s="15">
        <f>L20+12212</f>
        <v>32444</v>
      </c>
      <c r="L20" s="15">
        <f>2650*4+2408*4</f>
        <v>20232</v>
      </c>
      <c r="M20" s="15">
        <f t="shared" si="0"/>
        <v>20232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7"/>
        <v>0.47058823529411764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469</v>
      </c>
      <c r="F21" s="30" t="s">
        <v>119</v>
      </c>
      <c r="G21" s="33">
        <v>1</v>
      </c>
      <c r="H21" s="35">
        <v>24</v>
      </c>
      <c r="I21" s="7">
        <v>64000</v>
      </c>
      <c r="J21" s="14">
        <v>2090</v>
      </c>
      <c r="K21" s="15">
        <f>L21+4204+5394+5278+1522+3899+5224+5152+5164+2208+4924+654+3141+5593+2079+5343+5450+440</f>
        <v>67759</v>
      </c>
      <c r="L21" s="15">
        <f>2090</f>
        <v>2090</v>
      </c>
      <c r="M21" s="15">
        <f t="shared" si="0"/>
        <v>2090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>
        <v>13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0.47058823529411764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432</v>
      </c>
      <c r="F22" s="12" t="s">
        <v>114</v>
      </c>
      <c r="G22" s="12">
        <v>4</v>
      </c>
      <c r="H22" s="35">
        <v>20</v>
      </c>
      <c r="I22" s="7">
        <v>500000</v>
      </c>
      <c r="J22" s="14">
        <v>37140</v>
      </c>
      <c r="K22" s="15">
        <f>L22+16808+39112+38440+39748+31140+68844+45656</f>
        <v>316888</v>
      </c>
      <c r="L22" s="15">
        <f>9285*4</f>
        <v>37140</v>
      </c>
      <c r="M22" s="15">
        <f t="shared" si="0"/>
        <v>37140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7"/>
        <v>0.47058823529411764</v>
      </c>
      <c r="AF22" s="84">
        <f t="shared" si="8"/>
        <v>16</v>
      </c>
    </row>
    <row r="23" spans="1:32" ht="31.5" customHeight="1" thickBot="1">
      <c r="A23" s="545" t="s">
        <v>34</v>
      </c>
      <c r="B23" s="546"/>
      <c r="C23" s="546"/>
      <c r="D23" s="546"/>
      <c r="E23" s="546"/>
      <c r="F23" s="546"/>
      <c r="G23" s="546"/>
      <c r="H23" s="547"/>
      <c r="I23" s="22">
        <f t="shared" ref="I23:N23" si="18">SUM(I6:I22)</f>
        <v>1860400</v>
      </c>
      <c r="J23" s="19">
        <f t="shared" si="18"/>
        <v>150722</v>
      </c>
      <c r="K23" s="20">
        <f t="shared" si="18"/>
        <v>709714</v>
      </c>
      <c r="L23" s="21">
        <f t="shared" si="18"/>
        <v>134090</v>
      </c>
      <c r="M23" s="20">
        <f t="shared" si="18"/>
        <v>134090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192</v>
      </c>
      <c r="Q23" s="43">
        <f t="shared" si="19"/>
        <v>216</v>
      </c>
      <c r="R23" s="23">
        <f t="shared" si="19"/>
        <v>54</v>
      </c>
      <c r="S23" s="24">
        <f t="shared" si="19"/>
        <v>55</v>
      </c>
      <c r="T23" s="24">
        <f t="shared" si="19"/>
        <v>0</v>
      </c>
      <c r="U23" s="24">
        <f t="shared" si="19"/>
        <v>0</v>
      </c>
      <c r="V23" s="25">
        <f t="shared" si="19"/>
        <v>13</v>
      </c>
      <c r="W23" s="26">
        <f t="shared" si="19"/>
        <v>70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0.6470588235294118</v>
      </c>
      <c r="AC23" s="4">
        <f>AVERAGE(AC6:AC22)</f>
        <v>0.47058823529411764</v>
      </c>
      <c r="AD23" s="4">
        <f>AVERAGE(AD6:AD22)</f>
        <v>0.47058823529411764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8" t="s">
        <v>45</v>
      </c>
      <c r="B50" s="548"/>
      <c r="C50" s="548"/>
      <c r="D50" s="548"/>
      <c r="E50" s="5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9" t="s">
        <v>563</v>
      </c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1"/>
      <c r="N51" s="552" t="s">
        <v>566</v>
      </c>
      <c r="O51" s="553"/>
      <c r="P51" s="553"/>
      <c r="Q51" s="553"/>
      <c r="R51" s="553"/>
      <c r="S51" s="553"/>
      <c r="T51" s="553"/>
      <c r="U51" s="553"/>
      <c r="V51" s="553"/>
      <c r="W51" s="553"/>
      <c r="X51" s="553"/>
      <c r="Y51" s="553"/>
      <c r="Z51" s="553"/>
      <c r="AA51" s="553"/>
      <c r="AB51" s="553"/>
      <c r="AC51" s="553"/>
      <c r="AD51" s="554"/>
    </row>
    <row r="52" spans="1:32" ht="27" customHeight="1">
      <c r="A52" s="555" t="s">
        <v>2</v>
      </c>
      <c r="B52" s="556"/>
      <c r="C52" s="398" t="s">
        <v>46</v>
      </c>
      <c r="D52" s="398" t="s">
        <v>47</v>
      </c>
      <c r="E52" s="398" t="s">
        <v>107</v>
      </c>
      <c r="F52" s="557" t="s">
        <v>106</v>
      </c>
      <c r="G52" s="558"/>
      <c r="H52" s="558"/>
      <c r="I52" s="558"/>
      <c r="J52" s="558"/>
      <c r="K52" s="558"/>
      <c r="L52" s="558"/>
      <c r="M52" s="559"/>
      <c r="N52" s="67" t="s">
        <v>110</v>
      </c>
      <c r="O52" s="398" t="s">
        <v>46</v>
      </c>
      <c r="P52" s="557" t="s">
        <v>47</v>
      </c>
      <c r="Q52" s="560"/>
      <c r="R52" s="557" t="s">
        <v>38</v>
      </c>
      <c r="S52" s="558"/>
      <c r="T52" s="558"/>
      <c r="U52" s="560"/>
      <c r="V52" s="557" t="s">
        <v>48</v>
      </c>
      <c r="W52" s="558"/>
      <c r="X52" s="558"/>
      <c r="Y52" s="558"/>
      <c r="Z52" s="558"/>
      <c r="AA52" s="558"/>
      <c r="AB52" s="558"/>
      <c r="AC52" s="558"/>
      <c r="AD52" s="559"/>
    </row>
    <row r="53" spans="1:32" ht="27" customHeight="1">
      <c r="A53" s="526" t="s">
        <v>112</v>
      </c>
      <c r="B53" s="527"/>
      <c r="C53" s="400" t="s">
        <v>214</v>
      </c>
      <c r="D53" s="400" t="s">
        <v>128</v>
      </c>
      <c r="E53" s="400" t="s">
        <v>562</v>
      </c>
      <c r="F53" s="528" t="s">
        <v>367</v>
      </c>
      <c r="G53" s="529"/>
      <c r="H53" s="529"/>
      <c r="I53" s="529"/>
      <c r="J53" s="529"/>
      <c r="K53" s="529"/>
      <c r="L53" s="529"/>
      <c r="M53" s="530"/>
      <c r="N53" s="399" t="s">
        <v>121</v>
      </c>
      <c r="O53" s="405" t="s">
        <v>147</v>
      </c>
      <c r="P53" s="540" t="s">
        <v>568</v>
      </c>
      <c r="Q53" s="541"/>
      <c r="R53" s="540" t="s">
        <v>567</v>
      </c>
      <c r="S53" s="542"/>
      <c r="T53" s="542"/>
      <c r="U53" s="541"/>
      <c r="V53" s="510" t="s">
        <v>118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561</v>
      </c>
      <c r="B54" s="527"/>
      <c r="C54" s="400" t="s">
        <v>142</v>
      </c>
      <c r="D54" s="400"/>
      <c r="E54" s="400" t="s">
        <v>127</v>
      </c>
      <c r="F54" s="528" t="s">
        <v>564</v>
      </c>
      <c r="G54" s="529"/>
      <c r="H54" s="529"/>
      <c r="I54" s="529"/>
      <c r="J54" s="529"/>
      <c r="K54" s="529"/>
      <c r="L54" s="529"/>
      <c r="M54" s="530"/>
      <c r="N54" s="399" t="s">
        <v>112</v>
      </c>
      <c r="O54" s="405" t="s">
        <v>223</v>
      </c>
      <c r="P54" s="540" t="s">
        <v>115</v>
      </c>
      <c r="Q54" s="541"/>
      <c r="R54" s="540" t="s">
        <v>224</v>
      </c>
      <c r="S54" s="542"/>
      <c r="T54" s="542"/>
      <c r="U54" s="541"/>
      <c r="V54" s="510" t="s">
        <v>151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121</v>
      </c>
      <c r="B55" s="527"/>
      <c r="C55" s="400" t="s">
        <v>261</v>
      </c>
      <c r="D55" s="400" t="s">
        <v>131</v>
      </c>
      <c r="E55" s="400" t="s">
        <v>368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399" t="s">
        <v>552</v>
      </c>
      <c r="O55" s="405" t="s">
        <v>142</v>
      </c>
      <c r="P55" s="540" t="s">
        <v>115</v>
      </c>
      <c r="Q55" s="541"/>
      <c r="R55" s="540" t="s">
        <v>127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123</v>
      </c>
      <c r="B56" s="527"/>
      <c r="C56" s="400" t="s">
        <v>179</v>
      </c>
      <c r="D56" s="400"/>
      <c r="E56" s="400" t="s">
        <v>162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399" t="s">
        <v>112</v>
      </c>
      <c r="O56" s="405" t="s">
        <v>214</v>
      </c>
      <c r="P56" s="540" t="s">
        <v>128</v>
      </c>
      <c r="Q56" s="541"/>
      <c r="R56" s="540" t="s">
        <v>562</v>
      </c>
      <c r="S56" s="542"/>
      <c r="T56" s="542"/>
      <c r="U56" s="541"/>
      <c r="V56" s="510" t="s">
        <v>151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400" t="s">
        <v>223</v>
      </c>
      <c r="D57" s="400" t="s">
        <v>115</v>
      </c>
      <c r="E57" s="400" t="s">
        <v>469</v>
      </c>
      <c r="F57" s="528" t="s">
        <v>565</v>
      </c>
      <c r="G57" s="529"/>
      <c r="H57" s="529"/>
      <c r="I57" s="529"/>
      <c r="J57" s="529"/>
      <c r="K57" s="529"/>
      <c r="L57" s="529"/>
      <c r="M57" s="530"/>
      <c r="N57" s="399"/>
      <c r="O57" s="405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400"/>
      <c r="D58" s="400"/>
      <c r="E58" s="400"/>
      <c r="F58" s="528"/>
      <c r="G58" s="529"/>
      <c r="H58" s="529"/>
      <c r="I58" s="529"/>
      <c r="J58" s="529"/>
      <c r="K58" s="529"/>
      <c r="L58" s="529"/>
      <c r="M58" s="530"/>
      <c r="N58" s="399"/>
      <c r="O58" s="405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400"/>
      <c r="D59" s="400"/>
      <c r="E59" s="400"/>
      <c r="F59" s="528"/>
      <c r="G59" s="529"/>
      <c r="H59" s="529"/>
      <c r="I59" s="529"/>
      <c r="J59" s="529"/>
      <c r="K59" s="529"/>
      <c r="L59" s="529"/>
      <c r="M59" s="530"/>
      <c r="N59" s="399"/>
      <c r="O59" s="405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400"/>
      <c r="D60" s="400"/>
      <c r="E60" s="400"/>
      <c r="F60" s="528"/>
      <c r="G60" s="529"/>
      <c r="H60" s="529"/>
      <c r="I60" s="529"/>
      <c r="J60" s="529"/>
      <c r="K60" s="529"/>
      <c r="L60" s="529"/>
      <c r="M60" s="530"/>
      <c r="N60" s="399"/>
      <c r="O60" s="405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400"/>
      <c r="D61" s="400"/>
      <c r="E61" s="400"/>
      <c r="F61" s="528"/>
      <c r="G61" s="529"/>
      <c r="H61" s="529"/>
      <c r="I61" s="529"/>
      <c r="J61" s="529"/>
      <c r="K61" s="529"/>
      <c r="L61" s="529"/>
      <c r="M61" s="530"/>
      <c r="N61" s="399"/>
      <c r="O61" s="405"/>
      <c r="P61" s="527"/>
      <c r="Q61" s="527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  <c r="AF61" s="84">
        <f>8*3000</f>
        <v>24000</v>
      </c>
    </row>
    <row r="62" spans="1:32" ht="27" customHeight="1" thickBot="1">
      <c r="A62" s="532"/>
      <c r="B62" s="533"/>
      <c r="C62" s="401"/>
      <c r="D62" s="402"/>
      <c r="E62" s="402"/>
      <c r="F62" s="534"/>
      <c r="G62" s="535"/>
      <c r="H62" s="535"/>
      <c r="I62" s="535"/>
      <c r="J62" s="535"/>
      <c r="K62" s="535"/>
      <c r="L62" s="535"/>
      <c r="M62" s="536"/>
      <c r="N62" s="112"/>
      <c r="O62" s="103"/>
      <c r="P62" s="537"/>
      <c r="Q62" s="537"/>
      <c r="R62" s="537"/>
      <c r="S62" s="537"/>
      <c r="T62" s="537"/>
      <c r="U62" s="537"/>
      <c r="V62" s="538"/>
      <c r="W62" s="538"/>
      <c r="X62" s="538"/>
      <c r="Y62" s="538"/>
      <c r="Z62" s="538"/>
      <c r="AA62" s="538"/>
      <c r="AB62" s="538"/>
      <c r="AC62" s="538"/>
      <c r="AD62" s="539"/>
      <c r="AF62" s="84">
        <f>16*3000</f>
        <v>48000</v>
      </c>
    </row>
    <row r="63" spans="1:32" ht="27.75" thickBot="1">
      <c r="A63" s="524" t="s">
        <v>569</v>
      </c>
      <c r="B63" s="524"/>
      <c r="C63" s="524"/>
      <c r="D63" s="524"/>
      <c r="E63" s="52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25" t="s">
        <v>111</v>
      </c>
      <c r="B64" s="520"/>
      <c r="C64" s="403" t="s">
        <v>2</v>
      </c>
      <c r="D64" s="403" t="s">
        <v>37</v>
      </c>
      <c r="E64" s="403" t="s">
        <v>3</v>
      </c>
      <c r="F64" s="520" t="s">
        <v>109</v>
      </c>
      <c r="G64" s="520"/>
      <c r="H64" s="520"/>
      <c r="I64" s="520"/>
      <c r="J64" s="520"/>
      <c r="K64" s="520" t="s">
        <v>39</v>
      </c>
      <c r="L64" s="520"/>
      <c r="M64" s="403" t="s">
        <v>40</v>
      </c>
      <c r="N64" s="520" t="s">
        <v>41</v>
      </c>
      <c r="O64" s="520"/>
      <c r="P64" s="517" t="s">
        <v>42</v>
      </c>
      <c r="Q64" s="519"/>
      <c r="R64" s="517" t="s">
        <v>43</v>
      </c>
      <c r="S64" s="518"/>
      <c r="T64" s="518"/>
      <c r="U64" s="518"/>
      <c r="V64" s="518"/>
      <c r="W64" s="518"/>
      <c r="X64" s="518"/>
      <c r="Y64" s="518"/>
      <c r="Z64" s="518"/>
      <c r="AA64" s="519"/>
      <c r="AB64" s="520" t="s">
        <v>44</v>
      </c>
      <c r="AC64" s="520"/>
      <c r="AD64" s="521"/>
      <c r="AF64" s="84">
        <f>SUM(AF61:AF63)</f>
        <v>96000</v>
      </c>
    </row>
    <row r="65" spans="1:32" ht="25.5" customHeight="1">
      <c r="A65" s="503">
        <v>1</v>
      </c>
      <c r="B65" s="504"/>
      <c r="C65" s="105" t="s">
        <v>123</v>
      </c>
      <c r="D65" s="407"/>
      <c r="E65" s="404"/>
      <c r="F65" s="513" t="s">
        <v>273</v>
      </c>
      <c r="G65" s="514"/>
      <c r="H65" s="514"/>
      <c r="I65" s="514"/>
      <c r="J65" s="515"/>
      <c r="K65" s="497" t="s">
        <v>247</v>
      </c>
      <c r="L65" s="497"/>
      <c r="M65" s="51" t="s">
        <v>200</v>
      </c>
      <c r="N65" s="511" t="s">
        <v>180</v>
      </c>
      <c r="O65" s="511"/>
      <c r="P65" s="512">
        <v>200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516"/>
      <c r="AC65" s="522"/>
      <c r="AD65" s="523"/>
      <c r="AF65" s="50"/>
    </row>
    <row r="66" spans="1:32" ht="25.5" customHeight="1">
      <c r="A66" s="503">
        <v>2</v>
      </c>
      <c r="B66" s="504"/>
      <c r="C66" s="105" t="s">
        <v>557</v>
      </c>
      <c r="D66" s="407"/>
      <c r="E66" s="404"/>
      <c r="F66" s="513" t="s">
        <v>558</v>
      </c>
      <c r="G66" s="514"/>
      <c r="H66" s="514"/>
      <c r="I66" s="514"/>
      <c r="J66" s="515"/>
      <c r="K66" s="497">
        <v>8301</v>
      </c>
      <c r="L66" s="497"/>
      <c r="M66" s="51" t="s">
        <v>144</v>
      </c>
      <c r="N66" s="511" t="s">
        <v>137</v>
      </c>
      <c r="O66" s="511"/>
      <c r="P66" s="512">
        <v>100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3</v>
      </c>
      <c r="B67" s="504"/>
      <c r="C67" s="105"/>
      <c r="D67" s="407"/>
      <c r="E67" s="404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4</v>
      </c>
      <c r="B68" s="504"/>
      <c r="C68" s="105"/>
      <c r="D68" s="407"/>
      <c r="E68" s="404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5</v>
      </c>
      <c r="B69" s="504"/>
      <c r="C69" s="105"/>
      <c r="D69" s="407"/>
      <c r="E69" s="404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6</v>
      </c>
      <c r="B70" s="504"/>
      <c r="C70" s="105"/>
      <c r="D70" s="407"/>
      <c r="E70" s="404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7</v>
      </c>
      <c r="B71" s="504"/>
      <c r="C71" s="105"/>
      <c r="D71" s="407"/>
      <c r="E71" s="404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8</v>
      </c>
      <c r="B72" s="504"/>
      <c r="C72" s="105"/>
      <c r="D72" s="407"/>
      <c r="E72" s="404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9</v>
      </c>
      <c r="B73" s="504"/>
      <c r="C73" s="105"/>
      <c r="D73" s="407"/>
      <c r="E73" s="404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10</v>
      </c>
      <c r="B74" s="504"/>
      <c r="C74" s="105"/>
      <c r="D74" s="407"/>
      <c r="E74" s="404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6.25" customHeight="1" thickBot="1">
      <c r="A75" s="477" t="s">
        <v>570</v>
      </c>
      <c r="B75" s="477"/>
      <c r="C75" s="477"/>
      <c r="D75" s="477"/>
      <c r="E75" s="47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8" t="s">
        <v>111</v>
      </c>
      <c r="B76" s="479"/>
      <c r="C76" s="406" t="s">
        <v>2</v>
      </c>
      <c r="D76" s="406" t="s">
        <v>37</v>
      </c>
      <c r="E76" s="406" t="s">
        <v>3</v>
      </c>
      <c r="F76" s="479" t="s">
        <v>38</v>
      </c>
      <c r="G76" s="479"/>
      <c r="H76" s="479"/>
      <c r="I76" s="479"/>
      <c r="J76" s="479"/>
      <c r="K76" s="499" t="s">
        <v>58</v>
      </c>
      <c r="L76" s="500"/>
      <c r="M76" s="500"/>
      <c r="N76" s="500"/>
      <c r="O76" s="500"/>
      <c r="P76" s="500"/>
      <c r="Q76" s="500"/>
      <c r="R76" s="500"/>
      <c r="S76" s="501"/>
      <c r="T76" s="479" t="s">
        <v>49</v>
      </c>
      <c r="U76" s="479"/>
      <c r="V76" s="499" t="s">
        <v>50</v>
      </c>
      <c r="W76" s="501"/>
      <c r="X76" s="500" t="s">
        <v>51</v>
      </c>
      <c r="Y76" s="500"/>
      <c r="Z76" s="500"/>
      <c r="AA76" s="500"/>
      <c r="AB76" s="500"/>
      <c r="AC76" s="500"/>
      <c r="AD76" s="502"/>
      <c r="AF76" s="50"/>
    </row>
    <row r="77" spans="1:32" ht="33.75" customHeight="1">
      <c r="A77" s="471">
        <v>1</v>
      </c>
      <c r="B77" s="472"/>
      <c r="C77" s="408" t="s">
        <v>112</v>
      </c>
      <c r="D77" s="408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64">
        <f>A77+1</f>
        <v>2</v>
      </c>
      <c r="B78" s="465"/>
      <c r="C78" s="407"/>
      <c r="D78" s="407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ref="A79:A83" si="20">A78+1</f>
        <v>3</v>
      </c>
      <c r="B79" s="465"/>
      <c r="C79" s="407"/>
      <c r="D79" s="407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20"/>
        <v>4</v>
      </c>
      <c r="B80" s="465"/>
      <c r="C80" s="407"/>
      <c r="D80" s="407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0"/>
        <v>5</v>
      </c>
      <c r="B81" s="465"/>
      <c r="C81" s="407"/>
      <c r="D81" s="407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0"/>
        <v>6</v>
      </c>
      <c r="B82" s="465"/>
      <c r="C82" s="407"/>
      <c r="D82" s="407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0"/>
        <v>7</v>
      </c>
      <c r="B83" s="465"/>
      <c r="C83" s="407"/>
      <c r="D83" s="407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6" thickBot="1">
      <c r="A84" s="477" t="s">
        <v>571</v>
      </c>
      <c r="B84" s="477"/>
      <c r="C84" s="477"/>
      <c r="D84" s="477"/>
      <c r="E84" s="47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8" t="s">
        <v>111</v>
      </c>
      <c r="B85" s="479"/>
      <c r="C85" s="469" t="s">
        <v>52</v>
      </c>
      <c r="D85" s="469"/>
      <c r="E85" s="469" t="s">
        <v>53</v>
      </c>
      <c r="F85" s="469"/>
      <c r="G85" s="469"/>
      <c r="H85" s="469"/>
      <c r="I85" s="469"/>
      <c r="J85" s="469"/>
      <c r="K85" s="469" t="s">
        <v>54</v>
      </c>
      <c r="L85" s="469"/>
      <c r="M85" s="469"/>
      <c r="N85" s="469"/>
      <c r="O85" s="469"/>
      <c r="P85" s="469"/>
      <c r="Q85" s="469"/>
      <c r="R85" s="469"/>
      <c r="S85" s="469"/>
      <c r="T85" s="469" t="s">
        <v>55</v>
      </c>
      <c r="U85" s="469"/>
      <c r="V85" s="469" t="s">
        <v>56</v>
      </c>
      <c r="W85" s="469"/>
      <c r="X85" s="469"/>
      <c r="Y85" s="469" t="s">
        <v>51</v>
      </c>
      <c r="Z85" s="469"/>
      <c r="AA85" s="469"/>
      <c r="AB85" s="469"/>
      <c r="AC85" s="469"/>
      <c r="AD85" s="470"/>
      <c r="AF85" s="50"/>
    </row>
    <row r="86" spans="1:32" ht="30.75" customHeight="1">
      <c r="A86" s="471">
        <v>1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4"/>
      <c r="W86" s="474"/>
      <c r="X86" s="474"/>
      <c r="Y86" s="475"/>
      <c r="Z86" s="475"/>
      <c r="AA86" s="475"/>
      <c r="AB86" s="475"/>
      <c r="AC86" s="475"/>
      <c r="AD86" s="476"/>
      <c r="AF86" s="50"/>
    </row>
    <row r="87" spans="1:32" ht="30.75" customHeight="1">
      <c r="A87" s="464">
        <v>2</v>
      </c>
      <c r="B87" s="465"/>
      <c r="C87" s="466"/>
      <c r="D87" s="466"/>
      <c r="E87" s="466"/>
      <c r="F87" s="466"/>
      <c r="G87" s="466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7"/>
      <c r="U87" s="467"/>
      <c r="V87" s="468"/>
      <c r="W87" s="468"/>
      <c r="X87" s="468"/>
      <c r="Y87" s="457"/>
      <c r="Z87" s="457"/>
      <c r="AA87" s="457"/>
      <c r="AB87" s="457"/>
      <c r="AC87" s="457"/>
      <c r="AD87" s="458"/>
      <c r="AF87" s="50"/>
    </row>
    <row r="88" spans="1:32" ht="30.75" customHeight="1" thickBot="1">
      <c r="A88" s="459">
        <v>3</v>
      </c>
      <c r="B88" s="460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2"/>
      <c r="Z88" s="462"/>
      <c r="AA88" s="462"/>
      <c r="AB88" s="462"/>
      <c r="AC88" s="462"/>
      <c r="AD88" s="463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48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BC05-B804-4B07-BE34-5CC4FA923A39}">
  <dimension ref="A1:AF89"/>
  <sheetViews>
    <sheetView view="pageBreakPreview" topLeftCell="A41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572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420" t="s">
        <v>17</v>
      </c>
      <c r="L5" s="420" t="s">
        <v>18</v>
      </c>
      <c r="M5" s="420" t="s">
        <v>19</v>
      </c>
      <c r="N5" s="4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544</v>
      </c>
      <c r="F6" s="30" t="s">
        <v>143</v>
      </c>
      <c r="G6" s="12">
        <v>4</v>
      </c>
      <c r="H6" s="13">
        <v>24</v>
      </c>
      <c r="I6" s="31">
        <v>25000</v>
      </c>
      <c r="J6" s="5">
        <v>23044</v>
      </c>
      <c r="K6" s="15">
        <f>L6+12197+23044</f>
        <v>35241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0.44675925925925924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L7+3794+3491</f>
        <v>7285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0.44675925925925924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512</v>
      </c>
      <c r="F8" s="30" t="s">
        <v>146</v>
      </c>
      <c r="G8" s="33">
        <v>1</v>
      </c>
      <c r="H8" s="35">
        <v>24</v>
      </c>
      <c r="I8" s="7">
        <v>15000</v>
      </c>
      <c r="J8" s="14">
        <v>4411</v>
      </c>
      <c r="K8" s="15">
        <f>L8+4409+4411</f>
        <v>8820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>
        <v>24</v>
      </c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0.44675925925925924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517</v>
      </c>
      <c r="F9" s="30" t="s">
        <v>256</v>
      </c>
      <c r="G9" s="33">
        <v>1</v>
      </c>
      <c r="H9" s="35">
        <v>24</v>
      </c>
      <c r="I9" s="7">
        <v>1000</v>
      </c>
      <c r="J9" s="14">
        <v>1105</v>
      </c>
      <c r="K9" s="15">
        <f>L9</f>
        <v>1105</v>
      </c>
      <c r="L9" s="15">
        <v>1105</v>
      </c>
      <c r="M9" s="15">
        <f t="shared" si="0"/>
        <v>1105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/>
      <c r="T9" s="16"/>
      <c r="U9" s="16"/>
      <c r="V9" s="17"/>
      <c r="W9" s="5">
        <v>18</v>
      </c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0.44675925925925924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120</v>
      </c>
      <c r="D10" s="52" t="s">
        <v>370</v>
      </c>
      <c r="E10" s="53" t="s">
        <v>516</v>
      </c>
      <c r="F10" s="30" t="s">
        <v>521</v>
      </c>
      <c r="G10" s="33">
        <v>1</v>
      </c>
      <c r="H10" s="35">
        <v>24</v>
      </c>
      <c r="I10" s="7">
        <v>1000</v>
      </c>
      <c r="J10" s="14">
        <v>878</v>
      </c>
      <c r="K10" s="15">
        <f>L10</f>
        <v>878</v>
      </c>
      <c r="L10" s="15">
        <v>878</v>
      </c>
      <c r="M10" s="15">
        <f t="shared" ref="M10" si="9">L10-N10</f>
        <v>878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5</v>
      </c>
      <c r="Q10" s="40">
        <f t="shared" ref="Q10" si="12">SUM(R10:AA10)</f>
        <v>19</v>
      </c>
      <c r="R10" s="7"/>
      <c r="S10" s="6"/>
      <c r="T10" s="16"/>
      <c r="U10" s="16"/>
      <c r="V10" s="17"/>
      <c r="W10" s="5">
        <v>19</v>
      </c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0.20833333333333334</v>
      </c>
      <c r="AD10" s="10">
        <f t="shared" ref="AD10" si="15">AC10*AB10*(1-O10)</f>
        <v>0.20833333333333334</v>
      </c>
      <c r="AE10" s="36">
        <f t="shared" si="7"/>
        <v>0.44675925925925924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34" t="s">
        <v>112</v>
      </c>
      <c r="D11" s="52" t="s">
        <v>128</v>
      </c>
      <c r="E11" s="53" t="s">
        <v>562</v>
      </c>
      <c r="F11" s="30" t="s">
        <v>146</v>
      </c>
      <c r="G11" s="33">
        <v>1</v>
      </c>
      <c r="H11" s="35">
        <v>24</v>
      </c>
      <c r="I11" s="7">
        <v>34000</v>
      </c>
      <c r="J11" s="5">
        <v>4104</v>
      </c>
      <c r="K11" s="15">
        <f>L11</f>
        <v>4104</v>
      </c>
      <c r="L11" s="15">
        <f>1321+2783</f>
        <v>4104</v>
      </c>
      <c r="M11" s="15">
        <f t="shared" si="0"/>
        <v>4104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>AC11*AB11*(1-O11)</f>
        <v>0.91666666666666663</v>
      </c>
      <c r="AE11" s="36">
        <f t="shared" si="7"/>
        <v>0.44675925925925924</v>
      </c>
      <c r="AF11" s="84">
        <f t="shared" si="8"/>
        <v>5</v>
      </c>
    </row>
    <row r="12" spans="1:32" ht="30" customHeight="1">
      <c r="A12" s="96">
        <v>6</v>
      </c>
      <c r="B12" s="11" t="s">
        <v>57</v>
      </c>
      <c r="C12" s="34" t="s">
        <v>121</v>
      </c>
      <c r="D12" s="52" t="s">
        <v>131</v>
      </c>
      <c r="E12" s="53" t="s">
        <v>368</v>
      </c>
      <c r="F12" s="30" t="s">
        <v>210</v>
      </c>
      <c r="G12" s="12">
        <v>4</v>
      </c>
      <c r="H12" s="13">
        <v>28</v>
      </c>
      <c r="I12" s="7">
        <f>105000-16000</f>
        <v>89000</v>
      </c>
      <c r="J12" s="14">
        <v>18924</v>
      </c>
      <c r="K12" s="15">
        <f>L12+13804+13644+15168+9596+5796+2740+12384</f>
        <v>92056</v>
      </c>
      <c r="L12" s="15">
        <f>2421*4+2310*4</f>
        <v>18924</v>
      </c>
      <c r="M12" s="15">
        <f t="shared" si="0"/>
        <v>18924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6" si="17">AC12*AB12*(1-O12)</f>
        <v>1</v>
      </c>
      <c r="AE12" s="36">
        <f t="shared" si="7"/>
        <v>0.44675925925925924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120</v>
      </c>
      <c r="D13" s="52" t="s">
        <v>128</v>
      </c>
      <c r="E13" s="53" t="s">
        <v>518</v>
      </c>
      <c r="F13" s="30" t="s">
        <v>521</v>
      </c>
      <c r="G13" s="33">
        <v>1</v>
      </c>
      <c r="H13" s="35">
        <v>24</v>
      </c>
      <c r="I13" s="7">
        <v>1000</v>
      </c>
      <c r="J13" s="14">
        <v>1316</v>
      </c>
      <c r="K13" s="15">
        <f>L13</f>
        <v>1316</v>
      </c>
      <c r="L13" s="15">
        <v>1316</v>
      </c>
      <c r="M13" s="15">
        <f t="shared" si="0"/>
        <v>1316</v>
      </c>
      <c r="N13" s="15">
        <v>0</v>
      </c>
      <c r="O13" s="58">
        <f t="shared" si="1"/>
        <v>0</v>
      </c>
      <c r="P13" s="39">
        <f t="shared" si="2"/>
        <v>7</v>
      </c>
      <c r="Q13" s="40">
        <f t="shared" si="3"/>
        <v>17</v>
      </c>
      <c r="R13" s="7"/>
      <c r="S13" s="6"/>
      <c r="T13" s="16"/>
      <c r="U13" s="16"/>
      <c r="V13" s="17"/>
      <c r="W13" s="5">
        <v>17</v>
      </c>
      <c r="X13" s="16"/>
      <c r="Y13" s="16"/>
      <c r="Z13" s="16"/>
      <c r="AA13" s="18"/>
      <c r="AB13" s="8">
        <f t="shared" si="4"/>
        <v>1</v>
      </c>
      <c r="AC13" s="9">
        <f t="shared" si="5"/>
        <v>0.29166666666666669</v>
      </c>
      <c r="AD13" s="10">
        <f t="shared" si="17"/>
        <v>0.29166666666666669</v>
      </c>
      <c r="AE13" s="36">
        <f t="shared" si="7"/>
        <v>0.44675925925925924</v>
      </c>
      <c r="AF13" s="84">
        <f t="shared" si="8"/>
        <v>7</v>
      </c>
    </row>
    <row r="14" spans="1:32" ht="27" customHeight="1">
      <c r="A14" s="96">
        <v>7</v>
      </c>
      <c r="B14" s="11" t="s">
        <v>57</v>
      </c>
      <c r="C14" s="11" t="s">
        <v>120</v>
      </c>
      <c r="D14" s="52" t="s">
        <v>115</v>
      </c>
      <c r="E14" s="53" t="s">
        <v>520</v>
      </c>
      <c r="F14" s="30" t="s">
        <v>521</v>
      </c>
      <c r="G14" s="33">
        <v>1</v>
      </c>
      <c r="H14" s="35">
        <v>24</v>
      </c>
      <c r="I14" s="7">
        <v>1000</v>
      </c>
      <c r="J14" s="14">
        <v>803</v>
      </c>
      <c r="K14" s="15">
        <f>L14</f>
        <v>803</v>
      </c>
      <c r="L14" s="15">
        <v>803</v>
      </c>
      <c r="M14" s="15">
        <f t="shared" ref="M14" si="18">L14-N14</f>
        <v>803</v>
      </c>
      <c r="N14" s="15">
        <v>0</v>
      </c>
      <c r="O14" s="58">
        <f t="shared" ref="O14" si="19">IF(L14=0,"0",N14/L14)</f>
        <v>0</v>
      </c>
      <c r="P14" s="39">
        <f t="shared" ref="P14" si="20">IF(L14=0,"0",(24-Q14))</f>
        <v>5</v>
      </c>
      <c r="Q14" s="40">
        <f t="shared" ref="Q14" si="21">SUM(R14:AA14)</f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ref="AB14" si="22">IF(J14=0,"0",(L14/J14))</f>
        <v>1</v>
      </c>
      <c r="AC14" s="9">
        <f t="shared" ref="AC14" si="23">IF(P14=0,"0",(P14/24))</f>
        <v>0.20833333333333334</v>
      </c>
      <c r="AD14" s="10">
        <f t="shared" ref="AD14" si="24">AC14*AB14*(1-O14)</f>
        <v>0.20833333333333334</v>
      </c>
      <c r="AE14" s="36">
        <f t="shared" si="7"/>
        <v>0.44675925925925924</v>
      </c>
      <c r="AF14" s="84">
        <f t="shared" ref="AF14" si="25">A14</f>
        <v>7</v>
      </c>
    </row>
    <row r="15" spans="1:32" ht="27" customHeight="1">
      <c r="A15" s="96">
        <v>8</v>
      </c>
      <c r="B15" s="11" t="s">
        <v>57</v>
      </c>
      <c r="C15" s="11" t="s">
        <v>123</v>
      </c>
      <c r="D15" s="52" t="s">
        <v>115</v>
      </c>
      <c r="E15" s="53" t="s">
        <v>162</v>
      </c>
      <c r="F15" s="30" t="s">
        <v>167</v>
      </c>
      <c r="G15" s="33">
        <v>1</v>
      </c>
      <c r="H15" s="35">
        <v>24</v>
      </c>
      <c r="I15" s="7">
        <v>2500</v>
      </c>
      <c r="J15" s="14">
        <v>1858</v>
      </c>
      <c r="K15" s="15">
        <f>L15+3348</f>
        <v>5206</v>
      </c>
      <c r="L15" s="15">
        <f>1858</f>
        <v>1858</v>
      </c>
      <c r="M15" s="15">
        <f t="shared" si="0"/>
        <v>1858</v>
      </c>
      <c r="N15" s="15">
        <v>0</v>
      </c>
      <c r="O15" s="58">
        <f t="shared" si="1"/>
        <v>0</v>
      </c>
      <c r="P15" s="39">
        <f t="shared" si="2"/>
        <v>10</v>
      </c>
      <c r="Q15" s="40">
        <f t="shared" si="3"/>
        <v>14</v>
      </c>
      <c r="R15" s="7"/>
      <c r="S15" s="6"/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si="4"/>
        <v>1</v>
      </c>
      <c r="AC15" s="9">
        <f t="shared" si="5"/>
        <v>0.41666666666666669</v>
      </c>
      <c r="AD15" s="10">
        <f t="shared" si="17"/>
        <v>0.41666666666666669</v>
      </c>
      <c r="AE15" s="36">
        <f t="shared" si="7"/>
        <v>0.44675925925925924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383</v>
      </c>
      <c r="F16" s="30" t="s">
        <v>211</v>
      </c>
      <c r="G16" s="33">
        <v>1</v>
      </c>
      <c r="H16" s="35">
        <v>24</v>
      </c>
      <c r="I16" s="7">
        <v>300</v>
      </c>
      <c r="J16" s="5">
        <v>350</v>
      </c>
      <c r="K16" s="15">
        <f>L16+350</f>
        <v>350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7"/>
        <v>0</v>
      </c>
      <c r="AE16" s="36">
        <f t="shared" si="7"/>
        <v>0.44675925925925924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120</v>
      </c>
      <c r="D17" s="52" t="s">
        <v>165</v>
      </c>
      <c r="E17" s="53" t="s">
        <v>166</v>
      </c>
      <c r="F17" s="12" t="s">
        <v>132</v>
      </c>
      <c r="G17" s="12">
        <v>1</v>
      </c>
      <c r="H17" s="13">
        <v>24</v>
      </c>
      <c r="I17" s="31">
        <v>2600</v>
      </c>
      <c r="J17" s="14">
        <v>2824</v>
      </c>
      <c r="K17" s="15">
        <f>L17+2824</f>
        <v>2824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0.44675925925925924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121</v>
      </c>
      <c r="D18" s="52" t="s">
        <v>131</v>
      </c>
      <c r="E18" s="53" t="s">
        <v>368</v>
      </c>
      <c r="F18" s="30" t="s">
        <v>210</v>
      </c>
      <c r="G18" s="12">
        <v>4</v>
      </c>
      <c r="H18" s="13">
        <v>28</v>
      </c>
      <c r="I18" s="7">
        <f>105000-16000</f>
        <v>89000</v>
      </c>
      <c r="J18" s="14">
        <v>2740</v>
      </c>
      <c r="K18" s="15">
        <f>L18+13804+13644+15168+9596+5796+2740</f>
        <v>60748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0.44675925925925924</v>
      </c>
      <c r="AF18" s="84">
        <f t="shared" si="8"/>
        <v>11</v>
      </c>
    </row>
    <row r="19" spans="1:32" ht="27" customHeight="1">
      <c r="A19" s="95">
        <v>12</v>
      </c>
      <c r="B19" s="11" t="s">
        <v>57</v>
      </c>
      <c r="C19" s="34" t="s">
        <v>121</v>
      </c>
      <c r="D19" s="52" t="s">
        <v>131</v>
      </c>
      <c r="E19" s="53" t="s">
        <v>527</v>
      </c>
      <c r="F19" s="30" t="s">
        <v>132</v>
      </c>
      <c r="G19" s="33">
        <v>4</v>
      </c>
      <c r="H19" s="35">
        <v>24</v>
      </c>
      <c r="I19" s="7">
        <v>500000</v>
      </c>
      <c r="J19" s="5">
        <v>21128</v>
      </c>
      <c r="K19" s="15">
        <f>L19+19272+21812+22172</f>
        <v>84384</v>
      </c>
      <c r="L19" s="15">
        <f>2804*4+2478*4</f>
        <v>21128</v>
      </c>
      <c r="M19" s="15">
        <f t="shared" si="0"/>
        <v>21128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0.44675925925925924</v>
      </c>
      <c r="AF19" s="84">
        <f t="shared" si="8"/>
        <v>12</v>
      </c>
    </row>
    <row r="20" spans="1:32" ht="27" customHeight="1">
      <c r="A20" s="113">
        <v>13</v>
      </c>
      <c r="B20" s="11" t="s">
        <v>57</v>
      </c>
      <c r="C20" s="34" t="s">
        <v>121</v>
      </c>
      <c r="D20" s="52" t="s">
        <v>568</v>
      </c>
      <c r="E20" s="53" t="s">
        <v>567</v>
      </c>
      <c r="F20" s="30" t="s">
        <v>124</v>
      </c>
      <c r="G20" s="12">
        <v>2</v>
      </c>
      <c r="H20" s="13">
        <v>28</v>
      </c>
      <c r="I20" s="31">
        <v>10000</v>
      </c>
      <c r="J20" s="5">
        <v>8346</v>
      </c>
      <c r="K20" s="15">
        <f>L20</f>
        <v>8346</v>
      </c>
      <c r="L20" s="15">
        <f>1695*2+2478*2</f>
        <v>8346</v>
      </c>
      <c r="M20" s="15">
        <f t="shared" si="0"/>
        <v>8346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0.44675925925925924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121</v>
      </c>
      <c r="D21" s="52" t="s">
        <v>115</v>
      </c>
      <c r="E21" s="53" t="s">
        <v>263</v>
      </c>
      <c r="F21" s="30" t="s">
        <v>125</v>
      </c>
      <c r="G21" s="33">
        <v>1</v>
      </c>
      <c r="H21" s="35">
        <v>24</v>
      </c>
      <c r="I21" s="7">
        <v>500000</v>
      </c>
      <c r="J21" s="5">
        <v>16256</v>
      </c>
      <c r="K21" s="15">
        <f>L21+12212+20232</f>
        <v>48700</v>
      </c>
      <c r="L21" s="15">
        <f>2474*4+1590*4</f>
        <v>16256</v>
      </c>
      <c r="M21" s="15">
        <f t="shared" si="0"/>
        <v>16256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>AC21*AB21*(1-O21)</f>
        <v>0.875</v>
      </c>
      <c r="AE21" s="36">
        <f t="shared" si="7"/>
        <v>0.44675925925925924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469</v>
      </c>
      <c r="F22" s="30" t="s">
        <v>119</v>
      </c>
      <c r="G22" s="33">
        <v>1</v>
      </c>
      <c r="H22" s="35">
        <v>24</v>
      </c>
      <c r="I22" s="7">
        <v>64000</v>
      </c>
      <c r="J22" s="14">
        <v>4864</v>
      </c>
      <c r="K22" s="15">
        <f>L22+4204+5394+5278+1522+3899+5224+5152+5164+2208+4924+654+3141+5593+2079+5343+5450+440+2090</f>
        <v>72623</v>
      </c>
      <c r="L22" s="15">
        <f>2877+1987</f>
        <v>4864</v>
      </c>
      <c r="M22" s="15">
        <f t="shared" si="0"/>
        <v>4864</v>
      </c>
      <c r="N22" s="15">
        <v>0</v>
      </c>
      <c r="O22" s="58">
        <f t="shared" si="1"/>
        <v>0</v>
      </c>
      <c r="P22" s="39">
        <f t="shared" si="2"/>
        <v>23</v>
      </c>
      <c r="Q22" s="40">
        <f t="shared" si="3"/>
        <v>1</v>
      </c>
      <c r="R22" s="7"/>
      <c r="S22" s="6">
        <v>1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0.95833333333333337</v>
      </c>
      <c r="AD22" s="10">
        <f t="shared" si="6"/>
        <v>0.95833333333333337</v>
      </c>
      <c r="AE22" s="36">
        <f t="shared" si="7"/>
        <v>0.44675925925925924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432</v>
      </c>
      <c r="F23" s="12" t="s">
        <v>114</v>
      </c>
      <c r="G23" s="12">
        <v>4</v>
      </c>
      <c r="H23" s="35">
        <v>20</v>
      </c>
      <c r="I23" s="7">
        <v>500000</v>
      </c>
      <c r="J23" s="14">
        <v>73976</v>
      </c>
      <c r="K23" s="15">
        <f>L23+16808+39112+38440+39748+31140+68844+45656+37140</f>
        <v>390864</v>
      </c>
      <c r="L23" s="15">
        <f>9140*4+8259*4+1095*4</f>
        <v>73976</v>
      </c>
      <c r="M23" s="15">
        <f t="shared" si="0"/>
        <v>73976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0.44675925925925924</v>
      </c>
      <c r="AF23" s="84">
        <f t="shared" si="8"/>
        <v>16</v>
      </c>
    </row>
    <row r="24" spans="1:32" ht="31.5" customHeight="1" thickBot="1">
      <c r="A24" s="545" t="s">
        <v>34</v>
      </c>
      <c r="B24" s="546"/>
      <c r="C24" s="546"/>
      <c r="D24" s="546"/>
      <c r="E24" s="546"/>
      <c r="F24" s="546"/>
      <c r="G24" s="546"/>
      <c r="H24" s="547"/>
      <c r="I24" s="22">
        <f t="shared" ref="I24:N24" si="26">SUM(I6:I23)</f>
        <v>1842400</v>
      </c>
      <c r="J24" s="19">
        <f t="shared" si="26"/>
        <v>190418</v>
      </c>
      <c r="K24" s="20">
        <f t="shared" si="26"/>
        <v>825653</v>
      </c>
      <c r="L24" s="21">
        <f t="shared" si="26"/>
        <v>153558</v>
      </c>
      <c r="M24" s="20">
        <f t="shared" si="26"/>
        <v>153558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193</v>
      </c>
      <c r="Q24" s="43">
        <f t="shared" si="27"/>
        <v>239</v>
      </c>
      <c r="R24" s="23">
        <f t="shared" si="27"/>
        <v>48</v>
      </c>
      <c r="S24" s="24">
        <f t="shared" si="27"/>
        <v>6</v>
      </c>
      <c r="T24" s="24">
        <f t="shared" si="27"/>
        <v>2</v>
      </c>
      <c r="U24" s="24">
        <f t="shared" si="27"/>
        <v>0</v>
      </c>
      <c r="V24" s="25">
        <f t="shared" si="27"/>
        <v>0</v>
      </c>
      <c r="W24" s="26">
        <f t="shared" si="27"/>
        <v>159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24</v>
      </c>
      <c r="AB24" s="28">
        <f>AVERAGE(AB6:AB23)</f>
        <v>0.66666666666666663</v>
      </c>
      <c r="AC24" s="4">
        <f>AVERAGE(AC6:AC23)</f>
        <v>0.44675925925925924</v>
      </c>
      <c r="AD24" s="4">
        <f>AVERAGE(AD6:AD23)</f>
        <v>0.44675925925925924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48" t="s">
        <v>45</v>
      </c>
      <c r="B51" s="548"/>
      <c r="C51" s="548"/>
      <c r="D51" s="548"/>
      <c r="E51" s="5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49" t="s">
        <v>573</v>
      </c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1"/>
      <c r="N52" s="552" t="s">
        <v>574</v>
      </c>
      <c r="O52" s="553"/>
      <c r="P52" s="553"/>
      <c r="Q52" s="553"/>
      <c r="R52" s="553"/>
      <c r="S52" s="553"/>
      <c r="T52" s="553"/>
      <c r="U52" s="553"/>
      <c r="V52" s="553"/>
      <c r="W52" s="553"/>
      <c r="X52" s="553"/>
      <c r="Y52" s="553"/>
      <c r="Z52" s="553"/>
      <c r="AA52" s="553"/>
      <c r="AB52" s="553"/>
      <c r="AC52" s="553"/>
      <c r="AD52" s="554"/>
    </row>
    <row r="53" spans="1:32" ht="27" customHeight="1">
      <c r="A53" s="555" t="s">
        <v>2</v>
      </c>
      <c r="B53" s="556"/>
      <c r="C53" s="419" t="s">
        <v>46</v>
      </c>
      <c r="D53" s="419" t="s">
        <v>47</v>
      </c>
      <c r="E53" s="419" t="s">
        <v>107</v>
      </c>
      <c r="F53" s="557" t="s">
        <v>106</v>
      </c>
      <c r="G53" s="558"/>
      <c r="H53" s="558"/>
      <c r="I53" s="558"/>
      <c r="J53" s="558"/>
      <c r="K53" s="558"/>
      <c r="L53" s="558"/>
      <c r="M53" s="559"/>
      <c r="N53" s="67" t="s">
        <v>110</v>
      </c>
      <c r="O53" s="419" t="s">
        <v>46</v>
      </c>
      <c r="P53" s="557" t="s">
        <v>47</v>
      </c>
      <c r="Q53" s="560"/>
      <c r="R53" s="557" t="s">
        <v>38</v>
      </c>
      <c r="S53" s="558"/>
      <c r="T53" s="558"/>
      <c r="U53" s="560"/>
      <c r="V53" s="557" t="s">
        <v>48</v>
      </c>
      <c r="W53" s="558"/>
      <c r="X53" s="558"/>
      <c r="Y53" s="558"/>
      <c r="Z53" s="558"/>
      <c r="AA53" s="558"/>
      <c r="AB53" s="558"/>
      <c r="AC53" s="558"/>
      <c r="AD53" s="559"/>
    </row>
    <row r="54" spans="1:32" ht="27" customHeight="1">
      <c r="A54" s="526" t="s">
        <v>120</v>
      </c>
      <c r="B54" s="527"/>
      <c r="C54" s="416" t="s">
        <v>142</v>
      </c>
      <c r="D54" s="416" t="s">
        <v>196</v>
      </c>
      <c r="E54" s="416" t="s">
        <v>517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415" t="s">
        <v>120</v>
      </c>
      <c r="O54" s="413" t="s">
        <v>261</v>
      </c>
      <c r="P54" s="540" t="s">
        <v>134</v>
      </c>
      <c r="Q54" s="541"/>
      <c r="R54" s="540" t="s">
        <v>519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416" t="s">
        <v>142</v>
      </c>
      <c r="D55" s="416" t="s">
        <v>370</v>
      </c>
      <c r="E55" s="416" t="s">
        <v>516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415" t="s">
        <v>121</v>
      </c>
      <c r="O55" s="413" t="s">
        <v>239</v>
      </c>
      <c r="P55" s="540" t="s">
        <v>131</v>
      </c>
      <c r="Q55" s="541"/>
      <c r="R55" s="540" t="s">
        <v>461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120</v>
      </c>
      <c r="B56" s="527"/>
      <c r="C56" s="416" t="s">
        <v>239</v>
      </c>
      <c r="D56" s="416" t="s">
        <v>128</v>
      </c>
      <c r="E56" s="416" t="s">
        <v>518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415"/>
      <c r="O56" s="413"/>
      <c r="P56" s="540"/>
      <c r="Q56" s="541"/>
      <c r="R56" s="540"/>
      <c r="S56" s="542"/>
      <c r="T56" s="542"/>
      <c r="U56" s="541"/>
      <c r="V56" s="510"/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120</v>
      </c>
      <c r="B57" s="527"/>
      <c r="C57" s="416" t="s">
        <v>239</v>
      </c>
      <c r="D57" s="416" t="s">
        <v>115</v>
      </c>
      <c r="E57" s="416" t="s">
        <v>520</v>
      </c>
      <c r="F57" s="528" t="s">
        <v>118</v>
      </c>
      <c r="G57" s="529"/>
      <c r="H57" s="529"/>
      <c r="I57" s="529"/>
      <c r="J57" s="529"/>
      <c r="K57" s="529"/>
      <c r="L57" s="529"/>
      <c r="M57" s="530"/>
      <c r="N57" s="415"/>
      <c r="O57" s="413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112</v>
      </c>
      <c r="B58" s="527"/>
      <c r="C58" s="416" t="s">
        <v>223</v>
      </c>
      <c r="D58" s="416" t="s">
        <v>115</v>
      </c>
      <c r="E58" s="416" t="s">
        <v>469</v>
      </c>
      <c r="F58" s="528" t="s">
        <v>151</v>
      </c>
      <c r="G58" s="529"/>
      <c r="H58" s="529"/>
      <c r="I58" s="529"/>
      <c r="J58" s="529"/>
      <c r="K58" s="529"/>
      <c r="L58" s="529"/>
      <c r="M58" s="530"/>
      <c r="N58" s="415"/>
      <c r="O58" s="413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112</v>
      </c>
      <c r="B59" s="527"/>
      <c r="C59" s="416" t="s">
        <v>214</v>
      </c>
      <c r="D59" s="416" t="s">
        <v>128</v>
      </c>
      <c r="E59" s="416" t="s">
        <v>562</v>
      </c>
      <c r="F59" s="528" t="s">
        <v>151</v>
      </c>
      <c r="G59" s="529"/>
      <c r="H59" s="529"/>
      <c r="I59" s="529"/>
      <c r="J59" s="529"/>
      <c r="K59" s="529"/>
      <c r="L59" s="529"/>
      <c r="M59" s="530"/>
      <c r="N59" s="415"/>
      <c r="O59" s="413"/>
      <c r="P59" s="540"/>
      <c r="Q59" s="541"/>
      <c r="R59" s="540"/>
      <c r="S59" s="542"/>
      <c r="T59" s="542"/>
      <c r="U59" s="541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 t="s">
        <v>121</v>
      </c>
      <c r="B60" s="527"/>
      <c r="C60" s="416" t="s">
        <v>147</v>
      </c>
      <c r="D60" s="416" t="s">
        <v>568</v>
      </c>
      <c r="E60" s="416" t="s">
        <v>567</v>
      </c>
      <c r="F60" s="528" t="s">
        <v>118</v>
      </c>
      <c r="G60" s="529"/>
      <c r="H60" s="529"/>
      <c r="I60" s="529"/>
      <c r="J60" s="529"/>
      <c r="K60" s="529"/>
      <c r="L60" s="529"/>
      <c r="M60" s="530"/>
      <c r="N60" s="415"/>
      <c r="O60" s="413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416"/>
      <c r="D61" s="416"/>
      <c r="E61" s="416"/>
      <c r="F61" s="528"/>
      <c r="G61" s="529"/>
      <c r="H61" s="529"/>
      <c r="I61" s="529"/>
      <c r="J61" s="529"/>
      <c r="K61" s="529"/>
      <c r="L61" s="529"/>
      <c r="M61" s="530"/>
      <c r="N61" s="415"/>
      <c r="O61" s="413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/>
      <c r="B62" s="527"/>
      <c r="C62" s="416"/>
      <c r="D62" s="416"/>
      <c r="E62" s="416"/>
      <c r="F62" s="528"/>
      <c r="G62" s="529"/>
      <c r="H62" s="529"/>
      <c r="I62" s="529"/>
      <c r="J62" s="529"/>
      <c r="K62" s="529"/>
      <c r="L62" s="529"/>
      <c r="M62" s="530"/>
      <c r="N62" s="415"/>
      <c r="O62" s="413"/>
      <c r="P62" s="527"/>
      <c r="Q62" s="527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  <c r="AF62" s="84">
        <f>8*3000</f>
        <v>24000</v>
      </c>
    </row>
    <row r="63" spans="1:32" ht="27" customHeight="1" thickBot="1">
      <c r="A63" s="532"/>
      <c r="B63" s="533"/>
      <c r="C63" s="417"/>
      <c r="D63" s="418"/>
      <c r="E63" s="418"/>
      <c r="F63" s="534"/>
      <c r="G63" s="535"/>
      <c r="H63" s="535"/>
      <c r="I63" s="535"/>
      <c r="J63" s="535"/>
      <c r="K63" s="535"/>
      <c r="L63" s="535"/>
      <c r="M63" s="536"/>
      <c r="N63" s="112"/>
      <c r="O63" s="103"/>
      <c r="P63" s="537"/>
      <c r="Q63" s="537"/>
      <c r="R63" s="537"/>
      <c r="S63" s="537"/>
      <c r="T63" s="537"/>
      <c r="U63" s="537"/>
      <c r="V63" s="538"/>
      <c r="W63" s="538"/>
      <c r="X63" s="538"/>
      <c r="Y63" s="538"/>
      <c r="Z63" s="538"/>
      <c r="AA63" s="538"/>
      <c r="AB63" s="538"/>
      <c r="AC63" s="538"/>
      <c r="AD63" s="539"/>
      <c r="AF63" s="84">
        <f>16*3000</f>
        <v>48000</v>
      </c>
    </row>
    <row r="64" spans="1:32" ht="27.75" thickBot="1">
      <c r="A64" s="524" t="s">
        <v>575</v>
      </c>
      <c r="B64" s="524"/>
      <c r="C64" s="524"/>
      <c r="D64" s="524"/>
      <c r="E64" s="52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25" t="s">
        <v>111</v>
      </c>
      <c r="B65" s="520"/>
      <c r="C65" s="414" t="s">
        <v>2</v>
      </c>
      <c r="D65" s="414" t="s">
        <v>37</v>
      </c>
      <c r="E65" s="414" t="s">
        <v>3</v>
      </c>
      <c r="F65" s="520" t="s">
        <v>109</v>
      </c>
      <c r="G65" s="520"/>
      <c r="H65" s="520"/>
      <c r="I65" s="520"/>
      <c r="J65" s="520"/>
      <c r="K65" s="520" t="s">
        <v>39</v>
      </c>
      <c r="L65" s="520"/>
      <c r="M65" s="414" t="s">
        <v>40</v>
      </c>
      <c r="N65" s="520" t="s">
        <v>41</v>
      </c>
      <c r="O65" s="520"/>
      <c r="P65" s="517" t="s">
        <v>42</v>
      </c>
      <c r="Q65" s="519"/>
      <c r="R65" s="517" t="s">
        <v>43</v>
      </c>
      <c r="S65" s="518"/>
      <c r="T65" s="518"/>
      <c r="U65" s="518"/>
      <c r="V65" s="518"/>
      <c r="W65" s="518"/>
      <c r="X65" s="518"/>
      <c r="Y65" s="518"/>
      <c r="Z65" s="518"/>
      <c r="AA65" s="519"/>
      <c r="AB65" s="520" t="s">
        <v>44</v>
      </c>
      <c r="AC65" s="520"/>
      <c r="AD65" s="521"/>
      <c r="AF65" s="84">
        <f>SUM(AF62:AF64)</f>
        <v>96000</v>
      </c>
    </row>
    <row r="66" spans="1:32" ht="25.5" customHeight="1">
      <c r="A66" s="503">
        <v>1</v>
      </c>
      <c r="B66" s="504"/>
      <c r="C66" s="105" t="s">
        <v>193</v>
      </c>
      <c r="D66" s="409"/>
      <c r="E66" s="412" t="s">
        <v>578</v>
      </c>
      <c r="F66" s="513" t="s">
        <v>576</v>
      </c>
      <c r="G66" s="514"/>
      <c r="H66" s="514"/>
      <c r="I66" s="514"/>
      <c r="J66" s="515"/>
      <c r="K66" s="497">
        <v>7301</v>
      </c>
      <c r="L66" s="497"/>
      <c r="M66" s="51" t="s">
        <v>144</v>
      </c>
      <c r="N66" s="511" t="s">
        <v>201</v>
      </c>
      <c r="O66" s="511"/>
      <c r="P66" s="512">
        <v>30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516"/>
      <c r="AC66" s="522"/>
      <c r="AD66" s="523"/>
      <c r="AF66" s="50"/>
    </row>
    <row r="67" spans="1:32" ht="25.5" customHeight="1">
      <c r="A67" s="503">
        <v>2</v>
      </c>
      <c r="B67" s="504"/>
      <c r="C67" s="105" t="s">
        <v>193</v>
      </c>
      <c r="D67" s="409"/>
      <c r="E67" s="412" t="s">
        <v>115</v>
      </c>
      <c r="F67" s="513" t="s">
        <v>577</v>
      </c>
      <c r="G67" s="514"/>
      <c r="H67" s="514"/>
      <c r="I67" s="514"/>
      <c r="J67" s="515"/>
      <c r="K67" s="497" t="s">
        <v>277</v>
      </c>
      <c r="L67" s="497"/>
      <c r="M67" s="51" t="s">
        <v>144</v>
      </c>
      <c r="N67" s="511" t="s">
        <v>201</v>
      </c>
      <c r="O67" s="511"/>
      <c r="P67" s="512">
        <v>30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3</v>
      </c>
      <c r="B68" s="504"/>
      <c r="C68" s="105" t="s">
        <v>123</v>
      </c>
      <c r="D68" s="409"/>
      <c r="E68" s="412"/>
      <c r="F68" s="513" t="s">
        <v>443</v>
      </c>
      <c r="G68" s="514"/>
      <c r="H68" s="514"/>
      <c r="I68" s="514"/>
      <c r="J68" s="515"/>
      <c r="K68" s="497" t="s">
        <v>249</v>
      </c>
      <c r="L68" s="497"/>
      <c r="M68" s="51" t="s">
        <v>200</v>
      </c>
      <c r="N68" s="511" t="s">
        <v>147</v>
      </c>
      <c r="O68" s="511"/>
      <c r="P68" s="512">
        <v>50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4</v>
      </c>
      <c r="B69" s="504"/>
      <c r="C69" s="105"/>
      <c r="D69" s="409"/>
      <c r="E69" s="412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5</v>
      </c>
      <c r="B70" s="504"/>
      <c r="C70" s="105"/>
      <c r="D70" s="409"/>
      <c r="E70" s="412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6</v>
      </c>
      <c r="B71" s="504"/>
      <c r="C71" s="105"/>
      <c r="D71" s="409"/>
      <c r="E71" s="412"/>
      <c r="F71" s="513"/>
      <c r="G71" s="514"/>
      <c r="H71" s="514"/>
      <c r="I71" s="514"/>
      <c r="J71" s="515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7</v>
      </c>
      <c r="B72" s="504"/>
      <c r="C72" s="105"/>
      <c r="D72" s="409"/>
      <c r="E72" s="412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8</v>
      </c>
      <c r="B73" s="504"/>
      <c r="C73" s="105"/>
      <c r="D73" s="409"/>
      <c r="E73" s="412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9</v>
      </c>
      <c r="B74" s="504"/>
      <c r="C74" s="105"/>
      <c r="D74" s="409"/>
      <c r="E74" s="412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5.5" customHeight="1">
      <c r="A75" s="503">
        <v>10</v>
      </c>
      <c r="B75" s="504"/>
      <c r="C75" s="105"/>
      <c r="D75" s="409"/>
      <c r="E75" s="412"/>
      <c r="F75" s="505"/>
      <c r="G75" s="497"/>
      <c r="H75" s="497"/>
      <c r="I75" s="497"/>
      <c r="J75" s="497"/>
      <c r="K75" s="497"/>
      <c r="L75" s="497"/>
      <c r="M75" s="51"/>
      <c r="N75" s="511"/>
      <c r="O75" s="511"/>
      <c r="P75" s="512"/>
      <c r="Q75" s="512"/>
      <c r="R75" s="510"/>
      <c r="S75" s="510"/>
      <c r="T75" s="510"/>
      <c r="U75" s="510"/>
      <c r="V75" s="510"/>
      <c r="W75" s="510"/>
      <c r="X75" s="510"/>
      <c r="Y75" s="510"/>
      <c r="Z75" s="510"/>
      <c r="AA75" s="510"/>
      <c r="AB75" s="497"/>
      <c r="AC75" s="497"/>
      <c r="AD75" s="498"/>
      <c r="AF75" s="50"/>
    </row>
    <row r="76" spans="1:32" ht="26.25" customHeight="1" thickBot="1">
      <c r="A76" s="477" t="s">
        <v>579</v>
      </c>
      <c r="B76" s="477"/>
      <c r="C76" s="477"/>
      <c r="D76" s="477"/>
      <c r="E76" s="47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8" t="s">
        <v>111</v>
      </c>
      <c r="B77" s="479"/>
      <c r="C77" s="411" t="s">
        <v>2</v>
      </c>
      <c r="D77" s="411" t="s">
        <v>37</v>
      </c>
      <c r="E77" s="411" t="s">
        <v>3</v>
      </c>
      <c r="F77" s="479" t="s">
        <v>38</v>
      </c>
      <c r="G77" s="479"/>
      <c r="H77" s="479"/>
      <c r="I77" s="479"/>
      <c r="J77" s="479"/>
      <c r="K77" s="499" t="s">
        <v>58</v>
      </c>
      <c r="L77" s="500"/>
      <c r="M77" s="500"/>
      <c r="N77" s="500"/>
      <c r="O77" s="500"/>
      <c r="P77" s="500"/>
      <c r="Q77" s="500"/>
      <c r="R77" s="500"/>
      <c r="S77" s="501"/>
      <c r="T77" s="479" t="s">
        <v>49</v>
      </c>
      <c r="U77" s="479"/>
      <c r="V77" s="499" t="s">
        <v>50</v>
      </c>
      <c r="W77" s="501"/>
      <c r="X77" s="500" t="s">
        <v>51</v>
      </c>
      <c r="Y77" s="500"/>
      <c r="Z77" s="500"/>
      <c r="AA77" s="500"/>
      <c r="AB77" s="500"/>
      <c r="AC77" s="500"/>
      <c r="AD77" s="502"/>
      <c r="AF77" s="50"/>
    </row>
    <row r="78" spans="1:32" ht="33.75" customHeight="1">
      <c r="A78" s="471">
        <v>1</v>
      </c>
      <c r="B78" s="472"/>
      <c r="C78" s="410" t="s">
        <v>112</v>
      </c>
      <c r="D78" s="410"/>
      <c r="E78" s="65" t="s">
        <v>117</v>
      </c>
      <c r="F78" s="486" t="s">
        <v>116</v>
      </c>
      <c r="G78" s="487"/>
      <c r="H78" s="487"/>
      <c r="I78" s="487"/>
      <c r="J78" s="488"/>
      <c r="K78" s="489" t="s">
        <v>122</v>
      </c>
      <c r="L78" s="490"/>
      <c r="M78" s="490"/>
      <c r="N78" s="490"/>
      <c r="O78" s="490"/>
      <c r="P78" s="490"/>
      <c r="Q78" s="490"/>
      <c r="R78" s="490"/>
      <c r="S78" s="491"/>
      <c r="T78" s="492">
        <v>43675</v>
      </c>
      <c r="U78" s="493"/>
      <c r="V78" s="494"/>
      <c r="W78" s="494"/>
      <c r="X78" s="495"/>
      <c r="Y78" s="495"/>
      <c r="Z78" s="495"/>
      <c r="AA78" s="495"/>
      <c r="AB78" s="495"/>
      <c r="AC78" s="495"/>
      <c r="AD78" s="496"/>
      <c r="AF78" s="50"/>
    </row>
    <row r="79" spans="1:32" ht="30" customHeight="1">
      <c r="A79" s="464">
        <f>A78+1</f>
        <v>2</v>
      </c>
      <c r="B79" s="465"/>
      <c r="C79" s="409"/>
      <c r="D79" s="409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ref="A80:A84" si="28">A79+1</f>
        <v>3</v>
      </c>
      <c r="B80" s="465"/>
      <c r="C80" s="409"/>
      <c r="D80" s="409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8"/>
        <v>4</v>
      </c>
      <c r="B81" s="465"/>
      <c r="C81" s="409"/>
      <c r="D81" s="409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8"/>
        <v>5</v>
      </c>
      <c r="B82" s="465"/>
      <c r="C82" s="409"/>
      <c r="D82" s="409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8"/>
        <v>6</v>
      </c>
      <c r="B83" s="465"/>
      <c r="C83" s="409"/>
      <c r="D83" s="409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28"/>
        <v>7</v>
      </c>
      <c r="B84" s="465"/>
      <c r="C84" s="409"/>
      <c r="D84" s="409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7" t="s">
        <v>580</v>
      </c>
      <c r="B85" s="477"/>
      <c r="C85" s="477"/>
      <c r="D85" s="477"/>
      <c r="E85" s="47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8" t="s">
        <v>111</v>
      </c>
      <c r="B86" s="479"/>
      <c r="C86" s="469" t="s">
        <v>52</v>
      </c>
      <c r="D86" s="469"/>
      <c r="E86" s="469" t="s">
        <v>53</v>
      </c>
      <c r="F86" s="469"/>
      <c r="G86" s="469"/>
      <c r="H86" s="469"/>
      <c r="I86" s="469"/>
      <c r="J86" s="469"/>
      <c r="K86" s="469" t="s">
        <v>54</v>
      </c>
      <c r="L86" s="469"/>
      <c r="M86" s="469"/>
      <c r="N86" s="469"/>
      <c r="O86" s="469"/>
      <c r="P86" s="469"/>
      <c r="Q86" s="469"/>
      <c r="R86" s="469"/>
      <c r="S86" s="469"/>
      <c r="T86" s="469" t="s">
        <v>55</v>
      </c>
      <c r="U86" s="469"/>
      <c r="V86" s="469" t="s">
        <v>56</v>
      </c>
      <c r="W86" s="469"/>
      <c r="X86" s="469"/>
      <c r="Y86" s="469" t="s">
        <v>51</v>
      </c>
      <c r="Z86" s="469"/>
      <c r="AA86" s="469"/>
      <c r="AB86" s="469"/>
      <c r="AC86" s="469"/>
      <c r="AD86" s="470"/>
      <c r="AF86" s="50"/>
    </row>
    <row r="87" spans="1:32" ht="30.75" customHeight="1">
      <c r="A87" s="471">
        <v>1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4"/>
      <c r="W87" s="474"/>
      <c r="X87" s="474"/>
      <c r="Y87" s="475"/>
      <c r="Z87" s="475"/>
      <c r="AA87" s="475"/>
      <c r="AB87" s="475"/>
      <c r="AC87" s="475"/>
      <c r="AD87" s="476"/>
      <c r="AF87" s="50"/>
    </row>
    <row r="88" spans="1:32" ht="30.75" customHeight="1">
      <c r="A88" s="464">
        <v>2</v>
      </c>
      <c r="B88" s="465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7"/>
      <c r="U88" s="467"/>
      <c r="V88" s="468"/>
      <c r="W88" s="468"/>
      <c r="X88" s="468"/>
      <c r="Y88" s="457"/>
      <c r="Z88" s="457"/>
      <c r="AA88" s="457"/>
      <c r="AB88" s="457"/>
      <c r="AC88" s="457"/>
      <c r="AD88" s="458"/>
      <c r="AF88" s="50"/>
    </row>
    <row r="89" spans="1:32" ht="30.75" customHeight="1" thickBot="1">
      <c r="A89" s="459">
        <v>3</v>
      </c>
      <c r="B89" s="460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  <c r="Y89" s="462"/>
      <c r="Z89" s="462"/>
      <c r="AA89" s="462"/>
      <c r="AB89" s="462"/>
      <c r="AC89" s="462"/>
      <c r="AD89" s="463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DDC-9E18-43B0-B026-74D3F4A5A5C5}">
  <dimension ref="A1:AF89"/>
  <sheetViews>
    <sheetView view="pageBreakPreview" zoomScale="70" zoomScaleNormal="72" zoomScaleSheetLayoutView="70" workbookViewId="0">
      <selection activeCell="F60" sqref="F60:M6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581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421" t="s">
        <v>17</v>
      </c>
      <c r="L5" s="421" t="s">
        <v>18</v>
      </c>
      <c r="M5" s="421" t="s">
        <v>19</v>
      </c>
      <c r="N5" s="42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544</v>
      </c>
      <c r="F6" s="30" t="s">
        <v>143</v>
      </c>
      <c r="G6" s="12">
        <v>4</v>
      </c>
      <c r="H6" s="13">
        <v>24</v>
      </c>
      <c r="I6" s="31">
        <v>25000</v>
      </c>
      <c r="J6" s="5">
        <v>23044</v>
      </c>
      <c r="K6" s="15">
        <f>L6+12197+23044</f>
        <v>35241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0.33796296296296297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429</v>
      </c>
      <c r="F7" s="12" t="s">
        <v>438</v>
      </c>
      <c r="G7" s="12">
        <v>1</v>
      </c>
      <c r="H7" s="13">
        <v>24</v>
      </c>
      <c r="I7" s="31">
        <v>7000</v>
      </c>
      <c r="J7" s="14">
        <v>3491</v>
      </c>
      <c r="K7" s="15">
        <f>L7+3794+3491</f>
        <v>7285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0.33796296296296297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512</v>
      </c>
      <c r="F8" s="30" t="s">
        <v>146</v>
      </c>
      <c r="G8" s="33">
        <v>1</v>
      </c>
      <c r="H8" s="35">
        <v>24</v>
      </c>
      <c r="I8" s="7">
        <v>15000</v>
      </c>
      <c r="J8" s="14">
        <v>4411</v>
      </c>
      <c r="K8" s="15">
        <f>L8+4409+4411</f>
        <v>8820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>
        <v>24</v>
      </c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0.33796296296296297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517</v>
      </c>
      <c r="F9" s="30" t="s">
        <v>256</v>
      </c>
      <c r="G9" s="33">
        <v>1</v>
      </c>
      <c r="H9" s="35">
        <v>24</v>
      </c>
      <c r="I9" s="7">
        <v>1000</v>
      </c>
      <c r="J9" s="14">
        <v>1105</v>
      </c>
      <c r="K9" s="15">
        <f>L9+1105</f>
        <v>1105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0.33796296296296297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128</v>
      </c>
      <c r="E10" s="53" t="s">
        <v>562</v>
      </c>
      <c r="F10" s="30" t="s">
        <v>146</v>
      </c>
      <c r="G10" s="33">
        <v>1</v>
      </c>
      <c r="H10" s="35">
        <v>24</v>
      </c>
      <c r="I10" s="7">
        <v>34000</v>
      </c>
      <c r="J10" s="5">
        <v>5378</v>
      </c>
      <c r="K10" s="15">
        <f>L10+4104</f>
        <v>9482</v>
      </c>
      <c r="L10" s="15">
        <f>3523+1855</f>
        <v>5378</v>
      </c>
      <c r="M10" s="15">
        <f t="shared" si="0"/>
        <v>5378</v>
      </c>
      <c r="N10" s="15">
        <v>0</v>
      </c>
      <c r="O10" s="58">
        <f t="shared" si="1"/>
        <v>0</v>
      </c>
      <c r="P10" s="39">
        <f t="shared" si="2"/>
        <v>23</v>
      </c>
      <c r="Q10" s="40">
        <f t="shared" si="3"/>
        <v>1</v>
      </c>
      <c r="R10" s="7"/>
      <c r="S10" s="6">
        <v>1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0.95833333333333337</v>
      </c>
      <c r="AD10" s="10">
        <f>AC10*AB10*(1-O10)</f>
        <v>0.95833333333333337</v>
      </c>
      <c r="AE10" s="36">
        <f t="shared" si="7"/>
        <v>0.33796296296296297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131</v>
      </c>
      <c r="E11" s="53" t="s">
        <v>368</v>
      </c>
      <c r="F11" s="30" t="s">
        <v>210</v>
      </c>
      <c r="G11" s="12">
        <v>4</v>
      </c>
      <c r="H11" s="13">
        <v>28</v>
      </c>
      <c r="I11" s="7">
        <f>105000-16000</f>
        <v>89000</v>
      </c>
      <c r="J11" s="14">
        <v>1952</v>
      </c>
      <c r="K11" s="15">
        <f>L11+13804+13644+15168+9596+5796+2740+12384+18924</f>
        <v>94008</v>
      </c>
      <c r="L11" s="15">
        <f>488*4</f>
        <v>1952</v>
      </c>
      <c r="M11" s="15">
        <f t="shared" si="0"/>
        <v>1952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/>
      <c r="T11" s="16"/>
      <c r="U11" s="16"/>
      <c r="V11" s="17"/>
      <c r="W11" s="5">
        <v>21</v>
      </c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ref="AD11:AD16" si="9">AC11*AB11*(1-O11)</f>
        <v>0.125</v>
      </c>
      <c r="AE11" s="36">
        <f t="shared" si="7"/>
        <v>0.33796296296296297</v>
      </c>
      <c r="AF11" s="84">
        <f t="shared" si="8"/>
        <v>6</v>
      </c>
    </row>
    <row r="12" spans="1:32" ht="30" customHeight="1">
      <c r="A12" s="96">
        <v>6</v>
      </c>
      <c r="B12" s="11" t="s">
        <v>57</v>
      </c>
      <c r="C12" s="34" t="s">
        <v>120</v>
      </c>
      <c r="D12" s="52" t="s">
        <v>134</v>
      </c>
      <c r="E12" s="53" t="s">
        <v>519</v>
      </c>
      <c r="F12" s="30" t="s">
        <v>135</v>
      </c>
      <c r="G12" s="12">
        <v>24</v>
      </c>
      <c r="H12" s="13">
        <v>28</v>
      </c>
      <c r="I12" s="7">
        <v>3000</v>
      </c>
      <c r="J12" s="14">
        <v>10000</v>
      </c>
      <c r="K12" s="15">
        <f>L12</f>
        <v>10000</v>
      </c>
      <c r="L12" s="15">
        <v>10000</v>
      </c>
      <c r="M12" s="15">
        <f t="shared" ref="M12" si="10">L12-N12</f>
        <v>10000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4</v>
      </c>
      <c r="Q12" s="40">
        <f t="shared" ref="Q12" si="13">SUM(R12:AA12)</f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0.16666666666666666</v>
      </c>
      <c r="AD12" s="10">
        <f t="shared" ref="AD12" si="16">AC12*AB12*(1-O12)</f>
        <v>0.16666666666666666</v>
      </c>
      <c r="AE12" s="36">
        <f t="shared" si="7"/>
        <v>0.33796296296296297</v>
      </c>
      <c r="AF12" s="84">
        <f t="shared" ref="AF12" si="17">A12</f>
        <v>6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131</v>
      </c>
      <c r="E13" s="53" t="s">
        <v>461</v>
      </c>
      <c r="F13" s="30" t="s">
        <v>210</v>
      </c>
      <c r="G13" s="33">
        <v>2</v>
      </c>
      <c r="H13" s="35">
        <v>24</v>
      </c>
      <c r="I13" s="7">
        <v>20000</v>
      </c>
      <c r="J13" s="14">
        <v>10146</v>
      </c>
      <c r="K13" s="15">
        <f>L13</f>
        <v>10146</v>
      </c>
      <c r="L13" s="15">
        <f>1819*2+3254*2</f>
        <v>10146</v>
      </c>
      <c r="M13" s="15">
        <f t="shared" si="0"/>
        <v>10146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0.33796296296296297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121</v>
      </c>
      <c r="D14" s="52" t="s">
        <v>115</v>
      </c>
      <c r="E14" s="53" t="s">
        <v>582</v>
      </c>
      <c r="F14" s="30" t="s">
        <v>146</v>
      </c>
      <c r="G14" s="33">
        <v>1</v>
      </c>
      <c r="H14" s="35">
        <v>24</v>
      </c>
      <c r="I14" s="7">
        <v>200</v>
      </c>
      <c r="J14" s="14">
        <v>223</v>
      </c>
      <c r="K14" s="15">
        <f>L14</f>
        <v>223</v>
      </c>
      <c r="L14" s="15">
        <v>223</v>
      </c>
      <c r="M14" s="15">
        <f t="shared" si="0"/>
        <v>223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9"/>
        <v>0.16666666666666666</v>
      </c>
      <c r="AE14" s="36">
        <f t="shared" si="7"/>
        <v>0.33796296296296297</v>
      </c>
      <c r="AF14" s="84">
        <f t="shared" si="8"/>
        <v>8</v>
      </c>
    </row>
    <row r="15" spans="1:32" ht="27" customHeight="1">
      <c r="A15" s="96">
        <v>8</v>
      </c>
      <c r="B15" s="11" t="s">
        <v>57</v>
      </c>
      <c r="C15" s="34" t="s">
        <v>121</v>
      </c>
      <c r="D15" s="52" t="s">
        <v>115</v>
      </c>
      <c r="E15" s="53" t="s">
        <v>263</v>
      </c>
      <c r="F15" s="30" t="s">
        <v>125</v>
      </c>
      <c r="G15" s="33">
        <v>3</v>
      </c>
      <c r="H15" s="35">
        <v>24</v>
      </c>
      <c r="I15" s="7">
        <v>500000</v>
      </c>
      <c r="J15" s="5">
        <v>9762</v>
      </c>
      <c r="K15" s="15">
        <f>L15+12212+20232+16256</f>
        <v>58462</v>
      </c>
      <c r="L15" s="15">
        <f>3254*3</f>
        <v>9762</v>
      </c>
      <c r="M15" s="15">
        <f t="shared" ref="M15" si="18">L15-N15</f>
        <v>9762</v>
      </c>
      <c r="N15" s="15">
        <v>0</v>
      </c>
      <c r="O15" s="58">
        <f t="shared" ref="O15" si="19">IF(L15=0,"0",N15/L15)</f>
        <v>0</v>
      </c>
      <c r="P15" s="39">
        <f t="shared" ref="P15" si="20">IF(L15=0,"0",(24-Q15))</f>
        <v>16</v>
      </c>
      <c r="Q15" s="40">
        <f t="shared" ref="Q15" si="21">SUM(R15:AA15)</f>
        <v>8</v>
      </c>
      <c r="R15" s="7"/>
      <c r="S15" s="6">
        <v>8</v>
      </c>
      <c r="T15" s="16"/>
      <c r="U15" s="16"/>
      <c r="V15" s="17"/>
      <c r="W15" s="5"/>
      <c r="X15" s="16"/>
      <c r="Y15" s="16"/>
      <c r="Z15" s="16"/>
      <c r="AA15" s="18"/>
      <c r="AB15" s="8">
        <f t="shared" ref="AB15" si="22">IF(J15=0,"0",(L15/J15))</f>
        <v>1</v>
      </c>
      <c r="AC15" s="9">
        <f t="shared" ref="AC15" si="23">IF(P15=0,"0",(P15/24))</f>
        <v>0.66666666666666663</v>
      </c>
      <c r="AD15" s="10">
        <f>AC15*AB15*(1-O15)</f>
        <v>0.66666666666666663</v>
      </c>
      <c r="AE15" s="36">
        <f t="shared" si="7"/>
        <v>0.33796296296296297</v>
      </c>
      <c r="AF15" s="84">
        <f t="shared" ref="AF15" si="24">A15</f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383</v>
      </c>
      <c r="F16" s="30" t="s">
        <v>211</v>
      </c>
      <c r="G16" s="33">
        <v>1</v>
      </c>
      <c r="H16" s="35">
        <v>24</v>
      </c>
      <c r="I16" s="7">
        <v>300</v>
      </c>
      <c r="J16" s="5">
        <v>350</v>
      </c>
      <c r="K16" s="15">
        <f>L16+350</f>
        <v>350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9"/>
        <v>0</v>
      </c>
      <c r="AE16" s="36">
        <f t="shared" si="7"/>
        <v>0.33796296296296297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120</v>
      </c>
      <c r="D17" s="52" t="s">
        <v>165</v>
      </c>
      <c r="E17" s="53" t="s">
        <v>166</v>
      </c>
      <c r="F17" s="12" t="s">
        <v>132</v>
      </c>
      <c r="G17" s="12">
        <v>1</v>
      </c>
      <c r="H17" s="13">
        <v>24</v>
      </c>
      <c r="I17" s="31">
        <v>2600</v>
      </c>
      <c r="J17" s="14">
        <v>2824</v>
      </c>
      <c r="K17" s="15">
        <f>L17+2824</f>
        <v>2824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0.33796296296296297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121</v>
      </c>
      <c r="D18" s="52" t="s">
        <v>131</v>
      </c>
      <c r="E18" s="53" t="s">
        <v>368</v>
      </c>
      <c r="F18" s="30" t="s">
        <v>210</v>
      </c>
      <c r="G18" s="12">
        <v>4</v>
      </c>
      <c r="H18" s="13">
        <v>28</v>
      </c>
      <c r="I18" s="7">
        <f>105000-16000</f>
        <v>89000</v>
      </c>
      <c r="J18" s="14">
        <v>2740</v>
      </c>
      <c r="K18" s="15">
        <f>L18+13804+13644+15168+9596+5796+2740</f>
        <v>60748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0.33796296296296297</v>
      </c>
      <c r="AF18" s="84">
        <f t="shared" si="8"/>
        <v>11</v>
      </c>
    </row>
    <row r="19" spans="1:32" ht="27" customHeight="1">
      <c r="A19" s="95">
        <v>12</v>
      </c>
      <c r="B19" s="11" t="s">
        <v>57</v>
      </c>
      <c r="C19" s="34" t="s">
        <v>121</v>
      </c>
      <c r="D19" s="52" t="s">
        <v>131</v>
      </c>
      <c r="E19" s="53" t="s">
        <v>527</v>
      </c>
      <c r="F19" s="30" t="s">
        <v>132</v>
      </c>
      <c r="G19" s="33">
        <v>4</v>
      </c>
      <c r="H19" s="35">
        <v>24</v>
      </c>
      <c r="I19" s="7">
        <v>500000</v>
      </c>
      <c r="J19" s="5">
        <v>22260</v>
      </c>
      <c r="K19" s="15">
        <f>L19+19272+21812+22172+21128</f>
        <v>106644</v>
      </c>
      <c r="L19" s="15">
        <f>2962*4+2603*4</f>
        <v>22260</v>
      </c>
      <c r="M19" s="15">
        <f t="shared" si="0"/>
        <v>22260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0.33796296296296297</v>
      </c>
      <c r="AF19" s="84">
        <f t="shared" si="8"/>
        <v>12</v>
      </c>
    </row>
    <row r="20" spans="1:32" ht="27" customHeight="1">
      <c r="A20" s="113">
        <v>13</v>
      </c>
      <c r="B20" s="11" t="s">
        <v>57</v>
      </c>
      <c r="C20" s="34" t="s">
        <v>121</v>
      </c>
      <c r="D20" s="52" t="s">
        <v>568</v>
      </c>
      <c r="E20" s="53" t="s">
        <v>567</v>
      </c>
      <c r="F20" s="30" t="s">
        <v>124</v>
      </c>
      <c r="G20" s="12">
        <v>2</v>
      </c>
      <c r="H20" s="13">
        <v>28</v>
      </c>
      <c r="I20" s="31">
        <v>10000</v>
      </c>
      <c r="J20" s="5">
        <v>9732</v>
      </c>
      <c r="K20" s="15">
        <f>L20+8346</f>
        <v>18078</v>
      </c>
      <c r="L20" s="15">
        <f>2572*2+2294*2</f>
        <v>9732</v>
      </c>
      <c r="M20" s="15">
        <f t="shared" si="0"/>
        <v>9732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0.33796296296296297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121</v>
      </c>
      <c r="D21" s="52" t="s">
        <v>115</v>
      </c>
      <c r="E21" s="53" t="s">
        <v>263</v>
      </c>
      <c r="F21" s="30" t="s">
        <v>125</v>
      </c>
      <c r="G21" s="33">
        <v>1</v>
      </c>
      <c r="H21" s="35">
        <v>24</v>
      </c>
      <c r="I21" s="7">
        <v>500000</v>
      </c>
      <c r="J21" s="5">
        <v>16256</v>
      </c>
      <c r="K21" s="15">
        <f>L21+12212+20232+16256</f>
        <v>48700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>AC21*AB21*(1-O21)</f>
        <v>0</v>
      </c>
      <c r="AE21" s="36">
        <f t="shared" si="7"/>
        <v>0.33796296296296297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469</v>
      </c>
      <c r="F22" s="30" t="s">
        <v>119</v>
      </c>
      <c r="G22" s="33">
        <v>1</v>
      </c>
      <c r="H22" s="35">
        <v>24</v>
      </c>
      <c r="I22" s="7">
        <v>64000</v>
      </c>
      <c r="J22" s="14">
        <v>5654</v>
      </c>
      <c r="K22" s="15">
        <f>L22+4204+5394+5278+1522+3899+5224+5152+5164+2208+4924+654+3141+5593+2079+5343+5450+440+2090+4864</f>
        <v>78277</v>
      </c>
      <c r="L22" s="15">
        <f>2963+2691</f>
        <v>5654</v>
      </c>
      <c r="M22" s="15">
        <f t="shared" si="0"/>
        <v>5654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0.33796296296296297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432</v>
      </c>
      <c r="F23" s="12" t="s">
        <v>114</v>
      </c>
      <c r="G23" s="12">
        <v>4</v>
      </c>
      <c r="H23" s="35">
        <v>20</v>
      </c>
      <c r="I23" s="7">
        <v>500000</v>
      </c>
      <c r="J23" s="14">
        <v>73976</v>
      </c>
      <c r="K23" s="15">
        <f>L23+16808+39112+38440+39748+31140+68844+45656+37140+73976</f>
        <v>390864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0.33796296296296297</v>
      </c>
      <c r="AF23" s="84">
        <f t="shared" si="8"/>
        <v>16</v>
      </c>
    </row>
    <row r="24" spans="1:32" ht="31.5" customHeight="1" thickBot="1">
      <c r="A24" s="545" t="s">
        <v>34</v>
      </c>
      <c r="B24" s="546"/>
      <c r="C24" s="546"/>
      <c r="D24" s="546"/>
      <c r="E24" s="546"/>
      <c r="F24" s="546"/>
      <c r="G24" s="546"/>
      <c r="H24" s="547"/>
      <c r="I24" s="22">
        <f t="shared" ref="I24:N24" si="25">SUM(I6:I23)</f>
        <v>2360100</v>
      </c>
      <c r="J24" s="19">
        <f t="shared" si="25"/>
        <v>203304</v>
      </c>
      <c r="K24" s="20">
        <f t="shared" si="25"/>
        <v>941257</v>
      </c>
      <c r="L24" s="21">
        <f t="shared" si="25"/>
        <v>75107</v>
      </c>
      <c r="M24" s="20">
        <f t="shared" si="25"/>
        <v>75107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146</v>
      </c>
      <c r="Q24" s="43">
        <f t="shared" si="26"/>
        <v>286</v>
      </c>
      <c r="R24" s="23">
        <f t="shared" si="26"/>
        <v>48</v>
      </c>
      <c r="S24" s="24">
        <f t="shared" si="26"/>
        <v>9</v>
      </c>
      <c r="T24" s="24">
        <f t="shared" si="26"/>
        <v>0</v>
      </c>
      <c r="U24" s="24">
        <f t="shared" si="26"/>
        <v>0</v>
      </c>
      <c r="V24" s="25">
        <f t="shared" si="26"/>
        <v>24</v>
      </c>
      <c r="W24" s="26">
        <f t="shared" si="26"/>
        <v>181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24</v>
      </c>
      <c r="AB24" s="28">
        <f>AVERAGE(AB6:AB23)</f>
        <v>0.5</v>
      </c>
      <c r="AC24" s="4">
        <f>AVERAGE(AC6:AC23)</f>
        <v>0.33796296296296297</v>
      </c>
      <c r="AD24" s="4">
        <f>AVERAGE(AD6:AD23)</f>
        <v>0.33796296296296297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48" t="s">
        <v>45</v>
      </c>
      <c r="B51" s="548"/>
      <c r="C51" s="548"/>
      <c r="D51" s="548"/>
      <c r="E51" s="5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49" t="s">
        <v>583</v>
      </c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1"/>
      <c r="N52" s="552" t="s">
        <v>585</v>
      </c>
      <c r="O52" s="553"/>
      <c r="P52" s="553"/>
      <c r="Q52" s="553"/>
      <c r="R52" s="553"/>
      <c r="S52" s="553"/>
      <c r="T52" s="553"/>
      <c r="U52" s="553"/>
      <c r="V52" s="553"/>
      <c r="W52" s="553"/>
      <c r="X52" s="553"/>
      <c r="Y52" s="553"/>
      <c r="Z52" s="553"/>
      <c r="AA52" s="553"/>
      <c r="AB52" s="553"/>
      <c r="AC52" s="553"/>
      <c r="AD52" s="554"/>
    </row>
    <row r="53" spans="1:32" ht="27" customHeight="1">
      <c r="A53" s="555" t="s">
        <v>2</v>
      </c>
      <c r="B53" s="556"/>
      <c r="C53" s="422" t="s">
        <v>46</v>
      </c>
      <c r="D53" s="422" t="s">
        <v>47</v>
      </c>
      <c r="E53" s="422" t="s">
        <v>107</v>
      </c>
      <c r="F53" s="557" t="s">
        <v>106</v>
      </c>
      <c r="G53" s="558"/>
      <c r="H53" s="558"/>
      <c r="I53" s="558"/>
      <c r="J53" s="558"/>
      <c r="K53" s="558"/>
      <c r="L53" s="558"/>
      <c r="M53" s="559"/>
      <c r="N53" s="67" t="s">
        <v>110</v>
      </c>
      <c r="O53" s="422" t="s">
        <v>46</v>
      </c>
      <c r="P53" s="557" t="s">
        <v>47</v>
      </c>
      <c r="Q53" s="560"/>
      <c r="R53" s="557" t="s">
        <v>38</v>
      </c>
      <c r="S53" s="558"/>
      <c r="T53" s="558"/>
      <c r="U53" s="560"/>
      <c r="V53" s="557" t="s">
        <v>48</v>
      </c>
      <c r="W53" s="558"/>
      <c r="X53" s="558"/>
      <c r="Y53" s="558"/>
      <c r="Z53" s="558"/>
      <c r="AA53" s="558"/>
      <c r="AB53" s="558"/>
      <c r="AC53" s="558"/>
      <c r="AD53" s="559"/>
    </row>
    <row r="54" spans="1:32" ht="27" customHeight="1">
      <c r="A54" s="526" t="s">
        <v>121</v>
      </c>
      <c r="B54" s="527"/>
      <c r="C54" s="424" t="s">
        <v>239</v>
      </c>
      <c r="D54" s="424" t="s">
        <v>131</v>
      </c>
      <c r="E54" s="424" t="s">
        <v>461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423" t="s">
        <v>120</v>
      </c>
      <c r="O54" s="429" t="s">
        <v>130</v>
      </c>
      <c r="P54" s="540" t="s">
        <v>128</v>
      </c>
      <c r="Q54" s="541"/>
      <c r="R54" s="540" t="s">
        <v>156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424" t="s">
        <v>261</v>
      </c>
      <c r="D55" s="424" t="s">
        <v>134</v>
      </c>
      <c r="E55" s="424" t="s">
        <v>519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423" t="s">
        <v>120</v>
      </c>
      <c r="O55" s="429" t="s">
        <v>261</v>
      </c>
      <c r="P55" s="540" t="s">
        <v>131</v>
      </c>
      <c r="Q55" s="541"/>
      <c r="R55" s="540" t="s">
        <v>454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121</v>
      </c>
      <c r="B56" s="527"/>
      <c r="C56" s="424" t="s">
        <v>179</v>
      </c>
      <c r="D56" s="424" t="s">
        <v>115</v>
      </c>
      <c r="E56" s="424" t="s">
        <v>582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423" t="s">
        <v>120</v>
      </c>
      <c r="O56" s="429" t="s">
        <v>194</v>
      </c>
      <c r="P56" s="540" t="s">
        <v>131</v>
      </c>
      <c r="Q56" s="541"/>
      <c r="R56" s="540" t="s">
        <v>586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112</v>
      </c>
      <c r="B57" s="527"/>
      <c r="C57" s="424" t="s">
        <v>214</v>
      </c>
      <c r="D57" s="424" t="s">
        <v>128</v>
      </c>
      <c r="E57" s="424" t="s">
        <v>562</v>
      </c>
      <c r="F57" s="528" t="s">
        <v>177</v>
      </c>
      <c r="G57" s="529"/>
      <c r="H57" s="529"/>
      <c r="I57" s="529"/>
      <c r="J57" s="529"/>
      <c r="K57" s="529"/>
      <c r="L57" s="529"/>
      <c r="M57" s="530"/>
      <c r="N57" s="423" t="s">
        <v>121</v>
      </c>
      <c r="O57" s="429" t="s">
        <v>201</v>
      </c>
      <c r="P57" s="540"/>
      <c r="Q57" s="541"/>
      <c r="R57" s="540" t="s">
        <v>587</v>
      </c>
      <c r="S57" s="542"/>
      <c r="T57" s="542"/>
      <c r="U57" s="541"/>
      <c r="V57" s="510" t="s">
        <v>118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121</v>
      </c>
      <c r="B58" s="527"/>
      <c r="C58" s="424" t="s">
        <v>179</v>
      </c>
      <c r="D58" s="424" t="s">
        <v>115</v>
      </c>
      <c r="E58" s="424" t="s">
        <v>263</v>
      </c>
      <c r="F58" s="528" t="s">
        <v>584</v>
      </c>
      <c r="G58" s="529"/>
      <c r="H58" s="529"/>
      <c r="I58" s="529"/>
      <c r="J58" s="529"/>
      <c r="K58" s="529"/>
      <c r="L58" s="529"/>
      <c r="M58" s="530"/>
      <c r="N58" s="423"/>
      <c r="O58" s="429"/>
      <c r="P58" s="540"/>
      <c r="Q58" s="541"/>
      <c r="R58" s="540"/>
      <c r="S58" s="542"/>
      <c r="T58" s="542"/>
      <c r="U58" s="541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424"/>
      <c r="D59" s="424"/>
      <c r="E59" s="424"/>
      <c r="F59" s="528"/>
      <c r="G59" s="529"/>
      <c r="H59" s="529"/>
      <c r="I59" s="529"/>
      <c r="J59" s="529"/>
      <c r="K59" s="529"/>
      <c r="L59" s="529"/>
      <c r="M59" s="530"/>
      <c r="N59" s="423"/>
      <c r="O59" s="429"/>
      <c r="P59" s="540"/>
      <c r="Q59" s="541"/>
      <c r="R59" s="540"/>
      <c r="S59" s="542"/>
      <c r="T59" s="542"/>
      <c r="U59" s="541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424"/>
      <c r="D60" s="424"/>
      <c r="E60" s="424"/>
      <c r="F60" s="528"/>
      <c r="G60" s="529"/>
      <c r="H60" s="529"/>
      <c r="I60" s="529"/>
      <c r="J60" s="529"/>
      <c r="K60" s="529"/>
      <c r="L60" s="529"/>
      <c r="M60" s="530"/>
      <c r="N60" s="423"/>
      <c r="O60" s="429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424"/>
      <c r="D61" s="424"/>
      <c r="E61" s="424"/>
      <c r="F61" s="528"/>
      <c r="G61" s="529"/>
      <c r="H61" s="529"/>
      <c r="I61" s="529"/>
      <c r="J61" s="529"/>
      <c r="K61" s="529"/>
      <c r="L61" s="529"/>
      <c r="M61" s="530"/>
      <c r="N61" s="423"/>
      <c r="O61" s="429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/>
      <c r="B62" s="527"/>
      <c r="C62" s="424"/>
      <c r="D62" s="424"/>
      <c r="E62" s="424"/>
      <c r="F62" s="528"/>
      <c r="G62" s="529"/>
      <c r="H62" s="529"/>
      <c r="I62" s="529"/>
      <c r="J62" s="529"/>
      <c r="K62" s="529"/>
      <c r="L62" s="529"/>
      <c r="M62" s="530"/>
      <c r="N62" s="423"/>
      <c r="O62" s="429"/>
      <c r="P62" s="527"/>
      <c r="Q62" s="527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  <c r="AF62" s="84">
        <f>8*3000</f>
        <v>24000</v>
      </c>
    </row>
    <row r="63" spans="1:32" ht="27" customHeight="1" thickBot="1">
      <c r="A63" s="532"/>
      <c r="B63" s="533"/>
      <c r="C63" s="425"/>
      <c r="D63" s="426"/>
      <c r="E63" s="426"/>
      <c r="F63" s="534"/>
      <c r="G63" s="535"/>
      <c r="H63" s="535"/>
      <c r="I63" s="535"/>
      <c r="J63" s="535"/>
      <c r="K63" s="535"/>
      <c r="L63" s="535"/>
      <c r="M63" s="536"/>
      <c r="N63" s="112"/>
      <c r="O63" s="103"/>
      <c r="P63" s="537"/>
      <c r="Q63" s="537"/>
      <c r="R63" s="537"/>
      <c r="S63" s="537"/>
      <c r="T63" s="537"/>
      <c r="U63" s="537"/>
      <c r="V63" s="538"/>
      <c r="W63" s="538"/>
      <c r="X63" s="538"/>
      <c r="Y63" s="538"/>
      <c r="Z63" s="538"/>
      <c r="AA63" s="538"/>
      <c r="AB63" s="538"/>
      <c r="AC63" s="538"/>
      <c r="AD63" s="539"/>
      <c r="AF63" s="84">
        <f>16*3000</f>
        <v>48000</v>
      </c>
    </row>
    <row r="64" spans="1:32" ht="27.75" thickBot="1">
      <c r="A64" s="524" t="s">
        <v>588</v>
      </c>
      <c r="B64" s="524"/>
      <c r="C64" s="524"/>
      <c r="D64" s="524"/>
      <c r="E64" s="52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25" t="s">
        <v>111</v>
      </c>
      <c r="B65" s="520"/>
      <c r="C65" s="427" t="s">
        <v>2</v>
      </c>
      <c r="D65" s="427" t="s">
        <v>37</v>
      </c>
      <c r="E65" s="427" t="s">
        <v>3</v>
      </c>
      <c r="F65" s="520" t="s">
        <v>109</v>
      </c>
      <c r="G65" s="520"/>
      <c r="H65" s="520"/>
      <c r="I65" s="520"/>
      <c r="J65" s="520"/>
      <c r="K65" s="520" t="s">
        <v>39</v>
      </c>
      <c r="L65" s="520"/>
      <c r="M65" s="427" t="s">
        <v>40</v>
      </c>
      <c r="N65" s="520" t="s">
        <v>41</v>
      </c>
      <c r="O65" s="520"/>
      <c r="P65" s="517" t="s">
        <v>42</v>
      </c>
      <c r="Q65" s="519"/>
      <c r="R65" s="517" t="s">
        <v>43</v>
      </c>
      <c r="S65" s="518"/>
      <c r="T65" s="518"/>
      <c r="U65" s="518"/>
      <c r="V65" s="518"/>
      <c r="W65" s="518"/>
      <c r="X65" s="518"/>
      <c r="Y65" s="518"/>
      <c r="Z65" s="518"/>
      <c r="AA65" s="519"/>
      <c r="AB65" s="520" t="s">
        <v>44</v>
      </c>
      <c r="AC65" s="520"/>
      <c r="AD65" s="521"/>
      <c r="AF65" s="84">
        <f>SUM(AF62:AF64)</f>
        <v>96000</v>
      </c>
    </row>
    <row r="66" spans="1:32" ht="25.5" customHeight="1">
      <c r="A66" s="503">
        <v>1</v>
      </c>
      <c r="B66" s="504"/>
      <c r="C66" s="105" t="s">
        <v>123</v>
      </c>
      <c r="D66" s="431"/>
      <c r="E66" s="428"/>
      <c r="F66" s="513" t="s">
        <v>589</v>
      </c>
      <c r="G66" s="514"/>
      <c r="H66" s="514"/>
      <c r="I66" s="514"/>
      <c r="J66" s="515"/>
      <c r="K66" s="497" t="s">
        <v>249</v>
      </c>
      <c r="L66" s="497"/>
      <c r="M66" s="51" t="s">
        <v>200</v>
      </c>
      <c r="N66" s="511" t="s">
        <v>142</v>
      </c>
      <c r="O66" s="511"/>
      <c r="P66" s="512">
        <v>100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516"/>
      <c r="AC66" s="522"/>
      <c r="AD66" s="523"/>
      <c r="AF66" s="50"/>
    </row>
    <row r="67" spans="1:32" ht="25.5" customHeight="1">
      <c r="A67" s="503">
        <v>2</v>
      </c>
      <c r="B67" s="504"/>
      <c r="C67" s="105"/>
      <c r="D67" s="431"/>
      <c r="E67" s="428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3</v>
      </c>
      <c r="B68" s="504"/>
      <c r="C68" s="105"/>
      <c r="D68" s="431"/>
      <c r="E68" s="428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4</v>
      </c>
      <c r="B69" s="504"/>
      <c r="C69" s="105"/>
      <c r="D69" s="431"/>
      <c r="E69" s="428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5</v>
      </c>
      <c r="B70" s="504"/>
      <c r="C70" s="105"/>
      <c r="D70" s="431"/>
      <c r="E70" s="428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6</v>
      </c>
      <c r="B71" s="504"/>
      <c r="C71" s="105"/>
      <c r="D71" s="431"/>
      <c r="E71" s="428"/>
      <c r="F71" s="513"/>
      <c r="G71" s="514"/>
      <c r="H71" s="514"/>
      <c r="I71" s="514"/>
      <c r="J71" s="515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7</v>
      </c>
      <c r="B72" s="504"/>
      <c r="C72" s="105"/>
      <c r="D72" s="431"/>
      <c r="E72" s="428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8</v>
      </c>
      <c r="B73" s="504"/>
      <c r="C73" s="105"/>
      <c r="D73" s="431"/>
      <c r="E73" s="428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9</v>
      </c>
      <c r="B74" s="504"/>
      <c r="C74" s="105"/>
      <c r="D74" s="431"/>
      <c r="E74" s="428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5.5" customHeight="1">
      <c r="A75" s="503">
        <v>10</v>
      </c>
      <c r="B75" s="504"/>
      <c r="C75" s="105"/>
      <c r="D75" s="431"/>
      <c r="E75" s="428"/>
      <c r="F75" s="505"/>
      <c r="G75" s="497"/>
      <c r="H75" s="497"/>
      <c r="I75" s="497"/>
      <c r="J75" s="497"/>
      <c r="K75" s="497"/>
      <c r="L75" s="497"/>
      <c r="M75" s="51"/>
      <c r="N75" s="511"/>
      <c r="O75" s="511"/>
      <c r="P75" s="512"/>
      <c r="Q75" s="512"/>
      <c r="R75" s="510"/>
      <c r="S75" s="510"/>
      <c r="T75" s="510"/>
      <c r="U75" s="510"/>
      <c r="V75" s="510"/>
      <c r="W75" s="510"/>
      <c r="X75" s="510"/>
      <c r="Y75" s="510"/>
      <c r="Z75" s="510"/>
      <c r="AA75" s="510"/>
      <c r="AB75" s="497"/>
      <c r="AC75" s="497"/>
      <c r="AD75" s="498"/>
      <c r="AF75" s="50"/>
    </row>
    <row r="76" spans="1:32" ht="26.25" customHeight="1" thickBot="1">
      <c r="A76" s="477" t="s">
        <v>590</v>
      </c>
      <c r="B76" s="477"/>
      <c r="C76" s="477"/>
      <c r="D76" s="477"/>
      <c r="E76" s="47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8" t="s">
        <v>111</v>
      </c>
      <c r="B77" s="479"/>
      <c r="C77" s="430" t="s">
        <v>2</v>
      </c>
      <c r="D77" s="430" t="s">
        <v>37</v>
      </c>
      <c r="E77" s="430" t="s">
        <v>3</v>
      </c>
      <c r="F77" s="479" t="s">
        <v>38</v>
      </c>
      <c r="G77" s="479"/>
      <c r="H77" s="479"/>
      <c r="I77" s="479"/>
      <c r="J77" s="479"/>
      <c r="K77" s="499" t="s">
        <v>58</v>
      </c>
      <c r="L77" s="500"/>
      <c r="M77" s="500"/>
      <c r="N77" s="500"/>
      <c r="O77" s="500"/>
      <c r="P77" s="500"/>
      <c r="Q77" s="500"/>
      <c r="R77" s="500"/>
      <c r="S77" s="501"/>
      <c r="T77" s="479" t="s">
        <v>49</v>
      </c>
      <c r="U77" s="479"/>
      <c r="V77" s="499" t="s">
        <v>50</v>
      </c>
      <c r="W77" s="501"/>
      <c r="X77" s="500" t="s">
        <v>51</v>
      </c>
      <c r="Y77" s="500"/>
      <c r="Z77" s="500"/>
      <c r="AA77" s="500"/>
      <c r="AB77" s="500"/>
      <c r="AC77" s="500"/>
      <c r="AD77" s="502"/>
      <c r="AF77" s="50"/>
    </row>
    <row r="78" spans="1:32" ht="33.75" customHeight="1">
      <c r="A78" s="471">
        <v>1</v>
      </c>
      <c r="B78" s="472"/>
      <c r="C78" s="432" t="s">
        <v>112</v>
      </c>
      <c r="D78" s="432"/>
      <c r="E78" s="65" t="s">
        <v>117</v>
      </c>
      <c r="F78" s="486" t="s">
        <v>116</v>
      </c>
      <c r="G78" s="487"/>
      <c r="H78" s="487"/>
      <c r="I78" s="487"/>
      <c r="J78" s="488"/>
      <c r="K78" s="489" t="s">
        <v>122</v>
      </c>
      <c r="L78" s="490"/>
      <c r="M78" s="490"/>
      <c r="N78" s="490"/>
      <c r="O78" s="490"/>
      <c r="P78" s="490"/>
      <c r="Q78" s="490"/>
      <c r="R78" s="490"/>
      <c r="S78" s="491"/>
      <c r="T78" s="492">
        <v>43675</v>
      </c>
      <c r="U78" s="493"/>
      <c r="V78" s="494"/>
      <c r="W78" s="494"/>
      <c r="X78" s="495"/>
      <c r="Y78" s="495"/>
      <c r="Z78" s="495"/>
      <c r="AA78" s="495"/>
      <c r="AB78" s="495"/>
      <c r="AC78" s="495"/>
      <c r="AD78" s="496"/>
      <c r="AF78" s="50"/>
    </row>
    <row r="79" spans="1:32" ht="30" customHeight="1">
      <c r="A79" s="464">
        <f>A78+1</f>
        <v>2</v>
      </c>
      <c r="B79" s="465"/>
      <c r="C79" s="431"/>
      <c r="D79" s="431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ref="A80:A84" si="27">A79+1</f>
        <v>3</v>
      </c>
      <c r="B80" s="465"/>
      <c r="C80" s="431"/>
      <c r="D80" s="431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7"/>
        <v>4</v>
      </c>
      <c r="B81" s="465"/>
      <c r="C81" s="431"/>
      <c r="D81" s="431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7"/>
        <v>5</v>
      </c>
      <c r="B82" s="465"/>
      <c r="C82" s="431"/>
      <c r="D82" s="431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7"/>
        <v>6</v>
      </c>
      <c r="B83" s="465"/>
      <c r="C83" s="431"/>
      <c r="D83" s="431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27"/>
        <v>7</v>
      </c>
      <c r="B84" s="465"/>
      <c r="C84" s="431"/>
      <c r="D84" s="431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7" t="s">
        <v>591</v>
      </c>
      <c r="B85" s="477"/>
      <c r="C85" s="477"/>
      <c r="D85" s="477"/>
      <c r="E85" s="47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8" t="s">
        <v>111</v>
      </c>
      <c r="B86" s="479"/>
      <c r="C86" s="469" t="s">
        <v>52</v>
      </c>
      <c r="D86" s="469"/>
      <c r="E86" s="469" t="s">
        <v>53</v>
      </c>
      <c r="F86" s="469"/>
      <c r="G86" s="469"/>
      <c r="H86" s="469"/>
      <c r="I86" s="469"/>
      <c r="J86" s="469"/>
      <c r="K86" s="469" t="s">
        <v>54</v>
      </c>
      <c r="L86" s="469"/>
      <c r="M86" s="469"/>
      <c r="N86" s="469"/>
      <c r="O86" s="469"/>
      <c r="P86" s="469"/>
      <c r="Q86" s="469"/>
      <c r="R86" s="469"/>
      <c r="S86" s="469"/>
      <c r="T86" s="469" t="s">
        <v>55</v>
      </c>
      <c r="U86" s="469"/>
      <c r="V86" s="469" t="s">
        <v>56</v>
      </c>
      <c r="W86" s="469"/>
      <c r="X86" s="469"/>
      <c r="Y86" s="469" t="s">
        <v>51</v>
      </c>
      <c r="Z86" s="469"/>
      <c r="AA86" s="469"/>
      <c r="AB86" s="469"/>
      <c r="AC86" s="469"/>
      <c r="AD86" s="470"/>
      <c r="AF86" s="50"/>
    </row>
    <row r="87" spans="1:32" ht="30.75" customHeight="1">
      <c r="A87" s="471">
        <v>1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4"/>
      <c r="W87" s="474"/>
      <c r="X87" s="474"/>
      <c r="Y87" s="475"/>
      <c r="Z87" s="475"/>
      <c r="AA87" s="475"/>
      <c r="AB87" s="475"/>
      <c r="AC87" s="475"/>
      <c r="AD87" s="476"/>
      <c r="AF87" s="50"/>
    </row>
    <row r="88" spans="1:32" ht="30.75" customHeight="1">
      <c r="A88" s="464">
        <v>2</v>
      </c>
      <c r="B88" s="465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7"/>
      <c r="U88" s="467"/>
      <c r="V88" s="468"/>
      <c r="W88" s="468"/>
      <c r="X88" s="468"/>
      <c r="Y88" s="457"/>
      <c r="Z88" s="457"/>
      <c r="AA88" s="457"/>
      <c r="AB88" s="457"/>
      <c r="AC88" s="457"/>
      <c r="AD88" s="458"/>
      <c r="AF88" s="50"/>
    </row>
    <row r="89" spans="1:32" ht="30.75" customHeight="1" thickBot="1">
      <c r="A89" s="459">
        <v>3</v>
      </c>
      <c r="B89" s="460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  <c r="Y89" s="462"/>
      <c r="Z89" s="462"/>
      <c r="AA89" s="462"/>
      <c r="AB89" s="462"/>
      <c r="AC89" s="462"/>
      <c r="AD89" s="463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92CA-44E7-4A59-94BB-9929120C3B2B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592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433" t="s">
        <v>17</v>
      </c>
      <c r="L5" s="433" t="s">
        <v>18</v>
      </c>
      <c r="M5" s="433" t="s">
        <v>19</v>
      </c>
      <c r="N5" s="43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165</v>
      </c>
      <c r="E6" s="53" t="s">
        <v>544</v>
      </c>
      <c r="F6" s="30" t="s">
        <v>143</v>
      </c>
      <c r="G6" s="12">
        <v>4</v>
      </c>
      <c r="H6" s="13">
        <v>24</v>
      </c>
      <c r="I6" s="31">
        <v>25000</v>
      </c>
      <c r="J6" s="5">
        <v>23044</v>
      </c>
      <c r="K6" s="15">
        <f>L6+12197+23044</f>
        <v>35241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0.54166666666666663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165</v>
      </c>
      <c r="E7" s="53" t="s">
        <v>593</v>
      </c>
      <c r="F7" s="12" t="s">
        <v>438</v>
      </c>
      <c r="G7" s="12">
        <v>1</v>
      </c>
      <c r="H7" s="13">
        <v>24</v>
      </c>
      <c r="I7" s="31">
        <v>700</v>
      </c>
      <c r="J7" s="14">
        <v>900</v>
      </c>
      <c r="K7" s="15">
        <f>L7</f>
        <v>900</v>
      </c>
      <c r="L7" s="15">
        <v>900</v>
      </c>
      <c r="M7" s="15">
        <f t="shared" si="0"/>
        <v>900</v>
      </c>
      <c r="N7" s="15">
        <v>0</v>
      </c>
      <c r="O7" s="58">
        <f t="shared" si="1"/>
        <v>0</v>
      </c>
      <c r="P7" s="39">
        <f t="shared" si="2"/>
        <v>5</v>
      </c>
      <c r="Q7" s="40">
        <f t="shared" si="3"/>
        <v>19</v>
      </c>
      <c r="R7" s="7"/>
      <c r="S7" s="6"/>
      <c r="T7" s="16"/>
      <c r="U7" s="16"/>
      <c r="V7" s="17"/>
      <c r="W7" s="5">
        <v>19</v>
      </c>
      <c r="X7" s="16"/>
      <c r="Y7" s="16"/>
      <c r="Z7" s="16"/>
      <c r="AA7" s="18"/>
      <c r="AB7" s="8">
        <f t="shared" si="4"/>
        <v>1</v>
      </c>
      <c r="AC7" s="9">
        <f t="shared" si="5"/>
        <v>0.20833333333333334</v>
      </c>
      <c r="AD7" s="10">
        <f t="shared" si="6"/>
        <v>0.20833333333333334</v>
      </c>
      <c r="AE7" s="36">
        <f t="shared" si="7"/>
        <v>0.54166666666666663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128</v>
      </c>
      <c r="E8" s="53" t="s">
        <v>156</v>
      </c>
      <c r="F8" s="30" t="s">
        <v>146</v>
      </c>
      <c r="G8" s="33">
        <v>1</v>
      </c>
      <c r="H8" s="35">
        <v>24</v>
      </c>
      <c r="I8" s="7">
        <v>20000</v>
      </c>
      <c r="J8" s="14">
        <v>4301</v>
      </c>
      <c r="K8" s="15">
        <f>L8</f>
        <v>4301</v>
      </c>
      <c r="L8" s="15">
        <f>1473+2828</f>
        <v>4301</v>
      </c>
      <c r="M8" s="15">
        <f t="shared" si="0"/>
        <v>4301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>
        <v>3</v>
      </c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0.54166666666666663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196</v>
      </c>
      <c r="E9" s="53" t="s">
        <v>517</v>
      </c>
      <c r="F9" s="30" t="s">
        <v>256</v>
      </c>
      <c r="G9" s="33">
        <v>1</v>
      </c>
      <c r="H9" s="35">
        <v>24</v>
      </c>
      <c r="I9" s="7">
        <v>1000</v>
      </c>
      <c r="J9" s="14">
        <v>1105</v>
      </c>
      <c r="K9" s="15">
        <f>L9+1105</f>
        <v>1105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0.54166666666666663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128</v>
      </c>
      <c r="E10" s="53" t="s">
        <v>562</v>
      </c>
      <c r="F10" s="30" t="s">
        <v>146</v>
      </c>
      <c r="G10" s="33">
        <v>1</v>
      </c>
      <c r="H10" s="35">
        <v>24</v>
      </c>
      <c r="I10" s="7">
        <v>34000</v>
      </c>
      <c r="J10" s="5">
        <v>2796</v>
      </c>
      <c r="K10" s="15">
        <f>L10+4104+5378</f>
        <v>12278</v>
      </c>
      <c r="L10" s="15">
        <f>627+2169</f>
        <v>2796</v>
      </c>
      <c r="M10" s="15">
        <f t="shared" si="0"/>
        <v>2796</v>
      </c>
      <c r="N10" s="15">
        <v>0</v>
      </c>
      <c r="O10" s="58">
        <f t="shared" si="1"/>
        <v>0</v>
      </c>
      <c r="P10" s="39">
        <f t="shared" si="2"/>
        <v>12</v>
      </c>
      <c r="Q10" s="40">
        <f t="shared" si="3"/>
        <v>12</v>
      </c>
      <c r="R10" s="7"/>
      <c r="S10" s="6">
        <v>12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</v>
      </c>
      <c r="AD10" s="10">
        <f>AC10*AB10*(1-O10)</f>
        <v>0.5</v>
      </c>
      <c r="AE10" s="36">
        <f t="shared" si="7"/>
        <v>0.54166666666666663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131</v>
      </c>
      <c r="E11" s="53" t="s">
        <v>454</v>
      </c>
      <c r="F11" s="30" t="s">
        <v>210</v>
      </c>
      <c r="G11" s="12">
        <v>1</v>
      </c>
      <c r="H11" s="13">
        <v>28</v>
      </c>
      <c r="I11" s="7">
        <v>700</v>
      </c>
      <c r="J11" s="14">
        <v>790</v>
      </c>
      <c r="K11" s="15">
        <f>L11</f>
        <v>790</v>
      </c>
      <c r="L11" s="15">
        <f>790</f>
        <v>790</v>
      </c>
      <c r="M11" s="15">
        <f t="shared" si="0"/>
        <v>790</v>
      </c>
      <c r="N11" s="15">
        <v>0</v>
      </c>
      <c r="O11" s="58">
        <f t="shared" si="1"/>
        <v>0</v>
      </c>
      <c r="P11" s="39">
        <f t="shared" si="2"/>
        <v>5</v>
      </c>
      <c r="Q11" s="40">
        <f t="shared" si="3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4"/>
        <v>1</v>
      </c>
      <c r="AC11" s="9">
        <f t="shared" si="5"/>
        <v>0.20833333333333334</v>
      </c>
      <c r="AD11" s="10">
        <f t="shared" ref="AD11:AD14" si="9">AC11*AB11*(1-O11)</f>
        <v>0.20833333333333334</v>
      </c>
      <c r="AE11" s="36">
        <f t="shared" si="7"/>
        <v>0.54166666666666663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131</v>
      </c>
      <c r="E12" s="53" t="s">
        <v>461</v>
      </c>
      <c r="F12" s="30" t="s">
        <v>210</v>
      </c>
      <c r="G12" s="33">
        <v>2</v>
      </c>
      <c r="H12" s="35">
        <v>24</v>
      </c>
      <c r="I12" s="7">
        <v>20000</v>
      </c>
      <c r="J12" s="14">
        <v>9078</v>
      </c>
      <c r="K12" s="15">
        <f>L12+10146</f>
        <v>19224</v>
      </c>
      <c r="L12" s="15">
        <f>2407*2+2132*2</f>
        <v>9078</v>
      </c>
      <c r="M12" s="15">
        <f t="shared" si="0"/>
        <v>9078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0.54166666666666663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263</v>
      </c>
      <c r="F13" s="30" t="s">
        <v>125</v>
      </c>
      <c r="G13" s="33">
        <v>3</v>
      </c>
      <c r="H13" s="35">
        <v>24</v>
      </c>
      <c r="I13" s="7">
        <v>500000</v>
      </c>
      <c r="J13" s="5">
        <v>15771</v>
      </c>
      <c r="K13" s="15">
        <f>L13+12212+20232+16256+9762</f>
        <v>74233</v>
      </c>
      <c r="L13" s="15">
        <f>2787*3+2470*3</f>
        <v>15771</v>
      </c>
      <c r="M13" s="15">
        <f t="shared" si="0"/>
        <v>15771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0.54166666666666663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/>
      <c r="E14" s="53" t="s">
        <v>319</v>
      </c>
      <c r="F14" s="30" t="s">
        <v>125</v>
      </c>
      <c r="G14" s="33" t="s">
        <v>328</v>
      </c>
      <c r="H14" s="35">
        <v>24</v>
      </c>
      <c r="I14" s="7">
        <v>2000</v>
      </c>
      <c r="J14" s="5">
        <v>3004</v>
      </c>
      <c r="K14" s="15">
        <f>L14</f>
        <v>3004</v>
      </c>
      <c r="L14" s="15">
        <f>1502*2</f>
        <v>3004</v>
      </c>
      <c r="M14" s="15">
        <f t="shared" si="0"/>
        <v>3004</v>
      </c>
      <c r="N14" s="15">
        <v>0</v>
      </c>
      <c r="O14" s="58">
        <f t="shared" si="1"/>
        <v>0</v>
      </c>
      <c r="P14" s="39">
        <f t="shared" si="2"/>
        <v>11</v>
      </c>
      <c r="Q14" s="40">
        <f t="shared" si="3"/>
        <v>13</v>
      </c>
      <c r="R14" s="7"/>
      <c r="S14" s="6"/>
      <c r="T14" s="16"/>
      <c r="U14" s="16"/>
      <c r="V14" s="17">
        <v>13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0.45833333333333331</v>
      </c>
      <c r="AD14" s="10">
        <f t="shared" si="9"/>
        <v>0.45833333333333331</v>
      </c>
      <c r="AE14" s="36">
        <f t="shared" si="7"/>
        <v>0.54166666666666663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165</v>
      </c>
      <c r="E15" s="53" t="s">
        <v>166</v>
      </c>
      <c r="F15" s="12" t="s">
        <v>132</v>
      </c>
      <c r="G15" s="12">
        <v>1</v>
      </c>
      <c r="H15" s="13">
        <v>24</v>
      </c>
      <c r="I15" s="31">
        <v>2600</v>
      </c>
      <c r="J15" s="14">
        <v>2824</v>
      </c>
      <c r="K15" s="15">
        <f>L15+2824</f>
        <v>2824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0.54166666666666663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131</v>
      </c>
      <c r="E16" s="53" t="s">
        <v>368</v>
      </c>
      <c r="F16" s="30" t="s">
        <v>210</v>
      </c>
      <c r="G16" s="12">
        <v>4</v>
      </c>
      <c r="H16" s="13">
        <v>28</v>
      </c>
      <c r="I16" s="7">
        <f>105000-16000</f>
        <v>89000</v>
      </c>
      <c r="J16" s="14">
        <v>2740</v>
      </c>
      <c r="K16" s="15">
        <f>L16+13804+13644+15168+9596+5796+2740</f>
        <v>60748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0.54166666666666663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131</v>
      </c>
      <c r="E17" s="53" t="s">
        <v>527</v>
      </c>
      <c r="F17" s="30" t="s">
        <v>132</v>
      </c>
      <c r="G17" s="33">
        <v>4</v>
      </c>
      <c r="H17" s="35">
        <v>24</v>
      </c>
      <c r="I17" s="7">
        <v>500000</v>
      </c>
      <c r="J17" s="5">
        <v>20792</v>
      </c>
      <c r="K17" s="15">
        <f>L17+19272+21812+22172+21128+22260</f>
        <v>127436</v>
      </c>
      <c r="L17" s="15">
        <f>2443*4+2755*4</f>
        <v>20792</v>
      </c>
      <c r="M17" s="15">
        <f t="shared" si="0"/>
        <v>20792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0.54166666666666663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121</v>
      </c>
      <c r="D18" s="52" t="s">
        <v>568</v>
      </c>
      <c r="E18" s="53" t="s">
        <v>567</v>
      </c>
      <c r="F18" s="30" t="s">
        <v>124</v>
      </c>
      <c r="G18" s="12">
        <v>2</v>
      </c>
      <c r="H18" s="13">
        <v>28</v>
      </c>
      <c r="I18" s="31">
        <v>10000</v>
      </c>
      <c r="J18" s="5">
        <v>8720</v>
      </c>
      <c r="K18" s="15">
        <f>L18+8346+9732</f>
        <v>26798</v>
      </c>
      <c r="L18" s="15">
        <f>2096*2+2264*2</f>
        <v>8720</v>
      </c>
      <c r="M18" s="15">
        <f t="shared" si="0"/>
        <v>8720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0.54166666666666663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120</v>
      </c>
      <c r="D19" s="52" t="s">
        <v>131</v>
      </c>
      <c r="E19" s="53" t="s">
        <v>586</v>
      </c>
      <c r="F19" s="30" t="s">
        <v>124</v>
      </c>
      <c r="G19" s="33">
        <v>1</v>
      </c>
      <c r="H19" s="35">
        <v>24</v>
      </c>
      <c r="I19" s="7">
        <v>12000</v>
      </c>
      <c r="J19" s="5">
        <v>4353</v>
      </c>
      <c r="K19" s="15">
        <f>L19</f>
        <v>4353</v>
      </c>
      <c r="L19" s="15">
        <f>2025+2328</f>
        <v>4353</v>
      </c>
      <c r="M19" s="15">
        <f t="shared" si="0"/>
        <v>4353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0.54166666666666663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469</v>
      </c>
      <c r="F20" s="30" t="s">
        <v>119</v>
      </c>
      <c r="G20" s="33">
        <v>1</v>
      </c>
      <c r="H20" s="35">
        <v>24</v>
      </c>
      <c r="I20" s="7">
        <v>64000</v>
      </c>
      <c r="J20" s="14">
        <v>5372</v>
      </c>
      <c r="K20" s="15">
        <f>L20+4204+5394+5278+1522+3899+5224+5152+5164+2208+4924+654+3141+5593+2079+5343+5450+440+2090+4864+5654</f>
        <v>83649</v>
      </c>
      <c r="L20" s="15">
        <f>2577+2795</f>
        <v>5372</v>
      </c>
      <c r="M20" s="15">
        <f t="shared" si="0"/>
        <v>5372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0.54166666666666663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432</v>
      </c>
      <c r="F21" s="12" t="s">
        <v>114</v>
      </c>
      <c r="G21" s="12">
        <v>4</v>
      </c>
      <c r="H21" s="35">
        <v>20</v>
      </c>
      <c r="I21" s="7">
        <v>500000</v>
      </c>
      <c r="J21" s="14">
        <v>32892</v>
      </c>
      <c r="K21" s="15">
        <f>L21+16808+39112+38440+39748+31140+68844+45656+37140+73976</f>
        <v>423756</v>
      </c>
      <c r="L21" s="15">
        <f>8223*4</f>
        <v>32892</v>
      </c>
      <c r="M21" s="15">
        <f t="shared" si="0"/>
        <v>32892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0.54166666666666663</v>
      </c>
      <c r="AF21" s="84">
        <f t="shared" si="8"/>
        <v>16</v>
      </c>
    </row>
    <row r="22" spans="1:32" ht="31.5" customHeight="1" thickBot="1">
      <c r="A22" s="545" t="s">
        <v>34</v>
      </c>
      <c r="B22" s="546"/>
      <c r="C22" s="546"/>
      <c r="D22" s="546"/>
      <c r="E22" s="546"/>
      <c r="F22" s="546"/>
      <c r="G22" s="546"/>
      <c r="H22" s="547"/>
      <c r="I22" s="22">
        <f t="shared" ref="I22:N22" si="10">SUM(I6:I21)</f>
        <v>1781000</v>
      </c>
      <c r="J22" s="19">
        <f t="shared" si="10"/>
        <v>138482</v>
      </c>
      <c r="K22" s="20">
        <f t="shared" si="10"/>
        <v>880640</v>
      </c>
      <c r="L22" s="21">
        <f t="shared" si="10"/>
        <v>108769</v>
      </c>
      <c r="M22" s="20">
        <f t="shared" si="10"/>
        <v>108769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208</v>
      </c>
      <c r="Q22" s="43">
        <f t="shared" si="11"/>
        <v>176</v>
      </c>
      <c r="R22" s="23">
        <f t="shared" si="11"/>
        <v>27</v>
      </c>
      <c r="S22" s="24">
        <f t="shared" si="11"/>
        <v>12</v>
      </c>
      <c r="T22" s="24">
        <f t="shared" si="11"/>
        <v>0</v>
      </c>
      <c r="U22" s="24">
        <f t="shared" si="11"/>
        <v>0</v>
      </c>
      <c r="V22" s="25">
        <f t="shared" si="11"/>
        <v>27</v>
      </c>
      <c r="W22" s="26">
        <f t="shared" si="11"/>
        <v>110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0</v>
      </c>
      <c r="AB22" s="28">
        <f>AVERAGE(AB6:AB21)</f>
        <v>0.75</v>
      </c>
      <c r="AC22" s="4">
        <f>AVERAGE(AC6:AC21)</f>
        <v>0.54166666666666663</v>
      </c>
      <c r="AD22" s="4">
        <f>AVERAGE(AD6:AD21)</f>
        <v>0.54166666666666663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8" t="s">
        <v>45</v>
      </c>
      <c r="B49" s="548"/>
      <c r="C49" s="548"/>
      <c r="D49" s="548"/>
      <c r="E49" s="5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9" t="s">
        <v>594</v>
      </c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1"/>
      <c r="N50" s="552" t="s">
        <v>595</v>
      </c>
      <c r="O50" s="553"/>
      <c r="P50" s="553"/>
      <c r="Q50" s="553"/>
      <c r="R50" s="553"/>
      <c r="S50" s="553"/>
      <c r="T50" s="553"/>
      <c r="U50" s="553"/>
      <c r="V50" s="553"/>
      <c r="W50" s="553"/>
      <c r="X50" s="553"/>
      <c r="Y50" s="553"/>
      <c r="Z50" s="553"/>
      <c r="AA50" s="553"/>
      <c r="AB50" s="553"/>
      <c r="AC50" s="553"/>
      <c r="AD50" s="554"/>
    </row>
    <row r="51" spans="1:32" ht="27" customHeight="1">
      <c r="A51" s="555" t="s">
        <v>2</v>
      </c>
      <c r="B51" s="556"/>
      <c r="C51" s="434" t="s">
        <v>46</v>
      </c>
      <c r="D51" s="434" t="s">
        <v>47</v>
      </c>
      <c r="E51" s="434" t="s">
        <v>107</v>
      </c>
      <c r="F51" s="557" t="s">
        <v>106</v>
      </c>
      <c r="G51" s="558"/>
      <c r="H51" s="558"/>
      <c r="I51" s="558"/>
      <c r="J51" s="558"/>
      <c r="K51" s="558"/>
      <c r="L51" s="558"/>
      <c r="M51" s="559"/>
      <c r="N51" s="67" t="s">
        <v>110</v>
      </c>
      <c r="O51" s="434" t="s">
        <v>46</v>
      </c>
      <c r="P51" s="557" t="s">
        <v>47</v>
      </c>
      <c r="Q51" s="560"/>
      <c r="R51" s="557" t="s">
        <v>38</v>
      </c>
      <c r="S51" s="558"/>
      <c r="T51" s="558"/>
      <c r="U51" s="560"/>
      <c r="V51" s="557" t="s">
        <v>48</v>
      </c>
      <c r="W51" s="558"/>
      <c r="X51" s="558"/>
      <c r="Y51" s="558"/>
      <c r="Z51" s="558"/>
      <c r="AA51" s="558"/>
      <c r="AB51" s="558"/>
      <c r="AC51" s="558"/>
      <c r="AD51" s="559"/>
    </row>
    <row r="52" spans="1:32" ht="27" customHeight="1">
      <c r="A52" s="526" t="s">
        <v>120</v>
      </c>
      <c r="B52" s="527"/>
      <c r="C52" s="436" t="s">
        <v>137</v>
      </c>
      <c r="D52" s="436" t="s">
        <v>165</v>
      </c>
      <c r="E52" s="436" t="s">
        <v>593</v>
      </c>
      <c r="F52" s="528" t="s">
        <v>118</v>
      </c>
      <c r="G52" s="529"/>
      <c r="H52" s="529"/>
      <c r="I52" s="529"/>
      <c r="J52" s="529"/>
      <c r="K52" s="529"/>
      <c r="L52" s="529"/>
      <c r="M52" s="530"/>
      <c r="N52" s="435" t="s">
        <v>123</v>
      </c>
      <c r="O52" s="441" t="s">
        <v>142</v>
      </c>
      <c r="P52" s="540"/>
      <c r="Q52" s="541"/>
      <c r="R52" s="540" t="s">
        <v>596</v>
      </c>
      <c r="S52" s="542"/>
      <c r="T52" s="542"/>
      <c r="U52" s="541"/>
      <c r="V52" s="510" t="s">
        <v>118</v>
      </c>
      <c r="W52" s="510"/>
      <c r="X52" s="510"/>
      <c r="Y52" s="510"/>
      <c r="Z52" s="510"/>
      <c r="AA52" s="510"/>
      <c r="AB52" s="510"/>
      <c r="AC52" s="510"/>
      <c r="AD52" s="531"/>
    </row>
    <row r="53" spans="1:32" ht="27" customHeight="1">
      <c r="A53" s="526" t="s">
        <v>120</v>
      </c>
      <c r="B53" s="527"/>
      <c r="C53" s="436" t="s">
        <v>130</v>
      </c>
      <c r="D53" s="436" t="s">
        <v>128</v>
      </c>
      <c r="E53" s="436" t="s">
        <v>156</v>
      </c>
      <c r="F53" s="528" t="s">
        <v>118</v>
      </c>
      <c r="G53" s="529"/>
      <c r="H53" s="529"/>
      <c r="I53" s="529"/>
      <c r="J53" s="529"/>
      <c r="K53" s="529"/>
      <c r="L53" s="529"/>
      <c r="M53" s="530"/>
      <c r="N53" s="435" t="s">
        <v>112</v>
      </c>
      <c r="O53" s="441" t="s">
        <v>214</v>
      </c>
      <c r="P53" s="540" t="s">
        <v>128</v>
      </c>
      <c r="Q53" s="541"/>
      <c r="R53" s="540" t="s">
        <v>562</v>
      </c>
      <c r="S53" s="542"/>
      <c r="T53" s="542"/>
      <c r="U53" s="541"/>
      <c r="V53" s="510" t="s">
        <v>177</v>
      </c>
      <c r="W53" s="510"/>
      <c r="X53" s="510"/>
      <c r="Y53" s="510"/>
      <c r="Z53" s="510"/>
      <c r="AA53" s="510"/>
      <c r="AB53" s="510"/>
      <c r="AC53" s="510"/>
      <c r="AD53" s="531"/>
    </row>
    <row r="54" spans="1:32" ht="27" customHeight="1">
      <c r="A54" s="526" t="s">
        <v>112</v>
      </c>
      <c r="B54" s="527"/>
      <c r="C54" s="436" t="s">
        <v>214</v>
      </c>
      <c r="D54" s="436" t="s">
        <v>128</v>
      </c>
      <c r="E54" s="436" t="s">
        <v>562</v>
      </c>
      <c r="F54" s="528" t="s">
        <v>472</v>
      </c>
      <c r="G54" s="529"/>
      <c r="H54" s="529"/>
      <c r="I54" s="529"/>
      <c r="J54" s="529"/>
      <c r="K54" s="529"/>
      <c r="L54" s="529"/>
      <c r="M54" s="530"/>
      <c r="N54" s="435" t="s">
        <v>120</v>
      </c>
      <c r="O54" s="441" t="s">
        <v>261</v>
      </c>
      <c r="P54" s="540" t="s">
        <v>134</v>
      </c>
      <c r="Q54" s="541"/>
      <c r="R54" s="540" t="s">
        <v>160</v>
      </c>
      <c r="S54" s="542"/>
      <c r="T54" s="542"/>
      <c r="U54" s="541"/>
      <c r="V54" s="510" t="s">
        <v>118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120</v>
      </c>
      <c r="B55" s="527"/>
      <c r="C55" s="436" t="s">
        <v>261</v>
      </c>
      <c r="D55" s="436" t="s">
        <v>131</v>
      </c>
      <c r="E55" s="436" t="s">
        <v>454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435" t="s">
        <v>112</v>
      </c>
      <c r="O55" s="441" t="s">
        <v>239</v>
      </c>
      <c r="P55" s="540" t="s">
        <v>115</v>
      </c>
      <c r="Q55" s="541"/>
      <c r="R55" s="540" t="s">
        <v>597</v>
      </c>
      <c r="S55" s="542"/>
      <c r="T55" s="542"/>
      <c r="U55" s="541"/>
      <c r="V55" s="510" t="s">
        <v>118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120</v>
      </c>
      <c r="B56" s="527"/>
      <c r="C56" s="436" t="s">
        <v>194</v>
      </c>
      <c r="D56" s="436" t="s">
        <v>131</v>
      </c>
      <c r="E56" s="436" t="s">
        <v>586</v>
      </c>
      <c r="F56" s="528" t="s">
        <v>118</v>
      </c>
      <c r="G56" s="529"/>
      <c r="H56" s="529"/>
      <c r="I56" s="529"/>
      <c r="J56" s="529"/>
      <c r="K56" s="529"/>
      <c r="L56" s="529"/>
      <c r="M56" s="530"/>
      <c r="N56" s="435" t="s">
        <v>599</v>
      </c>
      <c r="O56" s="441" t="s">
        <v>180</v>
      </c>
      <c r="P56" s="540"/>
      <c r="Q56" s="541"/>
      <c r="R56" s="540" t="s">
        <v>598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/>
      <c r="B57" s="527"/>
      <c r="C57" s="436"/>
      <c r="D57" s="436"/>
      <c r="E57" s="436"/>
      <c r="F57" s="528"/>
      <c r="G57" s="529"/>
      <c r="H57" s="529"/>
      <c r="I57" s="529"/>
      <c r="J57" s="529"/>
      <c r="K57" s="529"/>
      <c r="L57" s="529"/>
      <c r="M57" s="530"/>
      <c r="N57" s="435"/>
      <c r="O57" s="441"/>
      <c r="P57" s="540"/>
      <c r="Q57" s="541"/>
      <c r="R57" s="540"/>
      <c r="S57" s="542"/>
      <c r="T57" s="542"/>
      <c r="U57" s="541"/>
      <c r="V57" s="510"/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/>
      <c r="B58" s="527"/>
      <c r="C58" s="436"/>
      <c r="D58" s="436"/>
      <c r="E58" s="436"/>
      <c r="F58" s="528"/>
      <c r="G58" s="529"/>
      <c r="H58" s="529"/>
      <c r="I58" s="529"/>
      <c r="J58" s="529"/>
      <c r="K58" s="529"/>
      <c r="L58" s="529"/>
      <c r="M58" s="530"/>
      <c r="N58" s="435"/>
      <c r="O58" s="441"/>
      <c r="P58" s="540"/>
      <c r="Q58" s="541"/>
      <c r="R58" s="527"/>
      <c r="S58" s="527"/>
      <c r="T58" s="527"/>
      <c r="U58" s="527"/>
      <c r="V58" s="510"/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/>
      <c r="B59" s="527"/>
      <c r="C59" s="436"/>
      <c r="D59" s="436"/>
      <c r="E59" s="436"/>
      <c r="F59" s="528"/>
      <c r="G59" s="529"/>
      <c r="H59" s="529"/>
      <c r="I59" s="529"/>
      <c r="J59" s="529"/>
      <c r="K59" s="529"/>
      <c r="L59" s="529"/>
      <c r="M59" s="530"/>
      <c r="N59" s="435"/>
      <c r="O59" s="441"/>
      <c r="P59" s="540"/>
      <c r="Q59" s="541"/>
      <c r="R59" s="527"/>
      <c r="S59" s="527"/>
      <c r="T59" s="527"/>
      <c r="U59" s="527"/>
      <c r="V59" s="510"/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/>
      <c r="B60" s="527"/>
      <c r="C60" s="436"/>
      <c r="D60" s="436"/>
      <c r="E60" s="436"/>
      <c r="F60" s="528"/>
      <c r="G60" s="529"/>
      <c r="H60" s="529"/>
      <c r="I60" s="529"/>
      <c r="J60" s="529"/>
      <c r="K60" s="529"/>
      <c r="L60" s="529"/>
      <c r="M60" s="530"/>
      <c r="N60" s="435"/>
      <c r="O60" s="441"/>
      <c r="P60" s="527"/>
      <c r="Q60" s="527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  <c r="AF60" s="84">
        <f>8*3000</f>
        <v>24000</v>
      </c>
    </row>
    <row r="61" spans="1:32" ht="27" customHeight="1" thickBot="1">
      <c r="A61" s="532"/>
      <c r="B61" s="533"/>
      <c r="C61" s="437"/>
      <c r="D61" s="438"/>
      <c r="E61" s="438"/>
      <c r="F61" s="534"/>
      <c r="G61" s="535"/>
      <c r="H61" s="535"/>
      <c r="I61" s="535"/>
      <c r="J61" s="535"/>
      <c r="K61" s="535"/>
      <c r="L61" s="535"/>
      <c r="M61" s="536"/>
      <c r="N61" s="112"/>
      <c r="O61" s="103"/>
      <c r="P61" s="537"/>
      <c r="Q61" s="537"/>
      <c r="R61" s="537"/>
      <c r="S61" s="537"/>
      <c r="T61" s="537"/>
      <c r="U61" s="537"/>
      <c r="V61" s="538"/>
      <c r="W61" s="538"/>
      <c r="X61" s="538"/>
      <c r="Y61" s="538"/>
      <c r="Z61" s="538"/>
      <c r="AA61" s="538"/>
      <c r="AB61" s="538"/>
      <c r="AC61" s="538"/>
      <c r="AD61" s="539"/>
      <c r="AF61" s="84">
        <f>16*3000</f>
        <v>48000</v>
      </c>
    </row>
    <row r="62" spans="1:32" ht="27.75" thickBot="1">
      <c r="A62" s="524" t="s">
        <v>600</v>
      </c>
      <c r="B62" s="524"/>
      <c r="C62" s="524"/>
      <c r="D62" s="524"/>
      <c r="E62" s="52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25" t="s">
        <v>111</v>
      </c>
      <c r="B63" s="520"/>
      <c r="C63" s="439" t="s">
        <v>2</v>
      </c>
      <c r="D63" s="439" t="s">
        <v>37</v>
      </c>
      <c r="E63" s="439" t="s">
        <v>3</v>
      </c>
      <c r="F63" s="520" t="s">
        <v>109</v>
      </c>
      <c r="G63" s="520"/>
      <c r="H63" s="520"/>
      <c r="I63" s="520"/>
      <c r="J63" s="520"/>
      <c r="K63" s="520" t="s">
        <v>39</v>
      </c>
      <c r="L63" s="520"/>
      <c r="M63" s="439" t="s">
        <v>40</v>
      </c>
      <c r="N63" s="520" t="s">
        <v>41</v>
      </c>
      <c r="O63" s="520"/>
      <c r="P63" s="517" t="s">
        <v>42</v>
      </c>
      <c r="Q63" s="519"/>
      <c r="R63" s="517" t="s">
        <v>43</v>
      </c>
      <c r="S63" s="518"/>
      <c r="T63" s="518"/>
      <c r="U63" s="518"/>
      <c r="V63" s="518"/>
      <c r="W63" s="518"/>
      <c r="X63" s="518"/>
      <c r="Y63" s="518"/>
      <c r="Z63" s="518"/>
      <c r="AA63" s="519"/>
      <c r="AB63" s="520" t="s">
        <v>44</v>
      </c>
      <c r="AC63" s="520"/>
      <c r="AD63" s="521"/>
      <c r="AF63" s="84">
        <f>SUM(AF60:AF62)</f>
        <v>96000</v>
      </c>
    </row>
    <row r="64" spans="1:32" ht="25.5" customHeight="1">
      <c r="A64" s="503">
        <v>1</v>
      </c>
      <c r="B64" s="504"/>
      <c r="C64" s="105" t="s">
        <v>120</v>
      </c>
      <c r="D64" s="443"/>
      <c r="E64" s="440" t="s">
        <v>165</v>
      </c>
      <c r="F64" s="513" t="s">
        <v>601</v>
      </c>
      <c r="G64" s="514"/>
      <c r="H64" s="514"/>
      <c r="I64" s="514"/>
      <c r="J64" s="515"/>
      <c r="K64" s="497" t="s">
        <v>143</v>
      </c>
      <c r="L64" s="497"/>
      <c r="M64" s="51" t="s">
        <v>248</v>
      </c>
      <c r="N64" s="511" t="s">
        <v>185</v>
      </c>
      <c r="O64" s="511"/>
      <c r="P64" s="512">
        <v>50</v>
      </c>
      <c r="Q64" s="512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6"/>
      <c r="AC64" s="522"/>
      <c r="AD64" s="523"/>
      <c r="AF64" s="50"/>
    </row>
    <row r="65" spans="1:32" ht="25.5" customHeight="1">
      <c r="A65" s="503">
        <v>2</v>
      </c>
      <c r="B65" s="504"/>
      <c r="C65" s="105" t="s">
        <v>120</v>
      </c>
      <c r="D65" s="443"/>
      <c r="E65" s="440" t="s">
        <v>165</v>
      </c>
      <c r="F65" s="513" t="s">
        <v>602</v>
      </c>
      <c r="G65" s="514"/>
      <c r="H65" s="514"/>
      <c r="I65" s="514"/>
      <c r="J65" s="515"/>
      <c r="K65" s="497" t="s">
        <v>143</v>
      </c>
      <c r="L65" s="497"/>
      <c r="M65" s="51" t="s">
        <v>248</v>
      </c>
      <c r="N65" s="511" t="s">
        <v>185</v>
      </c>
      <c r="O65" s="511"/>
      <c r="P65" s="512">
        <v>50</v>
      </c>
      <c r="Q65" s="512"/>
      <c r="R65" s="510"/>
      <c r="S65" s="510"/>
      <c r="T65" s="510"/>
      <c r="U65" s="510"/>
      <c r="V65" s="510"/>
      <c r="W65" s="510"/>
      <c r="X65" s="510"/>
      <c r="Y65" s="510"/>
      <c r="Z65" s="510"/>
      <c r="AA65" s="510"/>
      <c r="AB65" s="497"/>
      <c r="AC65" s="497"/>
      <c r="AD65" s="498"/>
      <c r="AF65" s="50"/>
    </row>
    <row r="66" spans="1:32" ht="25.5" customHeight="1">
      <c r="A66" s="503">
        <v>3</v>
      </c>
      <c r="B66" s="504"/>
      <c r="C66" s="105"/>
      <c r="D66" s="443"/>
      <c r="E66" s="440"/>
      <c r="F66" s="513"/>
      <c r="G66" s="514"/>
      <c r="H66" s="514"/>
      <c r="I66" s="514"/>
      <c r="J66" s="515"/>
      <c r="K66" s="497"/>
      <c r="L66" s="497"/>
      <c r="M66" s="51"/>
      <c r="N66" s="511"/>
      <c r="O66" s="511"/>
      <c r="P66" s="512"/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497"/>
      <c r="AC66" s="497"/>
      <c r="AD66" s="498"/>
      <c r="AF66" s="50"/>
    </row>
    <row r="67" spans="1:32" ht="25.5" customHeight="1">
      <c r="A67" s="503">
        <v>4</v>
      </c>
      <c r="B67" s="504"/>
      <c r="C67" s="105"/>
      <c r="D67" s="443"/>
      <c r="E67" s="440"/>
      <c r="F67" s="513"/>
      <c r="G67" s="514"/>
      <c r="H67" s="514"/>
      <c r="I67" s="514"/>
      <c r="J67" s="515"/>
      <c r="K67" s="497"/>
      <c r="L67" s="497"/>
      <c r="M67" s="51"/>
      <c r="N67" s="511"/>
      <c r="O67" s="511"/>
      <c r="P67" s="512"/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5</v>
      </c>
      <c r="B68" s="504"/>
      <c r="C68" s="105"/>
      <c r="D68" s="443"/>
      <c r="E68" s="440"/>
      <c r="F68" s="513"/>
      <c r="G68" s="514"/>
      <c r="H68" s="514"/>
      <c r="I68" s="514"/>
      <c r="J68" s="515"/>
      <c r="K68" s="497"/>
      <c r="L68" s="497"/>
      <c r="M68" s="51"/>
      <c r="N68" s="511"/>
      <c r="O68" s="511"/>
      <c r="P68" s="512"/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6</v>
      </c>
      <c r="B69" s="504"/>
      <c r="C69" s="105"/>
      <c r="D69" s="443"/>
      <c r="E69" s="440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7</v>
      </c>
      <c r="B70" s="504"/>
      <c r="C70" s="105"/>
      <c r="D70" s="443"/>
      <c r="E70" s="440"/>
      <c r="F70" s="505"/>
      <c r="G70" s="497"/>
      <c r="H70" s="497"/>
      <c r="I70" s="497"/>
      <c r="J70" s="497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8</v>
      </c>
      <c r="B71" s="504"/>
      <c r="C71" s="105"/>
      <c r="D71" s="443"/>
      <c r="E71" s="440"/>
      <c r="F71" s="505"/>
      <c r="G71" s="497"/>
      <c r="H71" s="497"/>
      <c r="I71" s="497"/>
      <c r="J71" s="497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9</v>
      </c>
      <c r="B72" s="504"/>
      <c r="C72" s="105"/>
      <c r="D72" s="443"/>
      <c r="E72" s="440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10</v>
      </c>
      <c r="B73" s="504"/>
      <c r="C73" s="105"/>
      <c r="D73" s="443"/>
      <c r="E73" s="440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6.25" customHeight="1" thickBot="1">
      <c r="A74" s="477" t="s">
        <v>603</v>
      </c>
      <c r="B74" s="477"/>
      <c r="C74" s="477"/>
      <c r="D74" s="477"/>
      <c r="E74" s="47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8" t="s">
        <v>111</v>
      </c>
      <c r="B75" s="479"/>
      <c r="C75" s="442" t="s">
        <v>2</v>
      </c>
      <c r="D75" s="442" t="s">
        <v>37</v>
      </c>
      <c r="E75" s="442" t="s">
        <v>3</v>
      </c>
      <c r="F75" s="479" t="s">
        <v>38</v>
      </c>
      <c r="G75" s="479"/>
      <c r="H75" s="479"/>
      <c r="I75" s="479"/>
      <c r="J75" s="479"/>
      <c r="K75" s="499" t="s">
        <v>58</v>
      </c>
      <c r="L75" s="500"/>
      <c r="M75" s="500"/>
      <c r="N75" s="500"/>
      <c r="O75" s="500"/>
      <c r="P75" s="500"/>
      <c r="Q75" s="500"/>
      <c r="R75" s="500"/>
      <c r="S75" s="501"/>
      <c r="T75" s="479" t="s">
        <v>49</v>
      </c>
      <c r="U75" s="479"/>
      <c r="V75" s="499" t="s">
        <v>50</v>
      </c>
      <c r="W75" s="501"/>
      <c r="X75" s="500" t="s">
        <v>51</v>
      </c>
      <c r="Y75" s="500"/>
      <c r="Z75" s="500"/>
      <c r="AA75" s="500"/>
      <c r="AB75" s="500"/>
      <c r="AC75" s="500"/>
      <c r="AD75" s="502"/>
      <c r="AF75" s="50"/>
    </row>
    <row r="76" spans="1:32" ht="33.75" customHeight="1">
      <c r="A76" s="471">
        <v>1</v>
      </c>
      <c r="B76" s="472"/>
      <c r="C76" s="444" t="s">
        <v>112</v>
      </c>
      <c r="D76" s="444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64">
        <f>A76+1</f>
        <v>2</v>
      </c>
      <c r="B77" s="465"/>
      <c r="C77" s="443"/>
      <c r="D77" s="443"/>
      <c r="E77" s="32"/>
      <c r="F77" s="465"/>
      <c r="G77" s="465"/>
      <c r="H77" s="465"/>
      <c r="I77" s="465"/>
      <c r="J77" s="465"/>
      <c r="K77" s="480"/>
      <c r="L77" s="481"/>
      <c r="M77" s="481"/>
      <c r="N77" s="481"/>
      <c r="O77" s="481"/>
      <c r="P77" s="481"/>
      <c r="Q77" s="481"/>
      <c r="R77" s="481"/>
      <c r="S77" s="482"/>
      <c r="T77" s="483"/>
      <c r="U77" s="483"/>
      <c r="V77" s="483"/>
      <c r="W77" s="483"/>
      <c r="X77" s="484"/>
      <c r="Y77" s="484"/>
      <c r="Z77" s="484"/>
      <c r="AA77" s="484"/>
      <c r="AB77" s="484"/>
      <c r="AC77" s="484"/>
      <c r="AD77" s="485"/>
      <c r="AF77" s="50"/>
    </row>
    <row r="78" spans="1:32" ht="30" customHeight="1">
      <c r="A78" s="464">
        <f t="shared" ref="A78:A82" si="12">A77+1</f>
        <v>3</v>
      </c>
      <c r="B78" s="465"/>
      <c r="C78" s="443"/>
      <c r="D78" s="443"/>
      <c r="E78" s="32"/>
      <c r="F78" s="465"/>
      <c r="G78" s="465"/>
      <c r="H78" s="465"/>
      <c r="I78" s="465"/>
      <c r="J78" s="465"/>
      <c r="K78" s="480"/>
      <c r="L78" s="481"/>
      <c r="M78" s="481"/>
      <c r="N78" s="481"/>
      <c r="O78" s="481"/>
      <c r="P78" s="481"/>
      <c r="Q78" s="481"/>
      <c r="R78" s="481"/>
      <c r="S78" s="482"/>
      <c r="T78" s="483"/>
      <c r="U78" s="483"/>
      <c r="V78" s="483"/>
      <c r="W78" s="483"/>
      <c r="X78" s="484"/>
      <c r="Y78" s="484"/>
      <c r="Z78" s="484"/>
      <c r="AA78" s="484"/>
      <c r="AB78" s="484"/>
      <c r="AC78" s="484"/>
      <c r="AD78" s="485"/>
      <c r="AF78" s="50"/>
    </row>
    <row r="79" spans="1:32" ht="30" customHeight="1">
      <c r="A79" s="464">
        <f t="shared" si="12"/>
        <v>4</v>
      </c>
      <c r="B79" s="465"/>
      <c r="C79" s="443"/>
      <c r="D79" s="443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si="12"/>
        <v>5</v>
      </c>
      <c r="B80" s="465"/>
      <c r="C80" s="443"/>
      <c r="D80" s="443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12"/>
        <v>6</v>
      </c>
      <c r="B81" s="465"/>
      <c r="C81" s="443"/>
      <c r="D81" s="443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12"/>
        <v>7</v>
      </c>
      <c r="B82" s="465"/>
      <c r="C82" s="443"/>
      <c r="D82" s="443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6" thickBot="1">
      <c r="A83" s="477" t="s">
        <v>604</v>
      </c>
      <c r="B83" s="477"/>
      <c r="C83" s="477"/>
      <c r="D83" s="477"/>
      <c r="E83" s="47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8" t="s">
        <v>111</v>
      </c>
      <c r="B84" s="479"/>
      <c r="C84" s="469" t="s">
        <v>52</v>
      </c>
      <c r="D84" s="469"/>
      <c r="E84" s="469" t="s">
        <v>53</v>
      </c>
      <c r="F84" s="469"/>
      <c r="G84" s="469"/>
      <c r="H84" s="469"/>
      <c r="I84" s="469"/>
      <c r="J84" s="469"/>
      <c r="K84" s="469" t="s">
        <v>54</v>
      </c>
      <c r="L84" s="469"/>
      <c r="M84" s="469"/>
      <c r="N84" s="469"/>
      <c r="O84" s="469"/>
      <c r="P84" s="469"/>
      <c r="Q84" s="469"/>
      <c r="R84" s="469"/>
      <c r="S84" s="469"/>
      <c r="T84" s="469" t="s">
        <v>55</v>
      </c>
      <c r="U84" s="469"/>
      <c r="V84" s="469" t="s">
        <v>56</v>
      </c>
      <c r="W84" s="469"/>
      <c r="X84" s="469"/>
      <c r="Y84" s="469" t="s">
        <v>51</v>
      </c>
      <c r="Z84" s="469"/>
      <c r="AA84" s="469"/>
      <c r="AB84" s="469"/>
      <c r="AC84" s="469"/>
      <c r="AD84" s="470"/>
      <c r="AF84" s="50"/>
    </row>
    <row r="85" spans="1:32" ht="30.75" customHeight="1">
      <c r="A85" s="471">
        <v>1</v>
      </c>
      <c r="B85" s="472"/>
      <c r="C85" s="473"/>
      <c r="D85" s="473"/>
      <c r="E85" s="473"/>
      <c r="F85" s="473"/>
      <c r="G85" s="473"/>
      <c r="H85" s="473"/>
      <c r="I85" s="473"/>
      <c r="J85" s="473"/>
      <c r="K85" s="473"/>
      <c r="L85" s="473"/>
      <c r="M85" s="473"/>
      <c r="N85" s="473"/>
      <c r="O85" s="473"/>
      <c r="P85" s="473"/>
      <c r="Q85" s="473"/>
      <c r="R85" s="473"/>
      <c r="S85" s="473"/>
      <c r="T85" s="473"/>
      <c r="U85" s="473"/>
      <c r="V85" s="474"/>
      <c r="W85" s="474"/>
      <c r="X85" s="474"/>
      <c r="Y85" s="475"/>
      <c r="Z85" s="475"/>
      <c r="AA85" s="475"/>
      <c r="AB85" s="475"/>
      <c r="AC85" s="475"/>
      <c r="AD85" s="476"/>
      <c r="AF85" s="50"/>
    </row>
    <row r="86" spans="1:32" ht="30.75" customHeight="1">
      <c r="A86" s="464">
        <v>2</v>
      </c>
      <c r="B86" s="465"/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7"/>
      <c r="U86" s="467"/>
      <c r="V86" s="468"/>
      <c r="W86" s="468"/>
      <c r="X86" s="468"/>
      <c r="Y86" s="457"/>
      <c r="Z86" s="457"/>
      <c r="AA86" s="457"/>
      <c r="AB86" s="457"/>
      <c r="AC86" s="457"/>
      <c r="AD86" s="458"/>
      <c r="AF86" s="50"/>
    </row>
    <row r="87" spans="1:32" ht="30.75" customHeight="1" thickBot="1">
      <c r="A87" s="459">
        <v>3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2"/>
      <c r="Z87" s="462"/>
      <c r="AA87" s="462"/>
      <c r="AB87" s="462"/>
      <c r="AC87" s="462"/>
      <c r="AD87" s="463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6901-0365-4A8F-9B5A-77C3274367FC}">
  <dimension ref="A1:AF89"/>
  <sheetViews>
    <sheetView tabSelected="1"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71" t="s">
        <v>605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71"/>
      <c r="B2" s="571"/>
      <c r="C2" s="571"/>
      <c r="D2" s="571"/>
      <c r="E2" s="571"/>
      <c r="F2" s="571"/>
      <c r="G2" s="571"/>
      <c r="H2" s="571"/>
      <c r="I2" s="571"/>
      <c r="J2" s="571"/>
      <c r="K2" s="571"/>
      <c r="L2" s="571"/>
      <c r="M2" s="571"/>
      <c r="N2" s="571"/>
      <c r="O2" s="57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72"/>
      <c r="B3" s="572"/>
      <c r="C3" s="572"/>
      <c r="D3" s="572"/>
      <c r="E3" s="572"/>
      <c r="F3" s="572"/>
      <c r="G3" s="57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3" t="s">
        <v>0</v>
      </c>
      <c r="B4" s="575" t="s">
        <v>1</v>
      </c>
      <c r="C4" s="575" t="s">
        <v>2</v>
      </c>
      <c r="D4" s="578" t="s">
        <v>3</v>
      </c>
      <c r="E4" s="580" t="s">
        <v>4</v>
      </c>
      <c r="F4" s="578" t="s">
        <v>5</v>
      </c>
      <c r="G4" s="575" t="s">
        <v>6</v>
      </c>
      <c r="H4" s="581" t="s">
        <v>7</v>
      </c>
      <c r="I4" s="561" t="s">
        <v>8</v>
      </c>
      <c r="J4" s="562"/>
      <c r="K4" s="562"/>
      <c r="L4" s="562"/>
      <c r="M4" s="562"/>
      <c r="N4" s="562"/>
      <c r="O4" s="563"/>
      <c r="P4" s="564" t="s">
        <v>9</v>
      </c>
      <c r="Q4" s="565"/>
      <c r="R4" s="566" t="s">
        <v>10</v>
      </c>
      <c r="S4" s="566"/>
      <c r="T4" s="566"/>
      <c r="U4" s="566"/>
      <c r="V4" s="566"/>
      <c r="W4" s="567" t="s">
        <v>11</v>
      </c>
      <c r="X4" s="566"/>
      <c r="Y4" s="566"/>
      <c r="Z4" s="566"/>
      <c r="AA4" s="568"/>
      <c r="AB4" s="569" t="s">
        <v>12</v>
      </c>
      <c r="AC4" s="543" t="s">
        <v>13</v>
      </c>
      <c r="AD4" s="543" t="s">
        <v>14</v>
      </c>
      <c r="AE4" s="54"/>
    </row>
    <row r="5" spans="1:32" ht="51" customHeight="1" thickBot="1">
      <c r="A5" s="574"/>
      <c r="B5" s="576"/>
      <c r="C5" s="577"/>
      <c r="D5" s="579"/>
      <c r="E5" s="579"/>
      <c r="F5" s="579"/>
      <c r="G5" s="576"/>
      <c r="H5" s="582"/>
      <c r="I5" s="55" t="s">
        <v>15</v>
      </c>
      <c r="J5" s="56" t="s">
        <v>16</v>
      </c>
      <c r="K5" s="456" t="s">
        <v>17</v>
      </c>
      <c r="L5" s="456" t="s">
        <v>18</v>
      </c>
      <c r="M5" s="456" t="s">
        <v>19</v>
      </c>
      <c r="N5" s="4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70"/>
      <c r="AC5" s="544"/>
      <c r="AD5" s="544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165</v>
      </c>
      <c r="E6" s="53" t="s">
        <v>606</v>
      </c>
      <c r="F6" s="30" t="s">
        <v>607</v>
      </c>
      <c r="G6" s="12">
        <v>1</v>
      </c>
      <c r="H6" s="13">
        <v>24</v>
      </c>
      <c r="I6" s="31">
        <v>1300</v>
      </c>
      <c r="J6" s="5">
        <v>1450</v>
      </c>
      <c r="K6" s="15">
        <f>L6</f>
        <v>1450</v>
      </c>
      <c r="L6" s="15">
        <v>1450</v>
      </c>
      <c r="M6" s="15">
        <f t="shared" ref="M6:M23" si="0">L6-N6</f>
        <v>1450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7</v>
      </c>
      <c r="Q6" s="40">
        <f t="shared" ref="Q6:Q23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0.29166666666666669</v>
      </c>
      <c r="AD6" s="10">
        <f t="shared" ref="AD6:AD23" si="6">AC6*AB6*(1-O6)</f>
        <v>0.29166666666666669</v>
      </c>
      <c r="AE6" s="36">
        <f t="shared" ref="AE6:AE23" si="7">$AD$24</f>
        <v>0.50694444444444442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557</v>
      </c>
      <c r="D7" s="52"/>
      <c r="E7" s="53" t="s">
        <v>608</v>
      </c>
      <c r="F7" s="12">
        <v>8301</v>
      </c>
      <c r="G7" s="12" t="s">
        <v>546</v>
      </c>
      <c r="H7" s="13">
        <v>24</v>
      </c>
      <c r="I7" s="31">
        <v>700</v>
      </c>
      <c r="J7" s="14">
        <v>927</v>
      </c>
      <c r="K7" s="15">
        <f>L7</f>
        <v>927</v>
      </c>
      <c r="L7" s="15">
        <v>927</v>
      </c>
      <c r="M7" s="15">
        <f t="shared" si="0"/>
        <v>927</v>
      </c>
      <c r="N7" s="15">
        <v>0</v>
      </c>
      <c r="O7" s="58">
        <f t="shared" si="1"/>
        <v>0</v>
      </c>
      <c r="P7" s="39">
        <f t="shared" si="2"/>
        <v>5</v>
      </c>
      <c r="Q7" s="40">
        <f t="shared" si="3"/>
        <v>19</v>
      </c>
      <c r="R7" s="7"/>
      <c r="S7" s="6"/>
      <c r="T7" s="16"/>
      <c r="U7" s="16"/>
      <c r="V7" s="17"/>
      <c r="W7" s="5">
        <v>19</v>
      </c>
      <c r="X7" s="16"/>
      <c r="Y7" s="16"/>
      <c r="Z7" s="16"/>
      <c r="AA7" s="18"/>
      <c r="AB7" s="8">
        <f t="shared" si="4"/>
        <v>1</v>
      </c>
      <c r="AC7" s="9">
        <f t="shared" si="5"/>
        <v>0.20833333333333334</v>
      </c>
      <c r="AD7" s="10">
        <f t="shared" si="6"/>
        <v>0.20833333333333334</v>
      </c>
      <c r="AE7" s="36">
        <f t="shared" si="7"/>
        <v>0.50694444444444442</v>
      </c>
      <c r="AF7" s="84">
        <f t="shared" si="8"/>
        <v>2</v>
      </c>
    </row>
    <row r="8" spans="1:32" ht="27" customHeight="1">
      <c r="A8" s="113">
        <v>2</v>
      </c>
      <c r="B8" s="11" t="s">
        <v>57</v>
      </c>
      <c r="C8" s="34" t="s">
        <v>557</v>
      </c>
      <c r="D8" s="52"/>
      <c r="E8" s="53" t="s">
        <v>609</v>
      </c>
      <c r="F8" s="12">
        <v>8301</v>
      </c>
      <c r="G8" s="12" t="s">
        <v>546</v>
      </c>
      <c r="H8" s="13">
        <v>24</v>
      </c>
      <c r="I8" s="31">
        <v>700</v>
      </c>
      <c r="J8" s="14">
        <v>1018</v>
      </c>
      <c r="K8" s="15">
        <f>L8</f>
        <v>1018</v>
      </c>
      <c r="L8" s="15">
        <v>1018</v>
      </c>
      <c r="M8" s="15">
        <f t="shared" ref="M8" si="9">L8-N8</f>
        <v>1018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5</v>
      </c>
      <c r="Q8" s="40">
        <f t="shared" ref="Q8" si="12">SUM(R8:AA8)</f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0.20833333333333334</v>
      </c>
      <c r="AD8" s="10">
        <f t="shared" ref="AD8" si="15">AC8*AB8*(1-O8)</f>
        <v>0.20833333333333334</v>
      </c>
      <c r="AE8" s="36">
        <f t="shared" si="7"/>
        <v>0.50694444444444442</v>
      </c>
      <c r="AF8" s="84">
        <f t="shared" ref="AF8" si="16">A8</f>
        <v>2</v>
      </c>
    </row>
    <row r="9" spans="1:32" ht="27" customHeight="1">
      <c r="A9" s="95">
        <v>3</v>
      </c>
      <c r="B9" s="11" t="s">
        <v>57</v>
      </c>
      <c r="C9" s="11" t="s">
        <v>120</v>
      </c>
      <c r="D9" s="52" t="s">
        <v>128</v>
      </c>
      <c r="E9" s="53" t="s">
        <v>156</v>
      </c>
      <c r="F9" s="30" t="s">
        <v>146</v>
      </c>
      <c r="G9" s="33">
        <v>1</v>
      </c>
      <c r="H9" s="35">
        <v>24</v>
      </c>
      <c r="I9" s="7">
        <v>20000</v>
      </c>
      <c r="J9" s="14">
        <v>5543</v>
      </c>
      <c r="K9" s="15">
        <f>L9+4301</f>
        <v>9844</v>
      </c>
      <c r="L9" s="15">
        <f>2696+2847</f>
        <v>5543</v>
      </c>
      <c r="M9" s="15">
        <f t="shared" si="0"/>
        <v>5543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0.50694444444444442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11" t="s">
        <v>123</v>
      </c>
      <c r="D10" s="52" t="s">
        <v>610</v>
      </c>
      <c r="E10" s="53" t="s">
        <v>596</v>
      </c>
      <c r="F10" s="30" t="s">
        <v>249</v>
      </c>
      <c r="G10" s="33">
        <v>1</v>
      </c>
      <c r="H10" s="35">
        <v>24</v>
      </c>
      <c r="I10" s="7">
        <v>2000</v>
      </c>
      <c r="J10" s="14">
        <v>2625</v>
      </c>
      <c r="K10" s="15">
        <f>L10</f>
        <v>2625</v>
      </c>
      <c r="L10" s="15">
        <f>682+1943</f>
        <v>2625</v>
      </c>
      <c r="M10" s="15">
        <f t="shared" si="0"/>
        <v>2625</v>
      </c>
      <c r="N10" s="15">
        <v>0</v>
      </c>
      <c r="O10" s="58">
        <f t="shared" si="1"/>
        <v>0</v>
      </c>
      <c r="P10" s="39">
        <f t="shared" si="2"/>
        <v>17</v>
      </c>
      <c r="Q10" s="40">
        <f t="shared" si="3"/>
        <v>7</v>
      </c>
      <c r="R10" s="7"/>
      <c r="S10" s="6"/>
      <c r="T10" s="16"/>
      <c r="U10" s="16"/>
      <c r="V10" s="17"/>
      <c r="W10" s="5">
        <v>7</v>
      </c>
      <c r="X10" s="16"/>
      <c r="Y10" s="16"/>
      <c r="Z10" s="16"/>
      <c r="AA10" s="18"/>
      <c r="AB10" s="8">
        <f t="shared" si="4"/>
        <v>1</v>
      </c>
      <c r="AC10" s="9">
        <f t="shared" si="5"/>
        <v>0.70833333333333337</v>
      </c>
      <c r="AD10" s="10">
        <f t="shared" si="6"/>
        <v>0.70833333333333337</v>
      </c>
      <c r="AE10" s="36">
        <f t="shared" si="7"/>
        <v>0.50694444444444442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34" t="s">
        <v>112</v>
      </c>
      <c r="D11" s="52" t="s">
        <v>128</v>
      </c>
      <c r="E11" s="53" t="s">
        <v>562</v>
      </c>
      <c r="F11" s="30" t="s">
        <v>146</v>
      </c>
      <c r="G11" s="33">
        <v>1</v>
      </c>
      <c r="H11" s="35">
        <v>24</v>
      </c>
      <c r="I11" s="7">
        <v>34000</v>
      </c>
      <c r="J11" s="5">
        <v>3475</v>
      </c>
      <c r="K11" s="15">
        <f>L11+4104+5378+2796</f>
        <v>15753</v>
      </c>
      <c r="L11" s="15">
        <f>1934+1541</f>
        <v>3475</v>
      </c>
      <c r="M11" s="15">
        <f t="shared" si="0"/>
        <v>3475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>AC11*AB11*(1-O11)</f>
        <v>0.79166666666666663</v>
      </c>
      <c r="AE11" s="36">
        <f t="shared" si="7"/>
        <v>0.50694444444444442</v>
      </c>
      <c r="AF11" s="84">
        <f t="shared" si="8"/>
        <v>5</v>
      </c>
    </row>
    <row r="12" spans="1:32" ht="30" customHeight="1">
      <c r="A12" s="96">
        <v>6</v>
      </c>
      <c r="B12" s="11" t="s">
        <v>57</v>
      </c>
      <c r="C12" s="34" t="s">
        <v>120</v>
      </c>
      <c r="D12" s="52" t="s">
        <v>134</v>
      </c>
      <c r="E12" s="53" t="s">
        <v>160</v>
      </c>
      <c r="F12" s="30" t="s">
        <v>135</v>
      </c>
      <c r="G12" s="12">
        <v>20</v>
      </c>
      <c r="H12" s="13">
        <v>28</v>
      </c>
      <c r="I12" s="7">
        <v>100000</v>
      </c>
      <c r="J12" s="14">
        <v>75900</v>
      </c>
      <c r="K12" s="15">
        <f>L12</f>
        <v>75900</v>
      </c>
      <c r="L12" s="15">
        <f>3286*20+509*20</f>
        <v>75900</v>
      </c>
      <c r="M12" s="15">
        <f t="shared" si="0"/>
        <v>75900</v>
      </c>
      <c r="N12" s="15">
        <v>0</v>
      </c>
      <c r="O12" s="58">
        <f t="shared" si="1"/>
        <v>0</v>
      </c>
      <c r="P12" s="39">
        <f t="shared" si="2"/>
        <v>17</v>
      </c>
      <c r="Q12" s="40">
        <f t="shared" si="3"/>
        <v>7</v>
      </c>
      <c r="R12" s="7"/>
      <c r="S12" s="6"/>
      <c r="T12" s="16">
        <v>7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0.70833333333333337</v>
      </c>
      <c r="AD12" s="10">
        <f t="shared" ref="AD12:AD16" si="17">AC12*AB12*(1-O12)</f>
        <v>0.70833333333333337</v>
      </c>
      <c r="AE12" s="36">
        <f t="shared" si="7"/>
        <v>0.50694444444444442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131</v>
      </c>
      <c r="E13" s="53" t="s">
        <v>461</v>
      </c>
      <c r="F13" s="30" t="s">
        <v>210</v>
      </c>
      <c r="G13" s="33">
        <v>2</v>
      </c>
      <c r="H13" s="35">
        <v>24</v>
      </c>
      <c r="I13" s="7">
        <v>20000</v>
      </c>
      <c r="J13" s="14">
        <v>1018</v>
      </c>
      <c r="K13" s="15">
        <f>L13+10146+9078</f>
        <v>20242</v>
      </c>
      <c r="L13" s="15">
        <f>509*2</f>
        <v>1018</v>
      </c>
      <c r="M13" s="15">
        <f t="shared" si="0"/>
        <v>1018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si="17"/>
        <v>0.16666666666666666</v>
      </c>
      <c r="AE13" s="36">
        <f t="shared" si="7"/>
        <v>0.50694444444444442</v>
      </c>
      <c r="AF13" s="84">
        <f t="shared" si="8"/>
        <v>7</v>
      </c>
    </row>
    <row r="14" spans="1:32" ht="27" customHeight="1">
      <c r="A14" s="96">
        <v>7</v>
      </c>
      <c r="B14" s="11" t="s">
        <v>57</v>
      </c>
      <c r="C14" s="11" t="s">
        <v>112</v>
      </c>
      <c r="D14" s="52" t="s">
        <v>115</v>
      </c>
      <c r="E14" s="53" t="s">
        <v>597</v>
      </c>
      <c r="F14" s="30" t="s">
        <v>146</v>
      </c>
      <c r="G14" s="33">
        <v>1</v>
      </c>
      <c r="H14" s="35">
        <v>24</v>
      </c>
      <c r="I14" s="7">
        <v>1000</v>
      </c>
      <c r="J14" s="14">
        <v>523</v>
      </c>
      <c r="K14" s="15">
        <f>L14</f>
        <v>523</v>
      </c>
      <c r="L14" s="15">
        <f>523</f>
        <v>523</v>
      </c>
      <c r="M14" s="15">
        <f t="shared" ref="M14" si="18">L14-N14</f>
        <v>523</v>
      </c>
      <c r="N14" s="15">
        <v>0</v>
      </c>
      <c r="O14" s="58">
        <f t="shared" ref="O14" si="19">IF(L14=0,"0",N14/L14)</f>
        <v>0</v>
      </c>
      <c r="P14" s="39">
        <f t="shared" ref="P14" si="20">IF(L14=0,"0",(24-Q14))</f>
        <v>4</v>
      </c>
      <c r="Q14" s="40">
        <f t="shared" ref="Q14" si="21">SUM(R14:AA14)</f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ref="AB14" si="22">IF(J14=0,"0",(L14/J14))</f>
        <v>1</v>
      </c>
      <c r="AC14" s="9">
        <f t="shared" ref="AC14" si="23">IF(P14=0,"0",(P14/24))</f>
        <v>0.16666666666666666</v>
      </c>
      <c r="AD14" s="10">
        <f t="shared" ref="AD14" si="24">AC14*AB14*(1-O14)</f>
        <v>0.16666666666666666</v>
      </c>
      <c r="AE14" s="36">
        <f t="shared" si="7"/>
        <v>0.50694444444444442</v>
      </c>
      <c r="AF14" s="84">
        <f t="shared" ref="AF14" si="25">A14</f>
        <v>7</v>
      </c>
    </row>
    <row r="15" spans="1:32" ht="27" customHeight="1">
      <c r="A15" s="96">
        <v>8</v>
      </c>
      <c r="B15" s="11" t="s">
        <v>57</v>
      </c>
      <c r="C15" s="34" t="s">
        <v>121</v>
      </c>
      <c r="D15" s="52" t="s">
        <v>115</v>
      </c>
      <c r="E15" s="53" t="s">
        <v>263</v>
      </c>
      <c r="F15" s="30" t="s">
        <v>125</v>
      </c>
      <c r="G15" s="33">
        <v>3</v>
      </c>
      <c r="H15" s="35">
        <v>24</v>
      </c>
      <c r="I15" s="7">
        <v>500000</v>
      </c>
      <c r="J15" s="5">
        <v>11739</v>
      </c>
      <c r="K15" s="15">
        <f>L15+12212+20232+16256+9762+15771</f>
        <v>85972</v>
      </c>
      <c r="L15" s="15">
        <f>1263*3+2650*3</f>
        <v>11739</v>
      </c>
      <c r="M15" s="15">
        <f t="shared" si="0"/>
        <v>11739</v>
      </c>
      <c r="N15" s="15">
        <v>0</v>
      </c>
      <c r="O15" s="58">
        <f t="shared" si="1"/>
        <v>0</v>
      </c>
      <c r="P15" s="39">
        <f t="shared" si="2"/>
        <v>19</v>
      </c>
      <c r="Q15" s="40">
        <f t="shared" si="3"/>
        <v>5</v>
      </c>
      <c r="R15" s="7"/>
      <c r="S15" s="6">
        <v>5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0.79166666666666663</v>
      </c>
      <c r="AD15" s="10">
        <f>AC15*AB15*(1-O15)</f>
        <v>0.79166666666666663</v>
      </c>
      <c r="AE15" s="36">
        <f t="shared" si="7"/>
        <v>0.50694444444444442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121</v>
      </c>
      <c r="D16" s="52"/>
      <c r="E16" s="53" t="s">
        <v>319</v>
      </c>
      <c r="F16" s="30" t="s">
        <v>125</v>
      </c>
      <c r="G16" s="33" t="s">
        <v>328</v>
      </c>
      <c r="H16" s="35">
        <v>24</v>
      </c>
      <c r="I16" s="7">
        <v>2000</v>
      </c>
      <c r="J16" s="5">
        <v>3020</v>
      </c>
      <c r="K16" s="15">
        <f>L16+3004</f>
        <v>6024</v>
      </c>
      <c r="L16" s="15">
        <f>1510*2</f>
        <v>3020</v>
      </c>
      <c r="M16" s="15">
        <f t="shared" si="0"/>
        <v>3020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/>
      <c r="T16" s="16"/>
      <c r="U16" s="16"/>
      <c r="V16" s="17">
        <v>13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0.45833333333333331</v>
      </c>
      <c r="AD16" s="10">
        <f t="shared" si="17"/>
        <v>0.45833333333333331</v>
      </c>
      <c r="AE16" s="36">
        <f t="shared" si="7"/>
        <v>0.50694444444444442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611</v>
      </c>
      <c r="D17" s="52"/>
      <c r="E17" s="53" t="s">
        <v>612</v>
      </c>
      <c r="F17" s="12" t="s">
        <v>509</v>
      </c>
      <c r="G17" s="12">
        <v>5</v>
      </c>
      <c r="H17" s="13">
        <v>24</v>
      </c>
      <c r="I17" s="31">
        <v>40000</v>
      </c>
      <c r="J17" s="14">
        <v>4830</v>
      </c>
      <c r="K17" s="15">
        <f>L17</f>
        <v>4830</v>
      </c>
      <c r="L17" s="15">
        <f>966*5</f>
        <v>4830</v>
      </c>
      <c r="M17" s="15">
        <f t="shared" si="0"/>
        <v>4830</v>
      </c>
      <c r="N17" s="15">
        <v>0</v>
      </c>
      <c r="O17" s="58">
        <f t="shared" si="1"/>
        <v>0</v>
      </c>
      <c r="P17" s="39">
        <f t="shared" si="2"/>
        <v>5</v>
      </c>
      <c r="Q17" s="40">
        <f t="shared" si="3"/>
        <v>19</v>
      </c>
      <c r="R17" s="7"/>
      <c r="S17" s="6">
        <v>19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6">
        <f t="shared" si="7"/>
        <v>0.50694444444444442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121</v>
      </c>
      <c r="D18" s="52" t="s">
        <v>131</v>
      </c>
      <c r="E18" s="53" t="s">
        <v>368</v>
      </c>
      <c r="F18" s="30" t="s">
        <v>210</v>
      </c>
      <c r="G18" s="12">
        <v>4</v>
      </c>
      <c r="H18" s="13">
        <v>28</v>
      </c>
      <c r="I18" s="7">
        <f>105000-16000</f>
        <v>89000</v>
      </c>
      <c r="J18" s="14">
        <v>2740</v>
      </c>
      <c r="K18" s="15">
        <f>L18+13804+13644+15168+9596+5796+2740</f>
        <v>60748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0.50694444444444442</v>
      </c>
      <c r="AF18" s="84">
        <f t="shared" si="8"/>
        <v>11</v>
      </c>
    </row>
    <row r="19" spans="1:32" ht="27" customHeight="1">
      <c r="A19" s="95">
        <v>12</v>
      </c>
      <c r="B19" s="11" t="s">
        <v>57</v>
      </c>
      <c r="C19" s="34" t="s">
        <v>121</v>
      </c>
      <c r="D19" s="52" t="s">
        <v>131</v>
      </c>
      <c r="E19" s="53" t="s">
        <v>527</v>
      </c>
      <c r="F19" s="30" t="s">
        <v>132</v>
      </c>
      <c r="G19" s="33">
        <v>4</v>
      </c>
      <c r="H19" s="35">
        <v>24</v>
      </c>
      <c r="I19" s="7">
        <v>500000</v>
      </c>
      <c r="J19" s="5">
        <v>21416</v>
      </c>
      <c r="K19" s="15">
        <f>L19+19272+21812+22172+21128+22260+20792</f>
        <v>148852</v>
      </c>
      <c r="L19" s="15">
        <f>2579*4+2775*4</f>
        <v>21416</v>
      </c>
      <c r="M19" s="15">
        <f t="shared" si="0"/>
        <v>21416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0.50694444444444442</v>
      </c>
      <c r="AF19" s="84">
        <f t="shared" si="8"/>
        <v>12</v>
      </c>
    </row>
    <row r="20" spans="1:32" ht="27" customHeight="1">
      <c r="A20" s="113">
        <v>13</v>
      </c>
      <c r="B20" s="11" t="s">
        <v>57</v>
      </c>
      <c r="C20" s="34" t="s">
        <v>121</v>
      </c>
      <c r="D20" s="52" t="s">
        <v>568</v>
      </c>
      <c r="E20" s="53" t="s">
        <v>567</v>
      </c>
      <c r="F20" s="30" t="s">
        <v>124</v>
      </c>
      <c r="G20" s="12">
        <v>2</v>
      </c>
      <c r="H20" s="13">
        <v>28</v>
      </c>
      <c r="I20" s="31">
        <v>10000</v>
      </c>
      <c r="J20" s="5">
        <v>8720</v>
      </c>
      <c r="K20" s="15">
        <f>L20+8346+9732+8720</f>
        <v>26798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0.50694444444444442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120</v>
      </c>
      <c r="D21" s="52" t="s">
        <v>131</v>
      </c>
      <c r="E21" s="53" t="s">
        <v>586</v>
      </c>
      <c r="F21" s="30" t="s">
        <v>124</v>
      </c>
      <c r="G21" s="33">
        <v>1</v>
      </c>
      <c r="H21" s="35">
        <v>24</v>
      </c>
      <c r="I21" s="7">
        <v>12000</v>
      </c>
      <c r="J21" s="5">
        <v>4555</v>
      </c>
      <c r="K21" s="15">
        <f>L21+4353</f>
        <v>8908</v>
      </c>
      <c r="L21" s="15">
        <f>2208+2347</f>
        <v>4555</v>
      </c>
      <c r="M21" s="15">
        <f t="shared" si="0"/>
        <v>4555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>AC21*AB21*(1-O21)</f>
        <v>1</v>
      </c>
      <c r="AE21" s="36">
        <f t="shared" si="7"/>
        <v>0.50694444444444442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469</v>
      </c>
      <c r="F22" s="30" t="s">
        <v>119</v>
      </c>
      <c r="G22" s="33">
        <v>1</v>
      </c>
      <c r="H22" s="35">
        <v>24</v>
      </c>
      <c r="I22" s="7">
        <v>64000</v>
      </c>
      <c r="J22" s="14">
        <v>4913</v>
      </c>
      <c r="K22" s="15">
        <f>L22+4204+5394+5278+1522+3899+5224+5152+5164+2208+4924+654+3141+5593+2079+5343+5450+440+2090+4864+5654+5372</f>
        <v>88562</v>
      </c>
      <c r="L22" s="15">
        <f>2661+2252</f>
        <v>4913</v>
      </c>
      <c r="M22" s="15">
        <f t="shared" si="0"/>
        <v>4913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0.50694444444444442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432</v>
      </c>
      <c r="F23" s="12" t="s">
        <v>114</v>
      </c>
      <c r="G23" s="12">
        <v>4</v>
      </c>
      <c r="H23" s="35">
        <v>20</v>
      </c>
      <c r="I23" s="7">
        <v>500000</v>
      </c>
      <c r="J23" s="14">
        <v>39440</v>
      </c>
      <c r="K23" s="15">
        <f>L23+16808+39112+38440+39748+31140+68844+45656+37140+73976+32892</f>
        <v>463196</v>
      </c>
      <c r="L23" s="15">
        <f>9860*4</f>
        <v>39440</v>
      </c>
      <c r="M23" s="15">
        <f t="shared" si="0"/>
        <v>39440</v>
      </c>
      <c r="N23" s="15">
        <v>0</v>
      </c>
      <c r="O23" s="58">
        <f t="shared" si="1"/>
        <v>0</v>
      </c>
      <c r="P23" s="39">
        <f t="shared" si="2"/>
        <v>10</v>
      </c>
      <c r="Q23" s="40">
        <f t="shared" si="3"/>
        <v>14</v>
      </c>
      <c r="R23" s="7"/>
      <c r="S23" s="6"/>
      <c r="T23" s="16"/>
      <c r="U23" s="16"/>
      <c r="V23" s="17">
        <v>14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0.41666666666666669</v>
      </c>
      <c r="AD23" s="10">
        <f t="shared" si="6"/>
        <v>0.41666666666666669</v>
      </c>
      <c r="AE23" s="36">
        <f t="shared" si="7"/>
        <v>0.50694444444444442</v>
      </c>
      <c r="AF23" s="84">
        <f t="shared" si="8"/>
        <v>16</v>
      </c>
    </row>
    <row r="24" spans="1:32" ht="31.5" customHeight="1" thickBot="1">
      <c r="A24" s="545" t="s">
        <v>34</v>
      </c>
      <c r="B24" s="546"/>
      <c r="C24" s="546"/>
      <c r="D24" s="546"/>
      <c r="E24" s="546"/>
      <c r="F24" s="546"/>
      <c r="G24" s="546"/>
      <c r="H24" s="547"/>
      <c r="I24" s="22">
        <f t="shared" ref="I24:N24" si="26">SUM(I6:I23)</f>
        <v>1896700</v>
      </c>
      <c r="J24" s="19">
        <f t="shared" si="26"/>
        <v>193852</v>
      </c>
      <c r="K24" s="20">
        <f t="shared" si="26"/>
        <v>1022172</v>
      </c>
      <c r="L24" s="21">
        <f t="shared" si="26"/>
        <v>182392</v>
      </c>
      <c r="M24" s="20">
        <f t="shared" si="26"/>
        <v>182392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219</v>
      </c>
      <c r="Q24" s="43">
        <f t="shared" si="27"/>
        <v>213</v>
      </c>
      <c r="R24" s="23">
        <f t="shared" si="27"/>
        <v>24</v>
      </c>
      <c r="S24" s="24">
        <f t="shared" si="27"/>
        <v>69</v>
      </c>
      <c r="T24" s="24">
        <f t="shared" si="27"/>
        <v>7</v>
      </c>
      <c r="U24" s="24">
        <f t="shared" si="27"/>
        <v>0</v>
      </c>
      <c r="V24" s="25">
        <f t="shared" si="27"/>
        <v>27</v>
      </c>
      <c r="W24" s="26">
        <f t="shared" si="27"/>
        <v>62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24</v>
      </c>
      <c r="AB24" s="28">
        <f>AVERAGE(AB6:AB23)</f>
        <v>0.88888888888888884</v>
      </c>
      <c r="AC24" s="4">
        <f>AVERAGE(AC6:AC23)</f>
        <v>0.50694444444444442</v>
      </c>
      <c r="AD24" s="4">
        <f>AVERAGE(AD6:AD23)</f>
        <v>0.50694444444444442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48" t="s">
        <v>45</v>
      </c>
      <c r="B51" s="548"/>
      <c r="C51" s="548"/>
      <c r="D51" s="548"/>
      <c r="E51" s="5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49" t="s">
        <v>613</v>
      </c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1"/>
      <c r="N52" s="552" t="s">
        <v>618</v>
      </c>
      <c r="O52" s="553"/>
      <c r="P52" s="553"/>
      <c r="Q52" s="553"/>
      <c r="R52" s="553"/>
      <c r="S52" s="553"/>
      <c r="T52" s="553"/>
      <c r="U52" s="553"/>
      <c r="V52" s="553"/>
      <c r="W52" s="553"/>
      <c r="X52" s="553"/>
      <c r="Y52" s="553"/>
      <c r="Z52" s="553"/>
      <c r="AA52" s="553"/>
      <c r="AB52" s="553"/>
      <c r="AC52" s="553"/>
      <c r="AD52" s="554"/>
    </row>
    <row r="53" spans="1:32" ht="27" customHeight="1">
      <c r="A53" s="555" t="s">
        <v>2</v>
      </c>
      <c r="B53" s="556"/>
      <c r="C53" s="455" t="s">
        <v>46</v>
      </c>
      <c r="D53" s="455" t="s">
        <v>47</v>
      </c>
      <c r="E53" s="455" t="s">
        <v>107</v>
      </c>
      <c r="F53" s="557" t="s">
        <v>106</v>
      </c>
      <c r="G53" s="558"/>
      <c r="H53" s="558"/>
      <c r="I53" s="558"/>
      <c r="J53" s="558"/>
      <c r="K53" s="558"/>
      <c r="L53" s="558"/>
      <c r="M53" s="559"/>
      <c r="N53" s="67" t="s">
        <v>110</v>
      </c>
      <c r="O53" s="455" t="s">
        <v>46</v>
      </c>
      <c r="P53" s="557" t="s">
        <v>47</v>
      </c>
      <c r="Q53" s="560"/>
      <c r="R53" s="557" t="s">
        <v>38</v>
      </c>
      <c r="S53" s="558"/>
      <c r="T53" s="558"/>
      <c r="U53" s="560"/>
      <c r="V53" s="557" t="s">
        <v>48</v>
      </c>
      <c r="W53" s="558"/>
      <c r="X53" s="558"/>
      <c r="Y53" s="558"/>
      <c r="Z53" s="558"/>
      <c r="AA53" s="558"/>
      <c r="AB53" s="558"/>
      <c r="AC53" s="558"/>
      <c r="AD53" s="559"/>
    </row>
    <row r="54" spans="1:32" ht="27" customHeight="1">
      <c r="A54" s="526" t="s">
        <v>120</v>
      </c>
      <c r="B54" s="527"/>
      <c r="C54" s="452" t="s">
        <v>185</v>
      </c>
      <c r="D54" s="452" t="s">
        <v>165</v>
      </c>
      <c r="E54" s="452" t="s">
        <v>606</v>
      </c>
      <c r="F54" s="528" t="s">
        <v>118</v>
      </c>
      <c r="G54" s="529"/>
      <c r="H54" s="529"/>
      <c r="I54" s="529"/>
      <c r="J54" s="529"/>
      <c r="K54" s="529"/>
      <c r="L54" s="529"/>
      <c r="M54" s="530"/>
      <c r="N54" s="451" t="s">
        <v>123</v>
      </c>
      <c r="O54" s="449" t="s">
        <v>142</v>
      </c>
      <c r="P54" s="540"/>
      <c r="Q54" s="541"/>
      <c r="R54" s="540" t="s">
        <v>619</v>
      </c>
      <c r="S54" s="542"/>
      <c r="T54" s="542"/>
      <c r="U54" s="541"/>
      <c r="V54" s="510" t="s">
        <v>615</v>
      </c>
      <c r="W54" s="510"/>
      <c r="X54" s="510"/>
      <c r="Y54" s="510"/>
      <c r="Z54" s="510"/>
      <c r="AA54" s="510"/>
      <c r="AB54" s="510"/>
      <c r="AC54" s="510"/>
      <c r="AD54" s="531"/>
    </row>
    <row r="55" spans="1:32" ht="27" customHeight="1">
      <c r="A55" s="526" t="s">
        <v>557</v>
      </c>
      <c r="B55" s="527"/>
      <c r="C55" s="452" t="s">
        <v>137</v>
      </c>
      <c r="D55" s="452"/>
      <c r="E55" s="452" t="s">
        <v>614</v>
      </c>
      <c r="F55" s="528" t="s">
        <v>118</v>
      </c>
      <c r="G55" s="529"/>
      <c r="H55" s="529"/>
      <c r="I55" s="529"/>
      <c r="J55" s="529"/>
      <c r="K55" s="529"/>
      <c r="L55" s="529"/>
      <c r="M55" s="530"/>
      <c r="N55" s="451" t="s">
        <v>112</v>
      </c>
      <c r="O55" s="449" t="s">
        <v>214</v>
      </c>
      <c r="P55" s="540" t="s">
        <v>128</v>
      </c>
      <c r="Q55" s="541"/>
      <c r="R55" s="540" t="s">
        <v>562</v>
      </c>
      <c r="S55" s="542"/>
      <c r="T55" s="542"/>
      <c r="U55" s="541"/>
      <c r="V55" s="510" t="s">
        <v>177</v>
      </c>
      <c r="W55" s="510"/>
      <c r="X55" s="510"/>
      <c r="Y55" s="510"/>
      <c r="Z55" s="510"/>
      <c r="AA55" s="510"/>
      <c r="AB55" s="510"/>
      <c r="AC55" s="510"/>
      <c r="AD55" s="531"/>
    </row>
    <row r="56" spans="1:32" ht="27" customHeight="1">
      <c r="A56" s="526" t="s">
        <v>112</v>
      </c>
      <c r="B56" s="527"/>
      <c r="C56" s="452" t="s">
        <v>214</v>
      </c>
      <c r="D56" s="452" t="s">
        <v>128</v>
      </c>
      <c r="E56" s="452" t="s">
        <v>562</v>
      </c>
      <c r="F56" s="528" t="s">
        <v>472</v>
      </c>
      <c r="G56" s="529"/>
      <c r="H56" s="529"/>
      <c r="I56" s="529"/>
      <c r="J56" s="529"/>
      <c r="K56" s="529"/>
      <c r="L56" s="529"/>
      <c r="M56" s="530"/>
      <c r="N56" s="451" t="s">
        <v>112</v>
      </c>
      <c r="O56" s="449" t="s">
        <v>201</v>
      </c>
      <c r="P56" s="540" t="s">
        <v>115</v>
      </c>
      <c r="Q56" s="541"/>
      <c r="R56" s="540" t="s">
        <v>199</v>
      </c>
      <c r="S56" s="542"/>
      <c r="T56" s="542"/>
      <c r="U56" s="541"/>
      <c r="V56" s="510" t="s">
        <v>118</v>
      </c>
      <c r="W56" s="510"/>
      <c r="X56" s="510"/>
      <c r="Y56" s="510"/>
      <c r="Z56" s="510"/>
      <c r="AA56" s="510"/>
      <c r="AB56" s="510"/>
      <c r="AC56" s="510"/>
      <c r="AD56" s="531"/>
    </row>
    <row r="57" spans="1:32" ht="27" customHeight="1">
      <c r="A57" s="526" t="s">
        <v>123</v>
      </c>
      <c r="B57" s="527"/>
      <c r="C57" s="452" t="s">
        <v>142</v>
      </c>
      <c r="D57" s="452" t="s">
        <v>610</v>
      </c>
      <c r="E57" s="452" t="s">
        <v>596</v>
      </c>
      <c r="F57" s="528" t="s">
        <v>615</v>
      </c>
      <c r="G57" s="529"/>
      <c r="H57" s="529"/>
      <c r="I57" s="529"/>
      <c r="J57" s="529"/>
      <c r="K57" s="529"/>
      <c r="L57" s="529"/>
      <c r="M57" s="530"/>
      <c r="N57" s="451" t="s">
        <v>121</v>
      </c>
      <c r="O57" s="449" t="s">
        <v>239</v>
      </c>
      <c r="P57" s="540" t="s">
        <v>131</v>
      </c>
      <c r="Q57" s="541"/>
      <c r="R57" s="540" t="s">
        <v>461</v>
      </c>
      <c r="S57" s="542"/>
      <c r="T57" s="542"/>
      <c r="U57" s="541"/>
      <c r="V57" s="510" t="s">
        <v>151</v>
      </c>
      <c r="W57" s="510"/>
      <c r="X57" s="510"/>
      <c r="Y57" s="510"/>
      <c r="Z57" s="510"/>
      <c r="AA57" s="510"/>
      <c r="AB57" s="510"/>
      <c r="AC57" s="510"/>
      <c r="AD57" s="531"/>
    </row>
    <row r="58" spans="1:32" ht="27" customHeight="1">
      <c r="A58" s="526" t="s">
        <v>120</v>
      </c>
      <c r="B58" s="527"/>
      <c r="C58" s="452" t="s">
        <v>261</v>
      </c>
      <c r="D58" s="452" t="s">
        <v>134</v>
      </c>
      <c r="E58" s="452" t="s">
        <v>160</v>
      </c>
      <c r="F58" s="528" t="s">
        <v>118</v>
      </c>
      <c r="G58" s="529"/>
      <c r="H58" s="529"/>
      <c r="I58" s="529"/>
      <c r="J58" s="529"/>
      <c r="K58" s="529"/>
      <c r="L58" s="529"/>
      <c r="M58" s="530"/>
      <c r="N58" s="451" t="s">
        <v>599</v>
      </c>
      <c r="O58" s="449" t="s">
        <v>180</v>
      </c>
      <c r="P58" s="540"/>
      <c r="Q58" s="541"/>
      <c r="R58" s="540" t="s">
        <v>598</v>
      </c>
      <c r="S58" s="542"/>
      <c r="T58" s="542"/>
      <c r="U58" s="541"/>
      <c r="V58" s="510" t="s">
        <v>151</v>
      </c>
      <c r="W58" s="510"/>
      <c r="X58" s="510"/>
      <c r="Y58" s="510"/>
      <c r="Z58" s="510"/>
      <c r="AA58" s="510"/>
      <c r="AB58" s="510"/>
      <c r="AC58" s="510"/>
      <c r="AD58" s="531"/>
    </row>
    <row r="59" spans="1:32" ht="27" customHeight="1">
      <c r="A59" s="526" t="s">
        <v>112</v>
      </c>
      <c r="B59" s="527"/>
      <c r="C59" s="452" t="s">
        <v>239</v>
      </c>
      <c r="D59" s="452" t="s">
        <v>115</v>
      </c>
      <c r="E59" s="452" t="s">
        <v>597</v>
      </c>
      <c r="F59" s="528" t="s">
        <v>616</v>
      </c>
      <c r="G59" s="529"/>
      <c r="H59" s="529"/>
      <c r="I59" s="529"/>
      <c r="J59" s="529"/>
      <c r="K59" s="529"/>
      <c r="L59" s="529"/>
      <c r="M59" s="530"/>
      <c r="N59" s="451" t="s">
        <v>120</v>
      </c>
      <c r="O59" s="449" t="s">
        <v>185</v>
      </c>
      <c r="P59" s="540" t="s">
        <v>165</v>
      </c>
      <c r="Q59" s="541"/>
      <c r="R59" s="540" t="s">
        <v>538</v>
      </c>
      <c r="S59" s="542"/>
      <c r="T59" s="542"/>
      <c r="U59" s="541"/>
      <c r="V59" s="510" t="s">
        <v>615</v>
      </c>
      <c r="W59" s="510"/>
      <c r="X59" s="510"/>
      <c r="Y59" s="510"/>
      <c r="Z59" s="510"/>
      <c r="AA59" s="510"/>
      <c r="AB59" s="510"/>
      <c r="AC59" s="510"/>
      <c r="AD59" s="531"/>
    </row>
    <row r="60" spans="1:32" ht="27" customHeight="1">
      <c r="A60" s="526" t="s">
        <v>611</v>
      </c>
      <c r="B60" s="527"/>
      <c r="C60" s="452" t="s">
        <v>180</v>
      </c>
      <c r="D60" s="452"/>
      <c r="E60" s="452" t="s">
        <v>598</v>
      </c>
      <c r="F60" s="528" t="s">
        <v>617</v>
      </c>
      <c r="G60" s="529"/>
      <c r="H60" s="529"/>
      <c r="I60" s="529"/>
      <c r="J60" s="529"/>
      <c r="K60" s="529"/>
      <c r="L60" s="529"/>
      <c r="M60" s="530"/>
      <c r="N60" s="451"/>
      <c r="O60" s="449"/>
      <c r="P60" s="540"/>
      <c r="Q60" s="541"/>
      <c r="R60" s="527"/>
      <c r="S60" s="527"/>
      <c r="T60" s="527"/>
      <c r="U60" s="527"/>
      <c r="V60" s="510"/>
      <c r="W60" s="510"/>
      <c r="X60" s="510"/>
      <c r="Y60" s="510"/>
      <c r="Z60" s="510"/>
      <c r="AA60" s="510"/>
      <c r="AB60" s="510"/>
      <c r="AC60" s="510"/>
      <c r="AD60" s="531"/>
    </row>
    <row r="61" spans="1:32" ht="27" customHeight="1">
      <c r="A61" s="526"/>
      <c r="B61" s="527"/>
      <c r="C61" s="452"/>
      <c r="D61" s="452"/>
      <c r="E61" s="452"/>
      <c r="F61" s="528"/>
      <c r="G61" s="529"/>
      <c r="H61" s="529"/>
      <c r="I61" s="529"/>
      <c r="J61" s="529"/>
      <c r="K61" s="529"/>
      <c r="L61" s="529"/>
      <c r="M61" s="530"/>
      <c r="N61" s="451"/>
      <c r="O61" s="449"/>
      <c r="P61" s="540"/>
      <c r="Q61" s="541"/>
      <c r="R61" s="527"/>
      <c r="S61" s="527"/>
      <c r="T61" s="527"/>
      <c r="U61" s="527"/>
      <c r="V61" s="510"/>
      <c r="W61" s="510"/>
      <c r="X61" s="510"/>
      <c r="Y61" s="510"/>
      <c r="Z61" s="510"/>
      <c r="AA61" s="510"/>
      <c r="AB61" s="510"/>
      <c r="AC61" s="510"/>
      <c r="AD61" s="531"/>
    </row>
    <row r="62" spans="1:32" ht="27" customHeight="1">
      <c r="A62" s="526"/>
      <c r="B62" s="527"/>
      <c r="C62" s="452"/>
      <c r="D62" s="452"/>
      <c r="E62" s="452"/>
      <c r="F62" s="528"/>
      <c r="G62" s="529"/>
      <c r="H62" s="529"/>
      <c r="I62" s="529"/>
      <c r="J62" s="529"/>
      <c r="K62" s="529"/>
      <c r="L62" s="529"/>
      <c r="M62" s="530"/>
      <c r="N62" s="451"/>
      <c r="O62" s="449"/>
      <c r="P62" s="527"/>
      <c r="Q62" s="527"/>
      <c r="R62" s="527"/>
      <c r="S62" s="527"/>
      <c r="T62" s="527"/>
      <c r="U62" s="527"/>
      <c r="V62" s="510"/>
      <c r="W62" s="510"/>
      <c r="X62" s="510"/>
      <c r="Y62" s="510"/>
      <c r="Z62" s="510"/>
      <c r="AA62" s="510"/>
      <c r="AB62" s="510"/>
      <c r="AC62" s="510"/>
      <c r="AD62" s="531"/>
      <c r="AF62" s="84">
        <f>8*3000</f>
        <v>24000</v>
      </c>
    </row>
    <row r="63" spans="1:32" ht="27" customHeight="1" thickBot="1">
      <c r="A63" s="532"/>
      <c r="B63" s="533"/>
      <c r="C63" s="453"/>
      <c r="D63" s="454"/>
      <c r="E63" s="454"/>
      <c r="F63" s="534"/>
      <c r="G63" s="535"/>
      <c r="H63" s="535"/>
      <c r="I63" s="535"/>
      <c r="J63" s="535"/>
      <c r="K63" s="535"/>
      <c r="L63" s="535"/>
      <c r="M63" s="536"/>
      <c r="N63" s="112"/>
      <c r="O63" s="103"/>
      <c r="P63" s="537"/>
      <c r="Q63" s="537"/>
      <c r="R63" s="537"/>
      <c r="S63" s="537"/>
      <c r="T63" s="537"/>
      <c r="U63" s="537"/>
      <c r="V63" s="538"/>
      <c r="W63" s="538"/>
      <c r="X63" s="538"/>
      <c r="Y63" s="538"/>
      <c r="Z63" s="538"/>
      <c r="AA63" s="538"/>
      <c r="AB63" s="538"/>
      <c r="AC63" s="538"/>
      <c r="AD63" s="539"/>
      <c r="AF63" s="84">
        <f>16*3000</f>
        <v>48000</v>
      </c>
    </row>
    <row r="64" spans="1:32" ht="27.75" thickBot="1">
      <c r="A64" s="524" t="s">
        <v>620</v>
      </c>
      <c r="B64" s="524"/>
      <c r="C64" s="524"/>
      <c r="D64" s="524"/>
      <c r="E64" s="52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25" t="s">
        <v>111</v>
      </c>
      <c r="B65" s="520"/>
      <c r="C65" s="450" t="s">
        <v>2</v>
      </c>
      <c r="D65" s="450" t="s">
        <v>37</v>
      </c>
      <c r="E65" s="450" t="s">
        <v>3</v>
      </c>
      <c r="F65" s="520" t="s">
        <v>109</v>
      </c>
      <c r="G65" s="520"/>
      <c r="H65" s="520"/>
      <c r="I65" s="520"/>
      <c r="J65" s="520"/>
      <c r="K65" s="520" t="s">
        <v>39</v>
      </c>
      <c r="L65" s="520"/>
      <c r="M65" s="450" t="s">
        <v>40</v>
      </c>
      <c r="N65" s="520" t="s">
        <v>41</v>
      </c>
      <c r="O65" s="520"/>
      <c r="P65" s="517" t="s">
        <v>42</v>
      </c>
      <c r="Q65" s="519"/>
      <c r="R65" s="517" t="s">
        <v>43</v>
      </c>
      <c r="S65" s="518"/>
      <c r="T65" s="518"/>
      <c r="U65" s="518"/>
      <c r="V65" s="518"/>
      <c r="W65" s="518"/>
      <c r="X65" s="518"/>
      <c r="Y65" s="518"/>
      <c r="Z65" s="518"/>
      <c r="AA65" s="519"/>
      <c r="AB65" s="520" t="s">
        <v>44</v>
      </c>
      <c r="AC65" s="520"/>
      <c r="AD65" s="521"/>
      <c r="AF65" s="84">
        <f>SUM(AF62:AF64)</f>
        <v>96000</v>
      </c>
    </row>
    <row r="66" spans="1:32" ht="25.5" customHeight="1">
      <c r="A66" s="503">
        <v>1</v>
      </c>
      <c r="B66" s="504"/>
      <c r="C66" s="105" t="s">
        <v>120</v>
      </c>
      <c r="D66" s="445"/>
      <c r="E66" s="448" t="s">
        <v>165</v>
      </c>
      <c r="F66" s="513" t="s">
        <v>606</v>
      </c>
      <c r="G66" s="514"/>
      <c r="H66" s="514"/>
      <c r="I66" s="514"/>
      <c r="J66" s="515"/>
      <c r="K66" s="497">
        <v>8301</v>
      </c>
      <c r="L66" s="497"/>
      <c r="M66" s="51" t="s">
        <v>248</v>
      </c>
      <c r="N66" s="511" t="s">
        <v>185</v>
      </c>
      <c r="O66" s="511"/>
      <c r="P66" s="512">
        <v>50</v>
      </c>
      <c r="Q66" s="512"/>
      <c r="R66" s="510"/>
      <c r="S66" s="510"/>
      <c r="T66" s="510"/>
      <c r="U66" s="510"/>
      <c r="V66" s="510"/>
      <c r="W66" s="510"/>
      <c r="X66" s="510"/>
      <c r="Y66" s="510"/>
      <c r="Z66" s="510"/>
      <c r="AA66" s="510"/>
      <c r="AB66" s="516"/>
      <c r="AC66" s="522"/>
      <c r="AD66" s="523"/>
      <c r="AF66" s="50"/>
    </row>
    <row r="67" spans="1:32" ht="25.5" customHeight="1">
      <c r="A67" s="503">
        <v>2</v>
      </c>
      <c r="B67" s="504"/>
      <c r="C67" s="105" t="s">
        <v>120</v>
      </c>
      <c r="D67" s="445"/>
      <c r="E67" s="448" t="s">
        <v>115</v>
      </c>
      <c r="F67" s="513" t="s">
        <v>621</v>
      </c>
      <c r="G67" s="514"/>
      <c r="H67" s="514"/>
      <c r="I67" s="514"/>
      <c r="J67" s="515"/>
      <c r="K67" s="497">
        <v>7301</v>
      </c>
      <c r="L67" s="497"/>
      <c r="M67" s="51" t="s">
        <v>248</v>
      </c>
      <c r="N67" s="511" t="s">
        <v>147</v>
      </c>
      <c r="O67" s="511"/>
      <c r="P67" s="512">
        <v>50</v>
      </c>
      <c r="Q67" s="512"/>
      <c r="R67" s="510"/>
      <c r="S67" s="510"/>
      <c r="T67" s="510"/>
      <c r="U67" s="510"/>
      <c r="V67" s="510"/>
      <c r="W67" s="510"/>
      <c r="X67" s="510"/>
      <c r="Y67" s="510"/>
      <c r="Z67" s="510"/>
      <c r="AA67" s="510"/>
      <c r="AB67" s="497"/>
      <c r="AC67" s="497"/>
      <c r="AD67" s="498"/>
      <c r="AF67" s="50"/>
    </row>
    <row r="68" spans="1:32" ht="25.5" customHeight="1">
      <c r="A68" s="503">
        <v>3</v>
      </c>
      <c r="B68" s="504"/>
      <c r="C68" s="105" t="s">
        <v>120</v>
      </c>
      <c r="D68" s="445"/>
      <c r="E68" s="448" t="s">
        <v>196</v>
      </c>
      <c r="F68" s="513" t="s">
        <v>622</v>
      </c>
      <c r="G68" s="514"/>
      <c r="H68" s="514"/>
      <c r="I68" s="514"/>
      <c r="J68" s="515"/>
      <c r="K68" s="497" t="s">
        <v>256</v>
      </c>
      <c r="L68" s="497"/>
      <c r="M68" s="51" t="s">
        <v>248</v>
      </c>
      <c r="N68" s="511" t="s">
        <v>147</v>
      </c>
      <c r="O68" s="511"/>
      <c r="P68" s="512">
        <v>50</v>
      </c>
      <c r="Q68" s="512"/>
      <c r="R68" s="510"/>
      <c r="S68" s="510"/>
      <c r="T68" s="510"/>
      <c r="U68" s="510"/>
      <c r="V68" s="510"/>
      <c r="W68" s="510"/>
      <c r="X68" s="510"/>
      <c r="Y68" s="510"/>
      <c r="Z68" s="510"/>
      <c r="AA68" s="510"/>
      <c r="AB68" s="497"/>
      <c r="AC68" s="497"/>
      <c r="AD68" s="498"/>
      <c r="AF68" s="50"/>
    </row>
    <row r="69" spans="1:32" ht="25.5" customHeight="1">
      <c r="A69" s="503">
        <v>4</v>
      </c>
      <c r="B69" s="504"/>
      <c r="C69" s="105"/>
      <c r="D69" s="445"/>
      <c r="E69" s="448"/>
      <c r="F69" s="513"/>
      <c r="G69" s="514"/>
      <c r="H69" s="514"/>
      <c r="I69" s="514"/>
      <c r="J69" s="515"/>
      <c r="K69" s="497"/>
      <c r="L69" s="497"/>
      <c r="M69" s="51"/>
      <c r="N69" s="511"/>
      <c r="O69" s="511"/>
      <c r="P69" s="512"/>
      <c r="Q69" s="512"/>
      <c r="R69" s="510"/>
      <c r="S69" s="510"/>
      <c r="T69" s="510"/>
      <c r="U69" s="510"/>
      <c r="V69" s="510"/>
      <c r="W69" s="510"/>
      <c r="X69" s="510"/>
      <c r="Y69" s="510"/>
      <c r="Z69" s="510"/>
      <c r="AA69" s="510"/>
      <c r="AB69" s="497"/>
      <c r="AC69" s="497"/>
      <c r="AD69" s="498"/>
      <c r="AF69" s="50"/>
    </row>
    <row r="70" spans="1:32" ht="25.5" customHeight="1">
      <c r="A70" s="503">
        <v>5</v>
      </c>
      <c r="B70" s="504"/>
      <c r="C70" s="105"/>
      <c r="D70" s="445"/>
      <c r="E70" s="448"/>
      <c r="F70" s="513"/>
      <c r="G70" s="514"/>
      <c r="H70" s="514"/>
      <c r="I70" s="514"/>
      <c r="J70" s="515"/>
      <c r="K70" s="497"/>
      <c r="L70" s="497"/>
      <c r="M70" s="51"/>
      <c r="N70" s="511"/>
      <c r="O70" s="511"/>
      <c r="P70" s="512"/>
      <c r="Q70" s="512"/>
      <c r="R70" s="510"/>
      <c r="S70" s="510"/>
      <c r="T70" s="510"/>
      <c r="U70" s="510"/>
      <c r="V70" s="510"/>
      <c r="W70" s="510"/>
      <c r="X70" s="510"/>
      <c r="Y70" s="510"/>
      <c r="Z70" s="510"/>
      <c r="AA70" s="510"/>
      <c r="AB70" s="497"/>
      <c r="AC70" s="497"/>
      <c r="AD70" s="498"/>
      <c r="AF70" s="50"/>
    </row>
    <row r="71" spans="1:32" ht="25.5" customHeight="1">
      <c r="A71" s="503">
        <v>6</v>
      </c>
      <c r="B71" s="504"/>
      <c r="C71" s="105"/>
      <c r="D71" s="445"/>
      <c r="E71" s="448"/>
      <c r="F71" s="513"/>
      <c r="G71" s="514"/>
      <c r="H71" s="514"/>
      <c r="I71" s="514"/>
      <c r="J71" s="515"/>
      <c r="K71" s="497"/>
      <c r="L71" s="497"/>
      <c r="M71" s="51"/>
      <c r="N71" s="511"/>
      <c r="O71" s="511"/>
      <c r="P71" s="512"/>
      <c r="Q71" s="512"/>
      <c r="R71" s="510"/>
      <c r="S71" s="510"/>
      <c r="T71" s="510"/>
      <c r="U71" s="510"/>
      <c r="V71" s="510"/>
      <c r="W71" s="510"/>
      <c r="X71" s="510"/>
      <c r="Y71" s="510"/>
      <c r="Z71" s="510"/>
      <c r="AA71" s="510"/>
      <c r="AB71" s="497"/>
      <c r="AC71" s="497"/>
      <c r="AD71" s="498"/>
      <c r="AF71" s="50"/>
    </row>
    <row r="72" spans="1:32" ht="25.5" customHeight="1">
      <c r="A72" s="503">
        <v>7</v>
      </c>
      <c r="B72" s="504"/>
      <c r="C72" s="105"/>
      <c r="D72" s="445"/>
      <c r="E72" s="448"/>
      <c r="F72" s="505"/>
      <c r="G72" s="497"/>
      <c r="H72" s="497"/>
      <c r="I72" s="497"/>
      <c r="J72" s="497"/>
      <c r="K72" s="497"/>
      <c r="L72" s="497"/>
      <c r="M72" s="51"/>
      <c r="N72" s="511"/>
      <c r="O72" s="511"/>
      <c r="P72" s="512"/>
      <c r="Q72" s="512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497"/>
      <c r="AC72" s="497"/>
      <c r="AD72" s="498"/>
      <c r="AF72" s="50"/>
    </row>
    <row r="73" spans="1:32" ht="25.5" customHeight="1">
      <c r="A73" s="503">
        <v>8</v>
      </c>
      <c r="B73" s="504"/>
      <c r="C73" s="105"/>
      <c r="D73" s="445"/>
      <c r="E73" s="448"/>
      <c r="F73" s="505"/>
      <c r="G73" s="497"/>
      <c r="H73" s="497"/>
      <c r="I73" s="497"/>
      <c r="J73" s="497"/>
      <c r="K73" s="497"/>
      <c r="L73" s="497"/>
      <c r="M73" s="51"/>
      <c r="N73" s="511"/>
      <c r="O73" s="511"/>
      <c r="P73" s="512"/>
      <c r="Q73" s="512"/>
      <c r="R73" s="510"/>
      <c r="S73" s="510"/>
      <c r="T73" s="510"/>
      <c r="U73" s="510"/>
      <c r="V73" s="510"/>
      <c r="W73" s="510"/>
      <c r="X73" s="510"/>
      <c r="Y73" s="510"/>
      <c r="Z73" s="510"/>
      <c r="AA73" s="510"/>
      <c r="AB73" s="497"/>
      <c r="AC73" s="497"/>
      <c r="AD73" s="498"/>
      <c r="AF73" s="50"/>
    </row>
    <row r="74" spans="1:32" ht="25.5" customHeight="1">
      <c r="A74" s="503">
        <v>9</v>
      </c>
      <c r="B74" s="504"/>
      <c r="C74" s="105"/>
      <c r="D74" s="445"/>
      <c r="E74" s="448"/>
      <c r="F74" s="505"/>
      <c r="G74" s="497"/>
      <c r="H74" s="497"/>
      <c r="I74" s="497"/>
      <c r="J74" s="497"/>
      <c r="K74" s="497"/>
      <c r="L74" s="497"/>
      <c r="M74" s="51"/>
      <c r="N74" s="511"/>
      <c r="O74" s="511"/>
      <c r="P74" s="512"/>
      <c r="Q74" s="512"/>
      <c r="R74" s="510"/>
      <c r="S74" s="510"/>
      <c r="T74" s="510"/>
      <c r="U74" s="510"/>
      <c r="V74" s="510"/>
      <c r="W74" s="510"/>
      <c r="X74" s="510"/>
      <c r="Y74" s="510"/>
      <c r="Z74" s="510"/>
      <c r="AA74" s="510"/>
      <c r="AB74" s="497"/>
      <c r="AC74" s="497"/>
      <c r="AD74" s="498"/>
      <c r="AF74" s="50"/>
    </row>
    <row r="75" spans="1:32" ht="25.5" customHeight="1">
      <c r="A75" s="503">
        <v>10</v>
      </c>
      <c r="B75" s="504"/>
      <c r="C75" s="105"/>
      <c r="D75" s="445"/>
      <c r="E75" s="448"/>
      <c r="F75" s="505"/>
      <c r="G75" s="497"/>
      <c r="H75" s="497"/>
      <c r="I75" s="497"/>
      <c r="J75" s="497"/>
      <c r="K75" s="497"/>
      <c r="L75" s="497"/>
      <c r="M75" s="51"/>
      <c r="N75" s="511"/>
      <c r="O75" s="511"/>
      <c r="P75" s="512"/>
      <c r="Q75" s="512"/>
      <c r="R75" s="510"/>
      <c r="S75" s="510"/>
      <c r="T75" s="510"/>
      <c r="U75" s="510"/>
      <c r="V75" s="510"/>
      <c r="W75" s="510"/>
      <c r="X75" s="510"/>
      <c r="Y75" s="510"/>
      <c r="Z75" s="510"/>
      <c r="AA75" s="510"/>
      <c r="AB75" s="497"/>
      <c r="AC75" s="497"/>
      <c r="AD75" s="498"/>
      <c r="AF75" s="50"/>
    </row>
    <row r="76" spans="1:32" ht="26.25" customHeight="1" thickBot="1">
      <c r="A76" s="477" t="s">
        <v>623</v>
      </c>
      <c r="B76" s="477"/>
      <c r="C76" s="477"/>
      <c r="D76" s="477"/>
      <c r="E76" s="47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8" t="s">
        <v>111</v>
      </c>
      <c r="B77" s="479"/>
      <c r="C77" s="447" t="s">
        <v>2</v>
      </c>
      <c r="D77" s="447" t="s">
        <v>37</v>
      </c>
      <c r="E77" s="447" t="s">
        <v>3</v>
      </c>
      <c r="F77" s="479" t="s">
        <v>38</v>
      </c>
      <c r="G77" s="479"/>
      <c r="H77" s="479"/>
      <c r="I77" s="479"/>
      <c r="J77" s="479"/>
      <c r="K77" s="499" t="s">
        <v>58</v>
      </c>
      <c r="L77" s="500"/>
      <c r="M77" s="500"/>
      <c r="N77" s="500"/>
      <c r="O77" s="500"/>
      <c r="P77" s="500"/>
      <c r="Q77" s="500"/>
      <c r="R77" s="500"/>
      <c r="S77" s="501"/>
      <c r="T77" s="479" t="s">
        <v>49</v>
      </c>
      <c r="U77" s="479"/>
      <c r="V77" s="499" t="s">
        <v>50</v>
      </c>
      <c r="W77" s="501"/>
      <c r="X77" s="500" t="s">
        <v>51</v>
      </c>
      <c r="Y77" s="500"/>
      <c r="Z77" s="500"/>
      <c r="AA77" s="500"/>
      <c r="AB77" s="500"/>
      <c r="AC77" s="500"/>
      <c r="AD77" s="502"/>
      <c r="AF77" s="50"/>
    </row>
    <row r="78" spans="1:32" ht="33.75" customHeight="1">
      <c r="A78" s="471">
        <v>1</v>
      </c>
      <c r="B78" s="472"/>
      <c r="C78" s="446" t="s">
        <v>112</v>
      </c>
      <c r="D78" s="446"/>
      <c r="E78" s="65" t="s">
        <v>117</v>
      </c>
      <c r="F78" s="486" t="s">
        <v>116</v>
      </c>
      <c r="G78" s="487"/>
      <c r="H78" s="487"/>
      <c r="I78" s="487"/>
      <c r="J78" s="488"/>
      <c r="K78" s="489" t="s">
        <v>122</v>
      </c>
      <c r="L78" s="490"/>
      <c r="M78" s="490"/>
      <c r="N78" s="490"/>
      <c r="O78" s="490"/>
      <c r="P78" s="490"/>
      <c r="Q78" s="490"/>
      <c r="R78" s="490"/>
      <c r="S78" s="491"/>
      <c r="T78" s="492">
        <v>43675</v>
      </c>
      <c r="U78" s="493"/>
      <c r="V78" s="494"/>
      <c r="W78" s="494"/>
      <c r="X78" s="495"/>
      <c r="Y78" s="495"/>
      <c r="Z78" s="495"/>
      <c r="AA78" s="495"/>
      <c r="AB78" s="495"/>
      <c r="AC78" s="495"/>
      <c r="AD78" s="496"/>
      <c r="AF78" s="50"/>
    </row>
    <row r="79" spans="1:32" ht="30" customHeight="1">
      <c r="A79" s="464">
        <f>A78+1</f>
        <v>2</v>
      </c>
      <c r="B79" s="465"/>
      <c r="C79" s="445"/>
      <c r="D79" s="445"/>
      <c r="E79" s="32"/>
      <c r="F79" s="465"/>
      <c r="G79" s="465"/>
      <c r="H79" s="465"/>
      <c r="I79" s="465"/>
      <c r="J79" s="465"/>
      <c r="K79" s="480"/>
      <c r="L79" s="481"/>
      <c r="M79" s="481"/>
      <c r="N79" s="481"/>
      <c r="O79" s="481"/>
      <c r="P79" s="481"/>
      <c r="Q79" s="481"/>
      <c r="R79" s="481"/>
      <c r="S79" s="482"/>
      <c r="T79" s="483"/>
      <c r="U79" s="483"/>
      <c r="V79" s="483"/>
      <c r="W79" s="483"/>
      <c r="X79" s="484"/>
      <c r="Y79" s="484"/>
      <c r="Z79" s="484"/>
      <c r="AA79" s="484"/>
      <c r="AB79" s="484"/>
      <c r="AC79" s="484"/>
      <c r="AD79" s="485"/>
      <c r="AF79" s="50"/>
    </row>
    <row r="80" spans="1:32" ht="30" customHeight="1">
      <c r="A80" s="464">
        <f t="shared" ref="A80:A84" si="28">A79+1</f>
        <v>3</v>
      </c>
      <c r="B80" s="465"/>
      <c r="C80" s="445"/>
      <c r="D80" s="445"/>
      <c r="E80" s="32"/>
      <c r="F80" s="465"/>
      <c r="G80" s="465"/>
      <c r="H80" s="465"/>
      <c r="I80" s="465"/>
      <c r="J80" s="465"/>
      <c r="K80" s="480"/>
      <c r="L80" s="481"/>
      <c r="M80" s="481"/>
      <c r="N80" s="481"/>
      <c r="O80" s="481"/>
      <c r="P80" s="481"/>
      <c r="Q80" s="481"/>
      <c r="R80" s="481"/>
      <c r="S80" s="482"/>
      <c r="T80" s="483"/>
      <c r="U80" s="483"/>
      <c r="V80" s="483"/>
      <c r="W80" s="483"/>
      <c r="X80" s="484"/>
      <c r="Y80" s="484"/>
      <c r="Z80" s="484"/>
      <c r="AA80" s="484"/>
      <c r="AB80" s="484"/>
      <c r="AC80" s="484"/>
      <c r="AD80" s="485"/>
      <c r="AF80" s="50"/>
    </row>
    <row r="81" spans="1:32" ht="30" customHeight="1">
      <c r="A81" s="464">
        <f t="shared" si="28"/>
        <v>4</v>
      </c>
      <c r="B81" s="465"/>
      <c r="C81" s="445"/>
      <c r="D81" s="445"/>
      <c r="E81" s="32"/>
      <c r="F81" s="465"/>
      <c r="G81" s="465"/>
      <c r="H81" s="465"/>
      <c r="I81" s="465"/>
      <c r="J81" s="465"/>
      <c r="K81" s="480"/>
      <c r="L81" s="481"/>
      <c r="M81" s="481"/>
      <c r="N81" s="481"/>
      <c r="O81" s="481"/>
      <c r="P81" s="481"/>
      <c r="Q81" s="481"/>
      <c r="R81" s="481"/>
      <c r="S81" s="482"/>
      <c r="T81" s="483"/>
      <c r="U81" s="483"/>
      <c r="V81" s="483"/>
      <c r="W81" s="483"/>
      <c r="X81" s="484"/>
      <c r="Y81" s="484"/>
      <c r="Z81" s="484"/>
      <c r="AA81" s="484"/>
      <c r="AB81" s="484"/>
      <c r="AC81" s="484"/>
      <c r="AD81" s="485"/>
      <c r="AF81" s="50"/>
    </row>
    <row r="82" spans="1:32" ht="30" customHeight="1">
      <c r="A82" s="464">
        <f t="shared" si="28"/>
        <v>5</v>
      </c>
      <c r="B82" s="465"/>
      <c r="C82" s="445"/>
      <c r="D82" s="445"/>
      <c r="E82" s="32"/>
      <c r="F82" s="465"/>
      <c r="G82" s="465"/>
      <c r="H82" s="465"/>
      <c r="I82" s="465"/>
      <c r="J82" s="465"/>
      <c r="K82" s="480"/>
      <c r="L82" s="481"/>
      <c r="M82" s="481"/>
      <c r="N82" s="481"/>
      <c r="O82" s="481"/>
      <c r="P82" s="481"/>
      <c r="Q82" s="481"/>
      <c r="R82" s="481"/>
      <c r="S82" s="482"/>
      <c r="T82" s="483"/>
      <c r="U82" s="483"/>
      <c r="V82" s="483"/>
      <c r="W82" s="483"/>
      <c r="X82" s="484"/>
      <c r="Y82" s="484"/>
      <c r="Z82" s="484"/>
      <c r="AA82" s="484"/>
      <c r="AB82" s="484"/>
      <c r="AC82" s="484"/>
      <c r="AD82" s="485"/>
      <c r="AF82" s="50"/>
    </row>
    <row r="83" spans="1:32" ht="30" customHeight="1">
      <c r="A83" s="464">
        <f t="shared" si="28"/>
        <v>6</v>
      </c>
      <c r="B83" s="465"/>
      <c r="C83" s="445"/>
      <c r="D83" s="445"/>
      <c r="E83" s="32"/>
      <c r="F83" s="465"/>
      <c r="G83" s="465"/>
      <c r="H83" s="465"/>
      <c r="I83" s="465"/>
      <c r="J83" s="465"/>
      <c r="K83" s="480"/>
      <c r="L83" s="481"/>
      <c r="M83" s="481"/>
      <c r="N83" s="481"/>
      <c r="O83" s="481"/>
      <c r="P83" s="481"/>
      <c r="Q83" s="481"/>
      <c r="R83" s="481"/>
      <c r="S83" s="482"/>
      <c r="T83" s="483"/>
      <c r="U83" s="483"/>
      <c r="V83" s="483"/>
      <c r="W83" s="483"/>
      <c r="X83" s="484"/>
      <c r="Y83" s="484"/>
      <c r="Z83" s="484"/>
      <c r="AA83" s="484"/>
      <c r="AB83" s="484"/>
      <c r="AC83" s="484"/>
      <c r="AD83" s="485"/>
      <c r="AF83" s="50"/>
    </row>
    <row r="84" spans="1:32" ht="30" customHeight="1">
      <c r="A84" s="464">
        <f t="shared" si="28"/>
        <v>7</v>
      </c>
      <c r="B84" s="465"/>
      <c r="C84" s="445"/>
      <c r="D84" s="445"/>
      <c r="E84" s="32"/>
      <c r="F84" s="465"/>
      <c r="G84" s="465"/>
      <c r="H84" s="465"/>
      <c r="I84" s="465"/>
      <c r="J84" s="465"/>
      <c r="K84" s="480"/>
      <c r="L84" s="481"/>
      <c r="M84" s="481"/>
      <c r="N84" s="481"/>
      <c r="O84" s="481"/>
      <c r="P84" s="481"/>
      <c r="Q84" s="481"/>
      <c r="R84" s="481"/>
      <c r="S84" s="482"/>
      <c r="T84" s="483"/>
      <c r="U84" s="483"/>
      <c r="V84" s="483"/>
      <c r="W84" s="483"/>
      <c r="X84" s="484"/>
      <c r="Y84" s="484"/>
      <c r="Z84" s="484"/>
      <c r="AA84" s="484"/>
      <c r="AB84" s="484"/>
      <c r="AC84" s="484"/>
      <c r="AD84" s="485"/>
      <c r="AF84" s="50"/>
    </row>
    <row r="85" spans="1:32" ht="36" thickBot="1">
      <c r="A85" s="477" t="s">
        <v>624</v>
      </c>
      <c r="B85" s="477"/>
      <c r="C85" s="477"/>
      <c r="D85" s="477"/>
      <c r="E85" s="47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8" t="s">
        <v>111</v>
      </c>
      <c r="B86" s="479"/>
      <c r="C86" s="469" t="s">
        <v>52</v>
      </c>
      <c r="D86" s="469"/>
      <c r="E86" s="469" t="s">
        <v>53</v>
      </c>
      <c r="F86" s="469"/>
      <c r="G86" s="469"/>
      <c r="H86" s="469"/>
      <c r="I86" s="469"/>
      <c r="J86" s="469"/>
      <c r="K86" s="469" t="s">
        <v>54</v>
      </c>
      <c r="L86" s="469"/>
      <c r="M86" s="469"/>
      <c r="N86" s="469"/>
      <c r="O86" s="469"/>
      <c r="P86" s="469"/>
      <c r="Q86" s="469"/>
      <c r="R86" s="469"/>
      <c r="S86" s="469"/>
      <c r="T86" s="469" t="s">
        <v>55</v>
      </c>
      <c r="U86" s="469"/>
      <c r="V86" s="469" t="s">
        <v>56</v>
      </c>
      <c r="W86" s="469"/>
      <c r="X86" s="469"/>
      <c r="Y86" s="469" t="s">
        <v>51</v>
      </c>
      <c r="Z86" s="469"/>
      <c r="AA86" s="469"/>
      <c r="AB86" s="469"/>
      <c r="AC86" s="469"/>
      <c r="AD86" s="470"/>
      <c r="AF86" s="50"/>
    </row>
    <row r="87" spans="1:32" ht="30.75" customHeight="1">
      <c r="A87" s="471">
        <v>1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4"/>
      <c r="W87" s="474"/>
      <c r="X87" s="474"/>
      <c r="Y87" s="475"/>
      <c r="Z87" s="475"/>
      <c r="AA87" s="475"/>
      <c r="AB87" s="475"/>
      <c r="AC87" s="475"/>
      <c r="AD87" s="476"/>
      <c r="AF87" s="50"/>
    </row>
    <row r="88" spans="1:32" ht="30.75" customHeight="1">
      <c r="A88" s="464">
        <v>2</v>
      </c>
      <c r="B88" s="465"/>
      <c r="C88" s="466"/>
      <c r="D88" s="466"/>
      <c r="E88" s="466"/>
      <c r="F88" s="466"/>
      <c r="G88" s="466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7"/>
      <c r="U88" s="467"/>
      <c r="V88" s="468"/>
      <c r="W88" s="468"/>
      <c r="X88" s="468"/>
      <c r="Y88" s="457"/>
      <c r="Z88" s="457"/>
      <c r="AA88" s="457"/>
      <c r="AB88" s="457"/>
      <c r="AC88" s="457"/>
      <c r="AD88" s="458"/>
      <c r="AF88" s="50"/>
    </row>
    <row r="89" spans="1:32" ht="30.75" customHeight="1" thickBot="1">
      <c r="A89" s="459">
        <v>3</v>
      </c>
      <c r="B89" s="460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  <c r="Y89" s="462"/>
      <c r="Z89" s="462"/>
      <c r="AA89" s="462"/>
      <c r="AB89" s="462"/>
      <c r="AC89" s="462"/>
      <c r="AD89" s="463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7" sqref="AI7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83" t="s">
        <v>164</v>
      </c>
      <c r="B1" s="583"/>
      <c r="C1" s="583"/>
      <c r="D1" s="583"/>
      <c r="E1" s="583"/>
      <c r="F1" s="583"/>
      <c r="G1" s="583"/>
      <c r="H1" s="583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4" t="s">
        <v>60</v>
      </c>
      <c r="B3" s="115"/>
      <c r="C3" s="115">
        <f>'02'!AD6</f>
        <v>0</v>
      </c>
      <c r="D3" s="116">
        <f>'03'!AD6+'03'!AD7</f>
        <v>0.95833333333333326</v>
      </c>
      <c r="E3" s="116">
        <f>'04'!AD6</f>
        <v>0.625</v>
      </c>
      <c r="F3" s="116">
        <f>'05'!AD6</f>
        <v>1</v>
      </c>
      <c r="G3" s="116">
        <f>'06'!AD6</f>
        <v>1</v>
      </c>
      <c r="H3" s="116">
        <f>'07'!AD6</f>
        <v>1</v>
      </c>
      <c r="I3" s="116">
        <f>'08'!AD6</f>
        <v>0.41666666666666669</v>
      </c>
      <c r="J3" s="116">
        <f>'09'!AD6</f>
        <v>1</v>
      </c>
      <c r="K3" s="116">
        <f>'10'!AD6</f>
        <v>1</v>
      </c>
      <c r="L3" s="116">
        <f>'11'!AD6</f>
        <v>1</v>
      </c>
      <c r="M3" s="116">
        <f>'12'!AD6</f>
        <v>0.83333333333333337</v>
      </c>
      <c r="N3" s="117">
        <f>'13'!AD6</f>
        <v>1</v>
      </c>
      <c r="O3" s="116">
        <f>'14'!AD6</f>
        <v>0.95833333333333337</v>
      </c>
      <c r="P3" s="116">
        <f>'15'!AD6</f>
        <v>0.41666666666666669</v>
      </c>
      <c r="Q3" s="116">
        <f>'16'!AD6</f>
        <v>1</v>
      </c>
      <c r="R3" s="116">
        <f>'17'!AD6</f>
        <v>1</v>
      </c>
      <c r="S3" s="116">
        <f>'18'!AD6</f>
        <v>1</v>
      </c>
      <c r="T3" s="116">
        <f>'19'!AD6</f>
        <v>1</v>
      </c>
      <c r="U3" s="116">
        <f>'20'!AD6</f>
        <v>1</v>
      </c>
      <c r="V3" s="116">
        <f>'21'!AD6</f>
        <v>1</v>
      </c>
      <c r="W3" s="117">
        <f>'22'!AD6</f>
        <v>0</v>
      </c>
      <c r="X3" s="116">
        <f>'23'!AD6</f>
        <v>0</v>
      </c>
      <c r="Y3" s="116">
        <f>'24'!AD6</f>
        <v>0</v>
      </c>
      <c r="Z3" s="116">
        <f>'25'!AD6</f>
        <v>0.75</v>
      </c>
      <c r="AA3" s="116">
        <f>'26'!AD6</f>
        <v>1</v>
      </c>
      <c r="AB3" s="116">
        <f>'27'!AD6</f>
        <v>0</v>
      </c>
      <c r="AC3" s="116">
        <f>'28'!AD6</f>
        <v>0</v>
      </c>
      <c r="AD3" s="116"/>
      <c r="AE3" s="116">
        <f>'30'!AD6</f>
        <v>0</v>
      </c>
      <c r="AF3" s="118">
        <f>'31'!AD6</f>
        <v>0.29166666666666669</v>
      </c>
      <c r="AG3" s="119">
        <f>SUM(B3:AF3)/31</f>
        <v>0.62096774193548399</v>
      </c>
    </row>
    <row r="4" spans="1:33" ht="21.75" customHeight="1">
      <c r="A4" s="101" t="s">
        <v>61</v>
      </c>
      <c r="B4" s="98"/>
      <c r="C4" s="98">
        <f>'02'!AD7</f>
        <v>0</v>
      </c>
      <c r="D4" s="77">
        <f>'03'!AD8</f>
        <v>0.625</v>
      </c>
      <c r="E4" s="77">
        <f>'04'!AD7</f>
        <v>0.33333333333333331</v>
      </c>
      <c r="F4" s="77">
        <f>'05'!AD7</f>
        <v>0</v>
      </c>
      <c r="G4" s="77">
        <f>'06'!AD7</f>
        <v>0</v>
      </c>
      <c r="H4" s="77">
        <f>'07'!AD7</f>
        <v>0</v>
      </c>
      <c r="I4" s="77">
        <f>'08'!AD7</f>
        <v>0</v>
      </c>
      <c r="J4" s="77">
        <f>'09'!AD7</f>
        <v>0</v>
      </c>
      <c r="K4" s="77">
        <f>'10'!AD7</f>
        <v>0</v>
      </c>
      <c r="L4" s="77">
        <f>'11'!AD7</f>
        <v>0.75</v>
      </c>
      <c r="M4" s="77">
        <f>'12'!AD7</f>
        <v>1</v>
      </c>
      <c r="N4" s="77">
        <f>'13'!AD7</f>
        <v>1</v>
      </c>
      <c r="O4" s="77">
        <f>'14'!AD7</f>
        <v>1.0020131771595902</v>
      </c>
      <c r="P4" s="77">
        <f>'15'!AD7</f>
        <v>0.41666666666666669</v>
      </c>
      <c r="Q4" s="77">
        <f>'16'!AD7</f>
        <v>1</v>
      </c>
      <c r="R4" s="77">
        <f>'17'!AD7</f>
        <v>1</v>
      </c>
      <c r="S4" s="77">
        <f>'18'!AD7</f>
        <v>1</v>
      </c>
      <c r="T4" s="77">
        <f>'19'!AD7</f>
        <v>0</v>
      </c>
      <c r="U4" s="77">
        <f>'20'!AD7</f>
        <v>0.66666666666666663</v>
      </c>
      <c r="V4" s="77">
        <f>'21'!AD7</f>
        <v>0.66666666666666663</v>
      </c>
      <c r="W4" s="77">
        <f>'22'!AD7</f>
        <v>0</v>
      </c>
      <c r="X4" s="77">
        <f>'23'!AD7</f>
        <v>0</v>
      </c>
      <c r="Y4" s="77">
        <f>'24'!AD7</f>
        <v>0</v>
      </c>
      <c r="Z4" s="77">
        <f>'25'!AD7</f>
        <v>0</v>
      </c>
      <c r="AA4" s="77">
        <f>'26'!AD7</f>
        <v>0</v>
      </c>
      <c r="AB4" s="77">
        <f>'27'!AD7</f>
        <v>0</v>
      </c>
      <c r="AC4" s="77">
        <f>'28'!AD7</f>
        <v>0</v>
      </c>
      <c r="AD4" s="77"/>
      <c r="AE4" s="77">
        <f>'30'!AD7</f>
        <v>0.20833333333333334</v>
      </c>
      <c r="AF4" s="78">
        <f>'31'!AD7+'31'!AD8</f>
        <v>0.41666666666666669</v>
      </c>
      <c r="AG4" s="79">
        <f t="shared" ref="AG4:AG19" si="0">SUM(B4:AF4)/31</f>
        <v>0.3253337584029975</v>
      </c>
    </row>
    <row r="5" spans="1:33" ht="21.75" customHeight="1">
      <c r="A5" s="100" t="s">
        <v>62</v>
      </c>
      <c r="B5" s="97"/>
      <c r="C5" s="97">
        <f>'02'!AD8</f>
        <v>0.79166666666666663</v>
      </c>
      <c r="D5" s="74">
        <f>'03'!AD9</f>
        <v>1</v>
      </c>
      <c r="E5" s="74">
        <f>'04'!AD8</f>
        <v>1</v>
      </c>
      <c r="F5" s="74">
        <f>'05'!AD8</f>
        <v>1</v>
      </c>
      <c r="G5" s="74">
        <f>'06'!AD8</f>
        <v>1</v>
      </c>
      <c r="H5" s="74">
        <f>'07'!AD8</f>
        <v>1</v>
      </c>
      <c r="I5" s="74">
        <f>'08'!AD8</f>
        <v>0.41666666666666669</v>
      </c>
      <c r="J5" s="74">
        <f>'09'!AD8</f>
        <v>1</v>
      </c>
      <c r="K5" s="74">
        <f>'10'!AD8</f>
        <v>0.91666666666666663</v>
      </c>
      <c r="L5" s="74">
        <f>'11'!AD8</f>
        <v>0</v>
      </c>
      <c r="M5" s="74">
        <f>'12'!AD8</f>
        <v>0.75</v>
      </c>
      <c r="N5" s="74">
        <f>'13'!AD8</f>
        <v>0.91666666666666663</v>
      </c>
      <c r="O5" s="74">
        <f>'14'!AD8</f>
        <v>1</v>
      </c>
      <c r="P5" s="74">
        <f>'15'!AD8</f>
        <v>0.41666666666666669</v>
      </c>
      <c r="Q5" s="74">
        <f>'16'!AD8</f>
        <v>1</v>
      </c>
      <c r="R5" s="74">
        <f>'17'!AD8</f>
        <v>1</v>
      </c>
      <c r="S5" s="74">
        <f>'18'!AD8</f>
        <v>0.91666666666666663</v>
      </c>
      <c r="T5" s="74">
        <f>'19'!AD8</f>
        <v>0.58333333333333337</v>
      </c>
      <c r="U5" s="74">
        <f>'20'!AD8</f>
        <v>1</v>
      </c>
      <c r="V5" s="74">
        <f>'21'!AD8</f>
        <v>1</v>
      </c>
      <c r="W5" s="104">
        <f>'22'!AD8</f>
        <v>0.41666666666666669</v>
      </c>
      <c r="X5" s="74">
        <f>'23'!AD8</f>
        <v>1</v>
      </c>
      <c r="Y5" s="74">
        <f>'24'!AD8</f>
        <v>0.875</v>
      </c>
      <c r="Z5" s="74">
        <f>'25'!AD8</f>
        <v>0.875</v>
      </c>
      <c r="AA5" s="74">
        <f>'26'!AD8</f>
        <v>0</v>
      </c>
      <c r="AB5" s="74">
        <f>'27'!AD8</f>
        <v>0</v>
      </c>
      <c r="AC5" s="74">
        <f>'28'!AD8</f>
        <v>0</v>
      </c>
      <c r="AD5" s="74"/>
      <c r="AE5" s="74">
        <f>'30'!AD8</f>
        <v>0.875</v>
      </c>
      <c r="AF5" s="75">
        <f>'31'!AD9</f>
        <v>1</v>
      </c>
      <c r="AG5" s="76">
        <f t="shared" si="0"/>
        <v>0.70161290322580649</v>
      </c>
    </row>
    <row r="6" spans="1:33" ht="21.75" customHeight="1">
      <c r="A6" s="101" t="s">
        <v>63</v>
      </c>
      <c r="B6" s="98"/>
      <c r="C6" s="98">
        <f>'02'!AD9</f>
        <v>0.83333333333333337</v>
      </c>
      <c r="D6" s="77">
        <f>'03'!AD10</f>
        <v>0</v>
      </c>
      <c r="E6" s="77">
        <f>'04'!AD9</f>
        <v>0</v>
      </c>
      <c r="F6" s="77">
        <f>'05'!AD9</f>
        <v>0</v>
      </c>
      <c r="G6" s="77">
        <f>'06'!AD9</f>
        <v>1</v>
      </c>
      <c r="H6" s="77">
        <f>'07'!AD9</f>
        <v>1</v>
      </c>
      <c r="I6" s="77">
        <f>'08'!AD9</f>
        <v>0.41666666666666669</v>
      </c>
      <c r="J6" s="77">
        <f>'09'!AD9</f>
        <v>0.95833333333333337</v>
      </c>
      <c r="K6" s="77">
        <f>'10'!AD9</f>
        <v>0.33333333333333331</v>
      </c>
      <c r="L6" s="77">
        <f>'11'!AD9</f>
        <v>0.20833333333333334</v>
      </c>
      <c r="M6" s="77">
        <f>'12'!AD9</f>
        <v>0.41666666666666669</v>
      </c>
      <c r="N6" s="77">
        <f>'13'!AD9</f>
        <v>0.33333333333333331</v>
      </c>
      <c r="O6" s="77">
        <f>'14'!AD9</f>
        <v>0.45833333333333331</v>
      </c>
      <c r="P6" s="77">
        <f>'15'!AD9</f>
        <v>0.25</v>
      </c>
      <c r="Q6" s="77">
        <f>'16'!AD9</f>
        <v>1</v>
      </c>
      <c r="R6" s="77">
        <f>'17'!AD9</f>
        <v>1</v>
      </c>
      <c r="S6" s="77">
        <f>'18'!AD9</f>
        <v>1</v>
      </c>
      <c r="T6" s="77">
        <f>'19'!AD9</f>
        <v>1</v>
      </c>
      <c r="U6" s="77">
        <f>'20'!AD9</f>
        <v>1</v>
      </c>
      <c r="V6" s="77">
        <f>'21'!AD9+'21'!AD10</f>
        <v>0.66666666666666674</v>
      </c>
      <c r="W6" s="77">
        <f>'22'!AD9</f>
        <v>0.41666666666666669</v>
      </c>
      <c r="X6" s="77">
        <f>'23'!AD9</f>
        <v>0</v>
      </c>
      <c r="Y6" s="77">
        <f>'24'!AD9</f>
        <v>0.25</v>
      </c>
      <c r="Z6" s="77">
        <f>'25'!AD9</f>
        <v>0</v>
      </c>
      <c r="AA6" s="77">
        <f>'26'!AD9</f>
        <v>0.29166666666666669</v>
      </c>
      <c r="AB6" s="77">
        <f>'27'!AD9+'27'!AD10</f>
        <v>0.45833333333333337</v>
      </c>
      <c r="AC6" s="77">
        <f>'28'!AD9</f>
        <v>0</v>
      </c>
      <c r="AD6" s="77"/>
      <c r="AE6" s="77">
        <f>'30'!AD9</f>
        <v>0</v>
      </c>
      <c r="AF6" s="78">
        <f>'31'!AD10</f>
        <v>0.70833333333333337</v>
      </c>
      <c r="AG6" s="79">
        <f t="shared" si="0"/>
        <v>0.45161290322580638</v>
      </c>
    </row>
    <row r="7" spans="1:33" ht="21.75" customHeight="1">
      <c r="A7" s="101" t="s">
        <v>64</v>
      </c>
      <c r="B7" s="98"/>
      <c r="C7" s="98">
        <f>'02'!AD10</f>
        <v>1</v>
      </c>
      <c r="D7" s="77">
        <f>'03'!AD11</f>
        <v>0.16666666666666666</v>
      </c>
      <c r="E7" s="77">
        <f>'04'!AD10</f>
        <v>0</v>
      </c>
      <c r="F7" s="77">
        <f>'05'!AD10</f>
        <v>0.91666666666666663</v>
      </c>
      <c r="G7" s="77">
        <f>'06'!AD10</f>
        <v>1</v>
      </c>
      <c r="H7" s="77">
        <f>'07'!AD10</f>
        <v>1</v>
      </c>
      <c r="I7" s="77">
        <f>'08'!AD10</f>
        <v>0.41666666666666669</v>
      </c>
      <c r="J7" s="77">
        <f>'09'!AD10</f>
        <v>1</v>
      </c>
      <c r="K7" s="77">
        <f>'10'!AD10</f>
        <v>0.5</v>
      </c>
      <c r="L7" s="77">
        <f>'11'!AD10</f>
        <v>1</v>
      </c>
      <c r="M7" s="77">
        <f>'12'!AD10</f>
        <v>1</v>
      </c>
      <c r="N7" s="77">
        <f>'13'!AD10</f>
        <v>0.83333333333333337</v>
      </c>
      <c r="O7" s="77">
        <f>'14'!AD10</f>
        <v>0</v>
      </c>
      <c r="P7" s="77">
        <f>'15'!AD10</f>
        <v>0</v>
      </c>
      <c r="Q7" s="77">
        <f>'16'!AD10</f>
        <v>1</v>
      </c>
      <c r="R7" s="77">
        <f>'17'!AD10</f>
        <v>1</v>
      </c>
      <c r="S7" s="77">
        <f>'18'!AD10</f>
        <v>1</v>
      </c>
      <c r="T7" s="77">
        <f>'19'!AD10</f>
        <v>1</v>
      </c>
      <c r="U7" s="77">
        <f>'20'!AD10</f>
        <v>1</v>
      </c>
      <c r="V7" s="77">
        <f>'21'!AD11</f>
        <v>0.54166666666666663</v>
      </c>
      <c r="W7" s="77">
        <f>'22'!AD10</f>
        <v>0.16666666666666666</v>
      </c>
      <c r="X7" s="77">
        <f>'23'!AD10</f>
        <v>0.95833333333333337</v>
      </c>
      <c r="Y7" s="77">
        <f>'24'!AD10</f>
        <v>0.79166666666666663</v>
      </c>
      <c r="Z7" s="77">
        <f>'25'!AD10</f>
        <v>0.91666666666666663</v>
      </c>
      <c r="AA7" s="77">
        <f>'26'!AD10+'26'!AD11</f>
        <v>0.375</v>
      </c>
      <c r="AB7" s="77">
        <f>'27'!AD11</f>
        <v>0.91666666666666663</v>
      </c>
      <c r="AC7" s="77">
        <f>'28'!AD10</f>
        <v>0.95833333333333337</v>
      </c>
      <c r="AD7" s="77"/>
      <c r="AE7" s="77">
        <f>'30'!AD10</f>
        <v>0.5</v>
      </c>
      <c r="AF7" s="78">
        <f>'31'!AD11</f>
        <v>0.79166666666666663</v>
      </c>
      <c r="AG7" s="79">
        <f t="shared" si="0"/>
        <v>0.66935483870967749</v>
      </c>
    </row>
    <row r="8" spans="1:33" ht="21.75" customHeight="1">
      <c r="A8" s="101" t="s">
        <v>65</v>
      </c>
      <c r="B8" s="98"/>
      <c r="C8" s="98">
        <f>'02'!AD11</f>
        <v>0.875</v>
      </c>
      <c r="D8" s="77">
        <f>'03'!AD12+'03'!AD13</f>
        <v>0.83333333333333337</v>
      </c>
      <c r="E8" s="77">
        <f>'04'!AD11+'04'!AD12</f>
        <v>0.625</v>
      </c>
      <c r="F8" s="77">
        <f>'05'!AD11</f>
        <v>0.91666666666666663</v>
      </c>
      <c r="G8" s="77">
        <f>'06'!AD11</f>
        <v>0.875</v>
      </c>
      <c r="H8" s="77">
        <f>'07'!AD11</f>
        <v>1</v>
      </c>
      <c r="I8" s="77">
        <f>'08'!AD11</f>
        <v>0.41666666666666669</v>
      </c>
      <c r="J8" s="77">
        <f>'09'!AD11</f>
        <v>1</v>
      </c>
      <c r="K8" s="77">
        <f>'10'!AD11</f>
        <v>0.79166666666666663</v>
      </c>
      <c r="L8" s="77">
        <f>'11'!AD11</f>
        <v>1</v>
      </c>
      <c r="M8" s="77">
        <f>'12'!AD11</f>
        <v>1</v>
      </c>
      <c r="N8" s="77">
        <f>'13'!AD11</f>
        <v>0.58333333333333337</v>
      </c>
      <c r="O8" s="77">
        <f>'14'!AD11</f>
        <v>0.54166666666666663</v>
      </c>
      <c r="P8" s="77">
        <f>'15'!AD11</f>
        <v>8.3333333333333329E-2</v>
      </c>
      <c r="Q8" s="77">
        <f>'16'!AD11</f>
        <v>1</v>
      </c>
      <c r="R8" s="77">
        <f>'17'!AD11</f>
        <v>1</v>
      </c>
      <c r="S8" s="77">
        <f>'18'!AD11</f>
        <v>1</v>
      </c>
      <c r="T8" s="77">
        <f>'19'!AD11</f>
        <v>0.58333333333333337</v>
      </c>
      <c r="U8" s="77">
        <f>'20'!AD11</f>
        <v>0.91666666666666663</v>
      </c>
      <c r="V8" s="77">
        <f>'21'!AD12</f>
        <v>1</v>
      </c>
      <c r="W8" s="77">
        <f>'22'!AD11</f>
        <v>0.41666666666666669</v>
      </c>
      <c r="X8" s="77">
        <f>'23'!AD11</f>
        <v>1</v>
      </c>
      <c r="Y8" s="77">
        <f>'24'!AD11</f>
        <v>1</v>
      </c>
      <c r="Z8" s="77">
        <f>'25'!AD11</f>
        <v>0.41666666666666669</v>
      </c>
      <c r="AA8" s="77">
        <f>'26'!AD12</f>
        <v>0.75</v>
      </c>
      <c r="AB8" s="77">
        <f>'27'!AD12</f>
        <v>1</v>
      </c>
      <c r="AC8" s="77">
        <f>'28'!AD11+'28'!AD12</f>
        <v>0.29166666666666663</v>
      </c>
      <c r="AD8" s="77"/>
      <c r="AE8" s="77">
        <f>'30'!AD11</f>
        <v>0.20833333333333334</v>
      </c>
      <c r="AF8" s="78">
        <f>'31'!AD12</f>
        <v>0.70833333333333337</v>
      </c>
      <c r="AG8" s="79">
        <f t="shared" si="0"/>
        <v>0.70430107526881724</v>
      </c>
    </row>
    <row r="9" spans="1:33" ht="21.75" customHeight="1">
      <c r="A9" s="101" t="s">
        <v>66</v>
      </c>
      <c r="B9" s="98"/>
      <c r="C9" s="98">
        <f>'02'!AD12</f>
        <v>1</v>
      </c>
      <c r="D9" s="77">
        <f>'03'!AD14</f>
        <v>0.875</v>
      </c>
      <c r="E9" s="77">
        <f>'04'!AD13</f>
        <v>1</v>
      </c>
      <c r="F9" s="77">
        <f>'05'!AD12</f>
        <v>0.54166666666666663</v>
      </c>
      <c r="G9" s="77">
        <f>'06'!AD12</f>
        <v>1</v>
      </c>
      <c r="H9" s="77">
        <f>'07'!AD12</f>
        <v>0.91666666666666663</v>
      </c>
      <c r="I9" s="77">
        <f>'08'!AD12</f>
        <v>0.375</v>
      </c>
      <c r="J9" s="77">
        <f>'09'!AD12</f>
        <v>1</v>
      </c>
      <c r="K9" s="77">
        <f>'10'!AD12</f>
        <v>1</v>
      </c>
      <c r="L9" s="77">
        <f>'11'!AD12</f>
        <v>1</v>
      </c>
      <c r="M9" s="77">
        <f>'12'!AD12</f>
        <v>0.95833333333333337</v>
      </c>
      <c r="N9" s="77">
        <f>'13'!AD12</f>
        <v>0.54166666666666663</v>
      </c>
      <c r="O9" s="77">
        <f>'14'!AD12</f>
        <v>0.58333333333333337</v>
      </c>
      <c r="P9" s="77">
        <f>'15'!AD12</f>
        <v>0</v>
      </c>
      <c r="Q9" s="77">
        <f>'16'!AD12</f>
        <v>0.79166666666666663</v>
      </c>
      <c r="R9" s="77">
        <f>'17'!AD12</f>
        <v>1</v>
      </c>
      <c r="S9" s="77">
        <f>'18'!AD12</f>
        <v>1</v>
      </c>
      <c r="T9" s="77">
        <f>'19'!AD12</f>
        <v>0.875</v>
      </c>
      <c r="U9" s="77">
        <f>'20'!AD12</f>
        <v>1</v>
      </c>
      <c r="V9" s="77">
        <f>'21'!AD13+'21'!AD14</f>
        <v>0.83333333333333326</v>
      </c>
      <c r="W9" s="77">
        <f>'22'!AD12</f>
        <v>0.30576736867586546</v>
      </c>
      <c r="X9" s="77">
        <f>'23'!AD12</f>
        <v>1</v>
      </c>
      <c r="Y9" s="77">
        <f>'24'!AD12</f>
        <v>0.91666666666666663</v>
      </c>
      <c r="Z9" s="77">
        <f>'25'!AD12</f>
        <v>1</v>
      </c>
      <c r="AA9" s="77">
        <f>'26'!AD13</f>
        <v>1</v>
      </c>
      <c r="AB9" s="77">
        <f>'27'!AD13+'27'!AD14</f>
        <v>0.5</v>
      </c>
      <c r="AC9" s="77">
        <f>'28'!AD13</f>
        <v>1</v>
      </c>
      <c r="AD9" s="77"/>
      <c r="AE9" s="77">
        <f>'30'!AD12</f>
        <v>1</v>
      </c>
      <c r="AF9" s="78">
        <f>'31'!AD13+'31'!AD14</f>
        <v>0.33333333333333331</v>
      </c>
      <c r="AG9" s="79">
        <f t="shared" si="0"/>
        <v>0.75314303339814614</v>
      </c>
    </row>
    <row r="10" spans="1:33" ht="21.75" customHeight="1">
      <c r="A10" s="101" t="s">
        <v>67</v>
      </c>
      <c r="B10" s="98"/>
      <c r="C10" s="98">
        <f>'02'!AD13</f>
        <v>0.75</v>
      </c>
      <c r="D10" s="77">
        <f>'03'!AD15</f>
        <v>0.16666666666666666</v>
      </c>
      <c r="E10" s="77">
        <f>'04'!AD14</f>
        <v>0</v>
      </c>
      <c r="F10" s="77">
        <f>'05'!AD13</f>
        <v>0.54166666666666663</v>
      </c>
      <c r="G10" s="77">
        <f>'06'!AD13</f>
        <v>0.95833333333333337</v>
      </c>
      <c r="H10" s="77">
        <f>'07'!AD13</f>
        <v>0.95833333333333337</v>
      </c>
      <c r="I10" s="77">
        <f>'08'!AD13</f>
        <v>0.29166666666666669</v>
      </c>
      <c r="J10" s="77">
        <f>'09'!AD13</f>
        <v>1</v>
      </c>
      <c r="K10" s="77">
        <f>'10'!AD13</f>
        <v>0.75</v>
      </c>
      <c r="L10" s="77">
        <f>'11'!AD13+'11'!AD14+'11'!AD15</f>
        <v>0.41666666666666663</v>
      </c>
      <c r="M10" s="77">
        <f>'12'!AD13</f>
        <v>0.70833333333333337</v>
      </c>
      <c r="N10" s="77">
        <f>'13'!AD13</f>
        <v>1</v>
      </c>
      <c r="O10" s="77">
        <f>'14'!AD13</f>
        <v>0.41666666666666669</v>
      </c>
      <c r="P10" s="77">
        <f>'15'!AD13</f>
        <v>0.41666666666666669</v>
      </c>
      <c r="Q10" s="77">
        <f>'16'!AD13</f>
        <v>0.875</v>
      </c>
      <c r="R10" s="77">
        <f>'17'!AD13</f>
        <v>1</v>
      </c>
      <c r="S10" s="77">
        <f>'18'!AD13</f>
        <v>1</v>
      </c>
      <c r="T10" s="77">
        <f>'19'!AD13</f>
        <v>1</v>
      </c>
      <c r="U10" s="77">
        <f>'20'!AD13+'20'!AD14</f>
        <v>0.79166666666666663</v>
      </c>
      <c r="V10" s="77">
        <f>'21'!AD15</f>
        <v>1</v>
      </c>
      <c r="W10" s="77">
        <f>'22'!AD13</f>
        <v>0.41666666666666669</v>
      </c>
      <c r="X10" s="77">
        <f>'23'!AD14+'23'!AD13</f>
        <v>0.65508030488634816</v>
      </c>
      <c r="Y10" s="77">
        <f>'24'!AD13+'24'!AD14</f>
        <v>0.41666666666666669</v>
      </c>
      <c r="Z10" s="77">
        <f>'25'!AD13</f>
        <v>0</v>
      </c>
      <c r="AA10" s="77">
        <f>'26'!AD14</f>
        <v>0.66666666666666663</v>
      </c>
      <c r="AB10" s="77">
        <f>'27'!AD15</f>
        <v>0.41666666666666669</v>
      </c>
      <c r="AC10" s="77">
        <f>'28'!AD14+'28'!AD15</f>
        <v>0.83333333333333326</v>
      </c>
      <c r="AD10" s="77"/>
      <c r="AE10" s="77">
        <f>'30'!AD13</f>
        <v>1</v>
      </c>
      <c r="AF10" s="78">
        <f>'31'!AD15</f>
        <v>0.79166666666666663</v>
      </c>
      <c r="AG10" s="79">
        <f t="shared" si="0"/>
        <v>0.62059398832966717</v>
      </c>
    </row>
    <row r="11" spans="1:33" ht="21.75" customHeight="1">
      <c r="A11" s="107" t="s">
        <v>68</v>
      </c>
      <c r="B11" s="108"/>
      <c r="C11" s="108">
        <f>'02'!AD14</f>
        <v>0</v>
      </c>
      <c r="D11" s="109">
        <f>'03'!AD16</f>
        <v>0</v>
      </c>
      <c r="E11" s="109">
        <f>'04'!AD15</f>
        <v>0</v>
      </c>
      <c r="F11" s="109">
        <f>'05'!AD14</f>
        <v>0</v>
      </c>
      <c r="G11" s="109">
        <f>'06'!AD14</f>
        <v>0.16666666666666666</v>
      </c>
      <c r="H11" s="109">
        <f>'07'!AD14</f>
        <v>0</v>
      </c>
      <c r="I11" s="109">
        <f>'08'!AD14</f>
        <v>0</v>
      </c>
      <c r="J11" s="109">
        <f>'09'!AD14</f>
        <v>0.375</v>
      </c>
      <c r="K11" s="109">
        <f>'10'!AD14</f>
        <v>0.45833333333333331</v>
      </c>
      <c r="L11" s="109">
        <f>'11'!AD16</f>
        <v>0</v>
      </c>
      <c r="M11" s="109">
        <f>'12'!AD14</f>
        <v>0</v>
      </c>
      <c r="N11" s="109">
        <f>'13'!AD14</f>
        <v>0.25</v>
      </c>
      <c r="O11" s="109">
        <f>'14'!AD14</f>
        <v>0.54166666666666663</v>
      </c>
      <c r="P11" s="109">
        <f>'15'!AD14</f>
        <v>0</v>
      </c>
      <c r="Q11" s="109">
        <f>'16'!AD14</f>
        <v>0</v>
      </c>
      <c r="R11" s="109">
        <f>'17'!AD14</f>
        <v>0</v>
      </c>
      <c r="S11" s="109">
        <f>'18'!AD14</f>
        <v>0</v>
      </c>
      <c r="T11" s="109">
        <f>'19'!AD14</f>
        <v>0</v>
      </c>
      <c r="U11" s="109">
        <f>'20'!AD15</f>
        <v>0</v>
      </c>
      <c r="V11" s="109">
        <f>'21'!AD16</f>
        <v>0</v>
      </c>
      <c r="W11" s="109">
        <f>'22'!AD14</f>
        <v>0</v>
      </c>
      <c r="X11" s="109">
        <f>'23'!AD15</f>
        <v>0</v>
      </c>
      <c r="Y11" s="109">
        <f>'24'!AD15</f>
        <v>0</v>
      </c>
      <c r="Z11" s="109">
        <f>'25'!AD14</f>
        <v>0</v>
      </c>
      <c r="AA11" s="109">
        <f>'26'!AD15</f>
        <v>0</v>
      </c>
      <c r="AB11" s="109">
        <f>'27'!AD16</f>
        <v>0</v>
      </c>
      <c r="AC11" s="109">
        <f>'28'!AD16</f>
        <v>0</v>
      </c>
      <c r="AD11" s="109"/>
      <c r="AE11" s="109">
        <f>'30'!AD14</f>
        <v>0.45833333333333331</v>
      </c>
      <c r="AF11" s="110">
        <f>'31'!AD16</f>
        <v>0.45833333333333331</v>
      </c>
      <c r="AG11" s="111">
        <f t="shared" si="0"/>
        <v>8.7365591397849468E-2</v>
      </c>
    </row>
    <row r="12" spans="1:33" ht="21.75" customHeight="1">
      <c r="A12" s="100" t="s">
        <v>69</v>
      </c>
      <c r="B12" s="97"/>
      <c r="C12" s="97">
        <f>'02'!AD15</f>
        <v>0.66666666666666663</v>
      </c>
      <c r="D12" s="74">
        <f>'03'!AD17</f>
        <v>0.625</v>
      </c>
      <c r="E12" s="74">
        <f>'04'!AD16</f>
        <v>0</v>
      </c>
      <c r="F12" s="74">
        <f>'05'!AD15</f>
        <v>0</v>
      </c>
      <c r="G12" s="74">
        <f>'06'!AD15</f>
        <v>0.16666666666666666</v>
      </c>
      <c r="H12" s="74">
        <f>'07'!AD15</f>
        <v>0</v>
      </c>
      <c r="I12" s="74">
        <f>'08'!AD15</f>
        <v>0</v>
      </c>
      <c r="J12" s="74">
        <f>'09'!AD15</f>
        <v>0</v>
      </c>
      <c r="K12" s="74">
        <f>'10'!AD15</f>
        <v>0.375</v>
      </c>
      <c r="L12" s="74">
        <f>'11'!AD17</f>
        <v>0</v>
      </c>
      <c r="M12" s="74">
        <f>'12'!AD15</f>
        <v>0</v>
      </c>
      <c r="N12" s="74">
        <f>'13'!AD15</f>
        <v>1</v>
      </c>
      <c r="O12" s="74">
        <f>'14'!AD15</f>
        <v>0</v>
      </c>
      <c r="P12" s="74">
        <f>'15'!AD15</f>
        <v>0</v>
      </c>
      <c r="Q12" s="74">
        <f>'16'!AD15</f>
        <v>0</v>
      </c>
      <c r="R12" s="74">
        <f>'17'!AD15</f>
        <v>0.41666666666666669</v>
      </c>
      <c r="S12" s="74">
        <f>'18'!AD15</f>
        <v>0.75</v>
      </c>
      <c r="T12" s="74">
        <f>'19'!AD15</f>
        <v>0</v>
      </c>
      <c r="U12" s="74">
        <f>'20'!AD16</f>
        <v>0.16666666666666666</v>
      </c>
      <c r="V12" s="74">
        <f>'21'!AD17</f>
        <v>0</v>
      </c>
      <c r="W12" s="74">
        <f>'22'!AD15</f>
        <v>0</v>
      </c>
      <c r="X12" s="74">
        <f>'23'!AD16</f>
        <v>0.16666666666666666</v>
      </c>
      <c r="Y12" s="74">
        <f>'24'!AD16</f>
        <v>0</v>
      </c>
      <c r="Z12" s="74">
        <f>'25'!AD15</f>
        <v>0.70833333333333337</v>
      </c>
      <c r="AA12" s="74">
        <f>'26'!AD16</f>
        <v>0</v>
      </c>
      <c r="AB12" s="74">
        <f>'27'!AD17</f>
        <v>0</v>
      </c>
      <c r="AC12" s="74">
        <f>'28'!AD17</f>
        <v>0</v>
      </c>
      <c r="AD12" s="74"/>
      <c r="AE12" s="74">
        <f>'30'!AD15</f>
        <v>0</v>
      </c>
      <c r="AF12" s="75">
        <f>'31'!AD17</f>
        <v>0.20833333333333334</v>
      </c>
      <c r="AG12" s="76">
        <f t="shared" si="0"/>
        <v>0.16935483870967738</v>
      </c>
    </row>
    <row r="13" spans="1:33" ht="21.75" customHeight="1">
      <c r="A13" s="100" t="s">
        <v>70</v>
      </c>
      <c r="B13" s="97"/>
      <c r="C13" s="97">
        <f>'02'!AD16</f>
        <v>0.66666666666666663</v>
      </c>
      <c r="D13" s="74">
        <f>'03'!AD18</f>
        <v>0.75</v>
      </c>
      <c r="E13" s="74">
        <f>'04'!AD17</f>
        <v>0.91666666666666663</v>
      </c>
      <c r="F13" s="74">
        <f>'05'!AD16</f>
        <v>0</v>
      </c>
      <c r="G13" s="74">
        <f>'06'!AD16</f>
        <v>0</v>
      </c>
      <c r="H13" s="74">
        <f>'07'!AD16</f>
        <v>0</v>
      </c>
      <c r="I13" s="74">
        <f>'08'!AD16</f>
        <v>0</v>
      </c>
      <c r="J13" s="74">
        <f>'09'!AD16</f>
        <v>0.58333333333333337</v>
      </c>
      <c r="K13" s="74">
        <f>'10'!AD16</f>
        <v>1</v>
      </c>
      <c r="L13" s="74">
        <f>'11'!AD18</f>
        <v>1</v>
      </c>
      <c r="M13" s="74">
        <f>'12'!AD16</f>
        <v>1</v>
      </c>
      <c r="N13" s="74">
        <f>'13'!AD16</f>
        <v>0.95833333333333337</v>
      </c>
      <c r="O13" s="74">
        <f>'14'!AD16</f>
        <v>0.45833333333333331</v>
      </c>
      <c r="P13" s="74">
        <f>'15'!AD16</f>
        <v>0.41666666666666669</v>
      </c>
      <c r="Q13" s="74">
        <f>'16'!AD16</f>
        <v>0.75</v>
      </c>
      <c r="R13" s="74">
        <f>'17'!AD16</f>
        <v>0.875</v>
      </c>
      <c r="S13" s="74">
        <f>'18'!AD16</f>
        <v>1</v>
      </c>
      <c r="T13" s="74">
        <f>'19'!AD16</f>
        <v>1</v>
      </c>
      <c r="U13" s="74">
        <f>'20'!AD17</f>
        <v>0.41666666666666669</v>
      </c>
      <c r="V13" s="74">
        <f>'21'!AD18</f>
        <v>0</v>
      </c>
      <c r="W13" s="74">
        <f>'22'!AD16</f>
        <v>0</v>
      </c>
      <c r="X13" s="74">
        <f>'23'!AD17</f>
        <v>0</v>
      </c>
      <c r="Y13" s="74">
        <f>'24'!AD17</f>
        <v>0.25</v>
      </c>
      <c r="Z13" s="74">
        <f>'25'!AD16</f>
        <v>0.16666666666666666</v>
      </c>
      <c r="AA13" s="74">
        <f>'26'!AD17</f>
        <v>0</v>
      </c>
      <c r="AB13" s="74">
        <f>'27'!AD18</f>
        <v>0</v>
      </c>
      <c r="AC13" s="74">
        <f>'28'!AD18</f>
        <v>0</v>
      </c>
      <c r="AD13" s="74"/>
      <c r="AE13" s="74">
        <f>'30'!AD16</f>
        <v>0</v>
      </c>
      <c r="AF13" s="75">
        <f>'31'!AD18</f>
        <v>0</v>
      </c>
      <c r="AG13" s="76">
        <f t="shared" si="0"/>
        <v>0.39381720430107525</v>
      </c>
    </row>
    <row r="14" spans="1:33" ht="21.75" customHeight="1">
      <c r="A14" s="100" t="s">
        <v>71</v>
      </c>
      <c r="B14" s="97"/>
      <c r="C14" s="97">
        <f>'02'!AD17</f>
        <v>0.625</v>
      </c>
      <c r="D14" s="74">
        <f>'03'!AD19</f>
        <v>1</v>
      </c>
      <c r="E14" s="74">
        <f>'04'!AD18</f>
        <v>1</v>
      </c>
      <c r="F14" s="74">
        <f>'05'!AD17</f>
        <v>1</v>
      </c>
      <c r="G14" s="74">
        <f>'06'!AD17+'06'!AD18</f>
        <v>0.91666666666666663</v>
      </c>
      <c r="H14" s="74">
        <f>'07'!AD17</f>
        <v>1</v>
      </c>
      <c r="I14" s="74">
        <f>'08'!AD17</f>
        <v>0.41666666666666669</v>
      </c>
      <c r="J14" s="74">
        <f>'09'!AD17</f>
        <v>0.625</v>
      </c>
      <c r="K14" s="74">
        <f>'10'!AD17</f>
        <v>1</v>
      </c>
      <c r="L14" s="74">
        <f>'11'!AD19</f>
        <v>1</v>
      </c>
      <c r="M14" s="74">
        <f>'12'!AD17</f>
        <v>1</v>
      </c>
      <c r="N14" s="74">
        <f>'13'!AD17</f>
        <v>1</v>
      </c>
      <c r="O14" s="74">
        <f>'14'!AD17</f>
        <v>1</v>
      </c>
      <c r="P14" s="74">
        <f>'15'!AD17</f>
        <v>0.41666666666666669</v>
      </c>
      <c r="Q14" s="74">
        <f>'16'!AD17</f>
        <v>1</v>
      </c>
      <c r="R14" s="74">
        <f>'17'!AD17</f>
        <v>1</v>
      </c>
      <c r="S14" s="74">
        <f>'18'!AD17</f>
        <v>1</v>
      </c>
      <c r="T14" s="74">
        <f>'19'!AD17</f>
        <v>1</v>
      </c>
      <c r="U14" s="74">
        <f>'20'!AD18</f>
        <v>0.875</v>
      </c>
      <c r="V14" s="74">
        <f>'21'!AD19</f>
        <v>1</v>
      </c>
      <c r="W14" s="74">
        <f>'22'!AD17</f>
        <v>0.41666666666666669</v>
      </c>
      <c r="X14" s="74">
        <f>'23'!AD18</f>
        <v>1</v>
      </c>
      <c r="Y14" s="74">
        <f>'24'!AD18</f>
        <v>0.91666666666666663</v>
      </c>
      <c r="Z14" s="74">
        <f>'25'!AD17</f>
        <v>1</v>
      </c>
      <c r="AA14" s="74">
        <f>'26'!AD18</f>
        <v>1</v>
      </c>
      <c r="AB14" s="74">
        <f>'27'!AD19</f>
        <v>1</v>
      </c>
      <c r="AC14" s="74">
        <f>'28'!AD19</f>
        <v>1</v>
      </c>
      <c r="AD14" s="74"/>
      <c r="AE14" s="74">
        <f>'30'!AD17</f>
        <v>1</v>
      </c>
      <c r="AF14" s="75">
        <f>'31'!AD19</f>
        <v>1</v>
      </c>
      <c r="AG14" s="76">
        <f t="shared" si="0"/>
        <v>0.84543010752688175</v>
      </c>
    </row>
    <row r="15" spans="1:33" ht="21.75" customHeight="1">
      <c r="A15" s="101" t="s">
        <v>72</v>
      </c>
      <c r="B15" s="98"/>
      <c r="C15" s="98">
        <f>'02'!AD18</f>
        <v>0.54166666666666663</v>
      </c>
      <c r="D15" s="77">
        <f>'03'!AD20</f>
        <v>0.66666666666666663</v>
      </c>
      <c r="E15" s="77">
        <f>'04'!AD19</f>
        <v>0.20833333333333334</v>
      </c>
      <c r="F15" s="77">
        <f>'05'!AD18</f>
        <v>0.41666666666666669</v>
      </c>
      <c r="G15" s="77">
        <f>'06'!AD19</f>
        <v>0.58333333333333337</v>
      </c>
      <c r="H15" s="77">
        <f>'07'!AD18</f>
        <v>0.95833333333333337</v>
      </c>
      <c r="I15" s="77">
        <f>'08'!AD18</f>
        <v>0.41666666666666669</v>
      </c>
      <c r="J15" s="77">
        <f>'09'!AD18</f>
        <v>0.99684044233807267</v>
      </c>
      <c r="K15" s="77">
        <f>'10'!AD18</f>
        <v>0.95833333333333337</v>
      </c>
      <c r="L15" s="77">
        <f>'11'!AD20</f>
        <v>0.95833333333333337</v>
      </c>
      <c r="M15" s="77">
        <f>'12'!AD18+'12'!AD19</f>
        <v>0.95833333333333326</v>
      </c>
      <c r="N15" s="77">
        <f>'13'!AD18</f>
        <v>1</v>
      </c>
      <c r="O15" s="77">
        <f>'14'!AD19+'14'!AD20</f>
        <v>0.875</v>
      </c>
      <c r="P15" s="77">
        <f>'15'!AD18</f>
        <v>0.125</v>
      </c>
      <c r="Q15" s="77">
        <f>'16'!AD18</f>
        <v>0.45833333333333331</v>
      </c>
      <c r="R15" s="77">
        <f>'17'!AD18</f>
        <v>0.83333333333333337</v>
      </c>
      <c r="S15" s="77">
        <f>'18'!AD18</f>
        <v>0.20833333333333334</v>
      </c>
      <c r="T15" s="77">
        <f>'19'!AD18</f>
        <v>0.625</v>
      </c>
      <c r="U15" s="77">
        <f>'20'!AD19</f>
        <v>1</v>
      </c>
      <c r="V15" s="77">
        <f>'21'!AD20</f>
        <v>1</v>
      </c>
      <c r="W15" s="77">
        <f>'22'!AD18</f>
        <v>0.41666666666666669</v>
      </c>
      <c r="X15" s="77">
        <f>'23'!AD19</f>
        <v>1</v>
      </c>
      <c r="Y15" s="77">
        <f>'24'!AD19</f>
        <v>1</v>
      </c>
      <c r="Z15" s="77">
        <f>'25'!AD18</f>
        <v>1</v>
      </c>
      <c r="AA15" s="77">
        <f>'26'!AD19</f>
        <v>1</v>
      </c>
      <c r="AB15" s="77">
        <f>'27'!AD20</f>
        <v>0.91666666666666663</v>
      </c>
      <c r="AC15" s="77">
        <f>'28'!AD20</f>
        <v>1</v>
      </c>
      <c r="AD15" s="77"/>
      <c r="AE15" s="77">
        <f>'30'!AD18</f>
        <v>1</v>
      </c>
      <c r="AF15" s="78">
        <f>'31'!AD20</f>
        <v>0</v>
      </c>
      <c r="AG15" s="79">
        <f t="shared" si="0"/>
        <v>0.68134969168832493</v>
      </c>
    </row>
    <row r="16" spans="1:33" ht="21.75" customHeight="1">
      <c r="A16" s="101" t="s">
        <v>138</v>
      </c>
      <c r="B16" s="98"/>
      <c r="C16" s="98">
        <f>'02'!AD19</f>
        <v>0.16666666666666666</v>
      </c>
      <c r="D16" s="77">
        <f>'03'!AD21</f>
        <v>0.125</v>
      </c>
      <c r="E16" s="77">
        <f>'04'!AD20</f>
        <v>0.20833333333333334</v>
      </c>
      <c r="F16" s="77">
        <f>'05'!AD19</f>
        <v>0</v>
      </c>
      <c r="G16" s="77">
        <f>'06'!AD20+'06'!AD21</f>
        <v>0.91666666666666663</v>
      </c>
      <c r="H16" s="77">
        <f>'07'!AD19</f>
        <v>1</v>
      </c>
      <c r="I16" s="77">
        <f>'08'!AD19</f>
        <v>0.41666666666666669</v>
      </c>
      <c r="J16" s="77">
        <f>'09'!AD19</f>
        <v>0.875</v>
      </c>
      <c r="K16" s="77">
        <f>'10'!AD19+'10'!AD20</f>
        <v>0.91666666666666674</v>
      </c>
      <c r="L16" s="77">
        <f>'11'!AD21+'11'!AD22</f>
        <v>0.45833333333333337</v>
      </c>
      <c r="M16" s="77">
        <f>'12'!AD20</f>
        <v>1</v>
      </c>
      <c r="N16" s="77">
        <f>'13'!AD19+'13'!AD20+'13'!AD21</f>
        <v>0.91666666666666674</v>
      </c>
      <c r="O16" s="77">
        <f>'14'!AD21</f>
        <v>0.70833333333333337</v>
      </c>
      <c r="P16" s="77">
        <f>'15'!AD19</f>
        <v>0</v>
      </c>
      <c r="Q16" s="77">
        <f>'16'!AD19</f>
        <v>0.66666666666666663</v>
      </c>
      <c r="R16" s="77">
        <f>'17'!AD19</f>
        <v>1</v>
      </c>
      <c r="S16" s="77">
        <f>'18'!AD19</f>
        <v>0.83333333333333337</v>
      </c>
      <c r="T16" s="77">
        <f>'19'!AD19</f>
        <v>0.83333333333333337</v>
      </c>
      <c r="U16" s="77">
        <f>'20'!AD20</f>
        <v>1</v>
      </c>
      <c r="V16" s="77">
        <f>'21'!AD21+'21'!AD22</f>
        <v>0.95833333333333326</v>
      </c>
      <c r="W16" s="77">
        <f>'22'!AD19</f>
        <v>0.41666666666666669</v>
      </c>
      <c r="X16" s="77">
        <f>'23'!AD20</f>
        <v>0.25</v>
      </c>
      <c r="Y16" s="77">
        <f>'24'!AD20</f>
        <v>0</v>
      </c>
      <c r="Z16" s="77">
        <f>'25'!AD19</f>
        <v>0.70833333333333337</v>
      </c>
      <c r="AA16" s="77">
        <f>'26'!AD20</f>
        <v>1</v>
      </c>
      <c r="AB16" s="77">
        <f>'27'!AD21</f>
        <v>0.875</v>
      </c>
      <c r="AC16" s="77">
        <f>'28'!AD21</f>
        <v>0</v>
      </c>
      <c r="AD16" s="77"/>
      <c r="AE16" s="77">
        <f>'30'!AD19</f>
        <v>1</v>
      </c>
      <c r="AF16" s="78">
        <f>'31'!AD21</f>
        <v>1</v>
      </c>
      <c r="AG16" s="79">
        <f t="shared" si="0"/>
        <v>0.58870967741935487</v>
      </c>
    </row>
    <row r="17" spans="1:33" ht="21.75" customHeight="1">
      <c r="A17" s="101" t="s">
        <v>139</v>
      </c>
      <c r="B17" s="98"/>
      <c r="C17" s="98">
        <f>'02'!AD20</f>
        <v>1</v>
      </c>
      <c r="D17" s="77">
        <f>'03'!AD22</f>
        <v>1</v>
      </c>
      <c r="E17" s="77">
        <f>'04'!AD21</f>
        <v>0.875</v>
      </c>
      <c r="F17" s="77">
        <f>'05'!AD20</f>
        <v>1</v>
      </c>
      <c r="G17" s="77">
        <f>'06'!AD22</f>
        <v>1</v>
      </c>
      <c r="H17" s="77">
        <f>'07'!AD20</f>
        <v>0.33333333333333331</v>
      </c>
      <c r="I17" s="77">
        <f>'08'!AD20</f>
        <v>0.16666666666666666</v>
      </c>
      <c r="J17" s="77">
        <f>'09'!AD20</f>
        <v>0.16666666666666666</v>
      </c>
      <c r="K17" s="77">
        <f>'10'!AD21</f>
        <v>0</v>
      </c>
      <c r="L17" s="77">
        <f>'11'!AD23</f>
        <v>0.79166666666666663</v>
      </c>
      <c r="M17" s="77">
        <f>'12'!AD21</f>
        <v>1</v>
      </c>
      <c r="N17" s="77">
        <f>'13'!AD22</f>
        <v>1</v>
      </c>
      <c r="O17" s="77">
        <f>'14'!AD22</f>
        <v>1</v>
      </c>
      <c r="P17" s="77">
        <f>'15'!AD20</f>
        <v>0.41666666666666669</v>
      </c>
      <c r="Q17" s="77">
        <f>'16'!AD20</f>
        <v>1</v>
      </c>
      <c r="R17" s="77">
        <f>'17'!AD20</f>
        <v>0.16666666666666666</v>
      </c>
      <c r="S17" s="77">
        <f>'18'!AD20</f>
        <v>0</v>
      </c>
      <c r="T17" s="77">
        <f>'19'!AD20</f>
        <v>0</v>
      </c>
      <c r="U17" s="77">
        <f>'20'!AD21</f>
        <v>0.75</v>
      </c>
      <c r="V17" s="77">
        <f>'21'!AD23</f>
        <v>1</v>
      </c>
      <c r="W17" s="77">
        <f>'22'!AD20</f>
        <v>0.41666666666666669</v>
      </c>
      <c r="X17" s="77">
        <f>'23'!AD21</f>
        <v>1</v>
      </c>
      <c r="Y17" s="77">
        <f>'24'!AD21</f>
        <v>1</v>
      </c>
      <c r="Z17" s="77">
        <f>'25'!AD20</f>
        <v>0.125</v>
      </c>
      <c r="AA17" s="77">
        <f>'26'!AD21</f>
        <v>0.45833333333333331</v>
      </c>
      <c r="AB17" s="77">
        <f>'27'!AD22</f>
        <v>0.95833333333333337</v>
      </c>
      <c r="AC17" s="77">
        <f>'28'!AD22</f>
        <v>1</v>
      </c>
      <c r="AD17" s="77"/>
      <c r="AE17" s="77">
        <f>'30'!AD20</f>
        <v>1</v>
      </c>
      <c r="AF17" s="78">
        <f>'31'!AD22</f>
        <v>1</v>
      </c>
      <c r="AG17" s="79">
        <f t="shared" si="0"/>
        <v>0.63306451612903225</v>
      </c>
    </row>
    <row r="18" spans="1:33" ht="21.75" customHeight="1" thickBot="1">
      <c r="A18" s="102" t="s">
        <v>140</v>
      </c>
      <c r="B18" s="99"/>
      <c r="C18" s="99">
        <f>'02'!AD21</f>
        <v>0</v>
      </c>
      <c r="D18" s="80">
        <f>'03'!AD23</f>
        <v>0</v>
      </c>
      <c r="E18" s="80">
        <f>'04'!AD22</f>
        <v>0</v>
      </c>
      <c r="F18" s="80">
        <f>'05'!AD21</f>
        <v>0</v>
      </c>
      <c r="G18" s="80">
        <f>'06'!AD23</f>
        <v>0</v>
      </c>
      <c r="H18" s="80">
        <f>'07'!AD21</f>
        <v>0</v>
      </c>
      <c r="I18" s="80">
        <f>'08'!AD21</f>
        <v>0</v>
      </c>
      <c r="J18" s="80">
        <f>'09'!AD21</f>
        <v>0</v>
      </c>
      <c r="K18" s="80">
        <f>'10'!AD22</f>
        <v>0</v>
      </c>
      <c r="L18" s="80">
        <f>'11'!AD24</f>
        <v>0</v>
      </c>
      <c r="M18" s="80">
        <f>'12'!AD22</f>
        <v>0</v>
      </c>
      <c r="N18" s="80">
        <f>'13'!AD23</f>
        <v>0</v>
      </c>
      <c r="O18" s="80">
        <f>'14'!AD23</f>
        <v>0</v>
      </c>
      <c r="P18" s="80">
        <f>'15'!AD21</f>
        <v>0</v>
      </c>
      <c r="Q18" s="80">
        <f>'16'!AD21</f>
        <v>0</v>
      </c>
      <c r="R18" s="80">
        <f>'17'!AD21</f>
        <v>0.33333333333333331</v>
      </c>
      <c r="S18" s="80">
        <f>'18'!AD21</f>
        <v>0.5</v>
      </c>
      <c r="T18" s="80">
        <f>'19'!AD21</f>
        <v>0.5</v>
      </c>
      <c r="U18" s="80">
        <f>'20'!AD22</f>
        <v>0.5</v>
      </c>
      <c r="V18" s="80">
        <f>'21'!AD24</f>
        <v>0</v>
      </c>
      <c r="W18" s="80">
        <f>'22'!AD21</f>
        <v>0</v>
      </c>
      <c r="X18" s="80">
        <f>'23'!AD22</f>
        <v>0.41666666666666669</v>
      </c>
      <c r="Y18" s="80">
        <f>'24'!AD22</f>
        <v>1</v>
      </c>
      <c r="Z18" s="80">
        <f>'25'!AD21</f>
        <v>0.83333333333333337</v>
      </c>
      <c r="AA18" s="80">
        <f>'26'!AD22</f>
        <v>0.45833333333333331</v>
      </c>
      <c r="AB18" s="80">
        <f>'27'!AD23</f>
        <v>1</v>
      </c>
      <c r="AC18" s="80">
        <f>'28'!AD23</f>
        <v>0</v>
      </c>
      <c r="AD18" s="80"/>
      <c r="AE18" s="80">
        <f>'30'!AD21</f>
        <v>0.41666666666666669</v>
      </c>
      <c r="AF18" s="81">
        <f>'31'!AD23</f>
        <v>0.41666666666666669</v>
      </c>
      <c r="AG18" s="82">
        <f t="shared" si="0"/>
        <v>0.20564516129032259</v>
      </c>
    </row>
    <row r="19" spans="1:33" s="83" customFormat="1" ht="21.75" customHeight="1">
      <c r="A19" s="87" t="s">
        <v>104</v>
      </c>
      <c r="B19" s="91"/>
      <c r="C19" s="91">
        <f>'02'!AD22</f>
        <v>0.55729166666666674</v>
      </c>
      <c r="D19" s="92">
        <f>'03'!AD24</f>
        <v>0.48842592592592599</v>
      </c>
      <c r="E19" s="92">
        <f>'04'!AD23</f>
        <v>0.3995098039215686</v>
      </c>
      <c r="F19" s="92">
        <f>'05'!AD22</f>
        <v>0.45833333333333337</v>
      </c>
      <c r="G19" s="92">
        <f>'06'!AD24</f>
        <v>0.58796296296296302</v>
      </c>
      <c r="H19" s="92">
        <f>'07'!AD22</f>
        <v>0.63541666666666674</v>
      </c>
      <c r="I19" s="92">
        <f>'08'!AD22</f>
        <v>0.26041666666666663</v>
      </c>
      <c r="J19" s="92">
        <f>'09'!AD22</f>
        <v>0.66126086097946291</v>
      </c>
      <c r="K19" s="92">
        <f>'10'!AD23</f>
        <v>0.58823529411764719</v>
      </c>
      <c r="L19" s="92">
        <f>'11'!AD25</f>
        <v>0.50438596491228072</v>
      </c>
      <c r="M19" s="92">
        <f>'12'!AD23</f>
        <v>0.68382352941176472</v>
      </c>
      <c r="N19" s="92">
        <f>'13'!AD24</f>
        <v>0.68518518518518523</v>
      </c>
      <c r="O19" s="92">
        <f>'14'!AD24</f>
        <v>0.58575999132368095</v>
      </c>
      <c r="P19" s="92">
        <f>'15'!AD22</f>
        <v>0.21093749999999997</v>
      </c>
      <c r="Q19" s="92">
        <f>'16'!AD22</f>
        <v>0.72135416666666674</v>
      </c>
      <c r="R19" s="92">
        <f>'17'!AD22</f>
        <v>0.7890625</v>
      </c>
      <c r="S19" s="92">
        <f>'18'!AD22</f>
        <v>0.76302083333333337</v>
      </c>
      <c r="T19" s="92">
        <f>'19'!AD22</f>
        <v>0.62500000000000011</v>
      </c>
      <c r="U19" s="92">
        <f>'20'!AD23</f>
        <v>0.71078431372549022</v>
      </c>
      <c r="V19" s="92">
        <f>'21'!AD25</f>
        <v>0.56140350877192979</v>
      </c>
      <c r="W19" s="92">
        <f>'22'!AD22</f>
        <v>0.23786046054224155</v>
      </c>
      <c r="X19" s="92">
        <f>'23'!AD23</f>
        <v>0.49686746891488315</v>
      </c>
      <c r="Y19" s="92">
        <f>'24'!AD23</f>
        <v>0.49509803921568635</v>
      </c>
      <c r="Z19" s="92">
        <f>'25'!AD22</f>
        <v>0.53125</v>
      </c>
      <c r="AA19" s="92">
        <f>'26'!AD23</f>
        <v>0.47058823529411764</v>
      </c>
      <c r="AB19" s="92">
        <f>'27'!AD24</f>
        <v>0.44675925925925924</v>
      </c>
      <c r="AC19" s="92">
        <f>'28'!AD24</f>
        <v>0.33796296296296297</v>
      </c>
      <c r="AD19" s="92"/>
      <c r="AE19" s="92">
        <f>'30'!AD22</f>
        <v>0.54166666666666663</v>
      </c>
      <c r="AF19" s="93">
        <f>'31'!AD24</f>
        <v>0.50694444444444442</v>
      </c>
      <c r="AG19" s="94">
        <f t="shared" si="0"/>
        <v>0.50137316812488708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30</vt:i4>
      </vt:variant>
      <vt:variant>
        <vt:lpstr>이름 지정된 범위</vt:lpstr>
      </vt:variant>
      <vt:variant>
        <vt:i4>58</vt:i4>
      </vt:variant>
    </vt:vector>
  </HeadingPairs>
  <TitlesOfParts>
    <vt:vector size="88" baseType="lpstr"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30</vt:lpstr>
      <vt:lpstr>31</vt:lpstr>
      <vt:lpstr>총괄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'30'!Print_Area</vt:lpstr>
      <vt:lpstr>'31'!Print_Area</vt:lpstr>
      <vt:lpstr>'02'!ㅁ1</vt:lpstr>
      <vt:lpstr>'03'!ㅁ1</vt:lpstr>
      <vt:lpstr>'04'!ㅁ1</vt:lpstr>
      <vt:lpstr>'05'!ㅁ1</vt:lpstr>
      <vt:lpstr>'06'!ㅁ1</vt:lpstr>
      <vt:lpstr>'07'!ㅁ1</vt:lpstr>
      <vt:lpstr>'08'!ㅁ1</vt:lpstr>
      <vt:lpstr>'09'!ㅁ1</vt:lpstr>
      <vt:lpstr>'10'!ㅁ1</vt:lpstr>
      <vt:lpstr>'11'!ㅁ1</vt:lpstr>
      <vt:lpstr>'12'!ㅁ1</vt:lpstr>
      <vt:lpstr>'13'!ㅁ1</vt:lpstr>
      <vt:lpstr>'14'!ㅁ1</vt:lpstr>
      <vt:lpstr>'15'!ㅁ1</vt:lpstr>
      <vt:lpstr>'16'!ㅁ1</vt:lpstr>
      <vt:lpstr>'17'!ㅁ1</vt:lpstr>
      <vt:lpstr>'18'!ㅁ1</vt:lpstr>
      <vt:lpstr>'19'!ㅁ1</vt:lpstr>
      <vt:lpstr>'20'!ㅁ1</vt:lpstr>
      <vt:lpstr>'21'!ㅁ1</vt:lpstr>
      <vt:lpstr>'22'!ㅁ1</vt:lpstr>
      <vt:lpstr>'23'!ㅁ1</vt:lpstr>
      <vt:lpstr>'24'!ㅁ1</vt:lpstr>
      <vt:lpstr>'25'!ㅁ1</vt:lpstr>
      <vt:lpstr>'26'!ㅁ1</vt:lpstr>
      <vt:lpstr>'27'!ㅁ1</vt:lpstr>
      <vt:lpstr>'28'!ㅁ1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2020-04-02T06:06:52Z</dcterms:modified>
</cp:coreProperties>
</file>