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drawings/drawing54.xml" ContentType="application/vnd.openxmlformats-officedocument.drawingml.chartshapes+xml"/>
  <Override PartName="/xl/drawings/drawing55.xml" ContentType="application/vnd.openxmlformats-officedocument.drawing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D33ED2A5-B01B-47AF-A3E0-6246E151C35E}" xr6:coauthVersionLast="45" xr6:coauthVersionMax="45" xr10:uidLastSave="{00000000-0000-0000-0000-000000000000}"/>
  <bookViews>
    <workbookView xWindow="-120" yWindow="-120" windowWidth="29040" windowHeight="15840" firstSheet="4" activeTab="26" xr2:uid="{00000000-000D-0000-FFFF-FFFF00000000}"/>
  </bookViews>
  <sheets>
    <sheet name="01" sheetId="1698" r:id="rId1"/>
    <sheet name="02" sheetId="1699" r:id="rId2"/>
    <sheet name="03" sheetId="1700" r:id="rId3"/>
    <sheet name="06" sheetId="1701" r:id="rId4"/>
    <sheet name="07" sheetId="1702" r:id="rId5"/>
    <sheet name="08" sheetId="1703" r:id="rId6"/>
    <sheet name="09" sheetId="1704" r:id="rId7"/>
    <sheet name="10" sheetId="1705" r:id="rId8"/>
    <sheet name="11" sheetId="1706" r:id="rId9"/>
    <sheet name="13" sheetId="1707" r:id="rId10"/>
    <sheet name="14" sheetId="1708" r:id="rId11"/>
    <sheet name="15" sheetId="1709" r:id="rId12"/>
    <sheet name="16" sheetId="1710" r:id="rId13"/>
    <sheet name="17" sheetId="1711" r:id="rId14"/>
    <sheet name="18" sheetId="1712" r:id="rId15"/>
    <sheet name="19" sheetId="1713" r:id="rId16"/>
    <sheet name="20" sheetId="1714" r:id="rId17"/>
    <sheet name="21" sheetId="1715" r:id="rId18"/>
    <sheet name="22" sheetId="1716" r:id="rId19"/>
    <sheet name="23" sheetId="1717" r:id="rId20"/>
    <sheet name="24" sheetId="1718" r:id="rId21"/>
    <sheet name="25" sheetId="1719" r:id="rId22"/>
    <sheet name="26" sheetId="1720" r:id="rId23"/>
    <sheet name="27" sheetId="1721" r:id="rId24"/>
    <sheet name="28" sheetId="1722" r:id="rId25"/>
    <sheet name="29" sheetId="1723" r:id="rId26"/>
    <sheet name="30" sheetId="1724" r:id="rId27"/>
    <sheet name="총괄" sheetId="16" r:id="rId28"/>
  </sheets>
  <definedNames>
    <definedName name="_xlnm.Print_Area" localSheetId="0">'01'!$A$1:$AD$89</definedName>
    <definedName name="_xlnm.Print_Area" localSheetId="1">'02'!$A$1:$AD$88</definedName>
    <definedName name="_xlnm.Print_Area" localSheetId="2">'03'!$A$1:$AD$87</definedName>
    <definedName name="_xlnm.Print_Area" localSheetId="3">'06'!$A$1:$AD$87</definedName>
    <definedName name="_xlnm.Print_Area" localSheetId="4">'07'!$A$1:$AD$87</definedName>
    <definedName name="_xlnm.Print_Area" localSheetId="5">'08'!$A$1:$AD$89</definedName>
    <definedName name="_xlnm.Print_Area" localSheetId="6">'09'!$A$1:$AD$87</definedName>
    <definedName name="_xlnm.Print_Area" localSheetId="7">'10'!$A$1:$AD$88</definedName>
    <definedName name="_xlnm.Print_Area" localSheetId="8">'11'!$A$1:$AD$87</definedName>
    <definedName name="_xlnm.Print_Area" localSheetId="9">'13'!$A$1:$AD$89</definedName>
    <definedName name="_xlnm.Print_Area" localSheetId="10">'14'!$A$1:$AD$88</definedName>
    <definedName name="_xlnm.Print_Area" localSheetId="11">'15'!$A$1:$AD$87</definedName>
    <definedName name="_xlnm.Print_Area" localSheetId="12">'16'!$A$1:$AD$87</definedName>
    <definedName name="_xlnm.Print_Area" localSheetId="13">'17'!$A$1:$AD$87</definedName>
    <definedName name="_xlnm.Print_Area" localSheetId="14">'18'!$A$1:$AD$87</definedName>
    <definedName name="_xlnm.Print_Area" localSheetId="15">'19'!$A$1:$AD$87</definedName>
    <definedName name="_xlnm.Print_Area" localSheetId="16">'20'!$A$1:$AD$88</definedName>
    <definedName name="_xlnm.Print_Area" localSheetId="17">'21'!$A$1:$AD$88</definedName>
    <definedName name="_xlnm.Print_Area" localSheetId="18">'22'!$A$1:$AD$87</definedName>
    <definedName name="_xlnm.Print_Area" localSheetId="19">'23'!$A$1:$AD$87</definedName>
    <definedName name="_xlnm.Print_Area" localSheetId="20">'24'!$A$1:$AD$87</definedName>
    <definedName name="_xlnm.Print_Area" localSheetId="21">'25'!$A$1:$AD$87</definedName>
    <definedName name="_xlnm.Print_Area" localSheetId="22">'26'!$A$1:$AD$87</definedName>
    <definedName name="_xlnm.Print_Area" localSheetId="23">'27'!$A$1:$AD$88</definedName>
    <definedName name="_xlnm.Print_Area" localSheetId="24">'28'!$A$1:$AD$89</definedName>
    <definedName name="_xlnm.Print_Area" localSheetId="25">'29'!$A$1:$AD$88</definedName>
    <definedName name="_xlnm.Print_Area" localSheetId="26">'30'!$A$1:$AD$87</definedName>
    <definedName name="ㅁ1" localSheetId="0">'01'!$M$1048524:$M$1048576</definedName>
    <definedName name="ㅁ1" localSheetId="1">'02'!$M$1048523:$M$1048576</definedName>
    <definedName name="ㅁ1" localSheetId="2">'03'!$M$1048522:$M$1048576</definedName>
    <definedName name="ㅁ1" localSheetId="3">'06'!$M$1048522:$M$1048576</definedName>
    <definedName name="ㅁ1" localSheetId="4">'07'!$M$1048522:$M$1048576</definedName>
    <definedName name="ㅁ1" localSheetId="5">'08'!$M$1048524:$M$1048576</definedName>
    <definedName name="ㅁ1" localSheetId="6">'09'!$M$1048522:$M$1048576</definedName>
    <definedName name="ㅁ1" localSheetId="7">'10'!$M$1048523:$M$1048576</definedName>
    <definedName name="ㅁ1" localSheetId="8">'11'!$M$1048522:$M$1048576</definedName>
    <definedName name="ㅁ1" localSheetId="9">'13'!$M$1048524:$M$1048576</definedName>
    <definedName name="ㅁ1" localSheetId="10">'14'!$M$1048523:$M$1048576</definedName>
    <definedName name="ㅁ1" localSheetId="11">'15'!$M$1048522:$M$1048576</definedName>
    <definedName name="ㅁ1" localSheetId="12">'16'!$M$1048522:$M$1048576</definedName>
    <definedName name="ㅁ1" localSheetId="13">'17'!$M$1048522:$M$1048576</definedName>
    <definedName name="ㅁ1" localSheetId="14">'18'!$M$1048522:$M$1048576</definedName>
    <definedName name="ㅁ1" localSheetId="15">'19'!$M$1048522:$M$1048576</definedName>
    <definedName name="ㅁ1" localSheetId="16">'20'!$M$1048523:$M$1048576</definedName>
    <definedName name="ㅁ1" localSheetId="17">'21'!$M$1048523:$M$1048576</definedName>
    <definedName name="ㅁ1" localSheetId="18">'22'!$M$1048522:$M$1048576</definedName>
    <definedName name="ㅁ1" localSheetId="19">'23'!$M$1048522:$M$1048576</definedName>
    <definedName name="ㅁ1" localSheetId="20">'24'!$M$1048522:$M$1048576</definedName>
    <definedName name="ㅁ1" localSheetId="21">'25'!$M$1048522:$M$1048576</definedName>
    <definedName name="ㅁ1" localSheetId="22">'26'!$M$1048522:$M$1048576</definedName>
    <definedName name="ㅁ1" localSheetId="23">'27'!$M$1048523:$M$1048576</definedName>
    <definedName name="ㅁ1" localSheetId="24">'28'!$M$1048524:$M$1048576</definedName>
    <definedName name="ㅁ1" localSheetId="25">'29'!$M$1048523:$M$1048576</definedName>
    <definedName name="ㅁ1" localSheetId="26">'30'!$M$1048522:$M$1048576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9" i="16" l="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L21" i="1724"/>
  <c r="L19" i="1724"/>
  <c r="K19" i="1724" s="1"/>
  <c r="L18" i="1724"/>
  <c r="K18" i="1724" s="1"/>
  <c r="L17" i="1724"/>
  <c r="AB17" i="1724" s="1"/>
  <c r="L16" i="1724"/>
  <c r="K14" i="1724"/>
  <c r="L13" i="1724"/>
  <c r="AB13" i="1724" s="1"/>
  <c r="L11" i="1724"/>
  <c r="K11" i="1724" s="1"/>
  <c r="L10" i="1724"/>
  <c r="K10" i="1724" s="1"/>
  <c r="L9" i="1724"/>
  <c r="K9" i="1724" s="1"/>
  <c r="L8" i="1724"/>
  <c r="K8" i="1724" s="1"/>
  <c r="L7" i="1724"/>
  <c r="K7" i="1724" s="1"/>
  <c r="K21" i="1724"/>
  <c r="K20" i="1724"/>
  <c r="K17" i="1724"/>
  <c r="K15" i="1724"/>
  <c r="K12" i="1724"/>
  <c r="K6" i="1724"/>
  <c r="A77" i="1724"/>
  <c r="A78" i="1724" s="1"/>
  <c r="A79" i="1724" s="1"/>
  <c r="A80" i="1724" s="1"/>
  <c r="A81" i="1724" s="1"/>
  <c r="A82" i="1724" s="1"/>
  <c r="AF63" i="1724"/>
  <c r="AF61" i="1724"/>
  <c r="AF60" i="1724"/>
  <c r="AA22" i="1724"/>
  <c r="Z22" i="1724"/>
  <c r="Y22" i="1724"/>
  <c r="X22" i="1724"/>
  <c r="W22" i="1724"/>
  <c r="V22" i="1724"/>
  <c r="U22" i="1724"/>
  <c r="T22" i="1724"/>
  <c r="S22" i="1724"/>
  <c r="R22" i="1724"/>
  <c r="N22" i="1724"/>
  <c r="J22" i="1724"/>
  <c r="AF21" i="1724"/>
  <c r="Q21" i="1724"/>
  <c r="P21" i="1724" s="1"/>
  <c r="AC21" i="1724" s="1"/>
  <c r="O21" i="1724"/>
  <c r="AB21" i="1724"/>
  <c r="AF20" i="1724"/>
  <c r="AB20" i="1724"/>
  <c r="Q20" i="1724"/>
  <c r="P20" i="1724" s="1"/>
  <c r="AC20" i="1724" s="1"/>
  <c r="O20" i="1724"/>
  <c r="M20" i="1724"/>
  <c r="AF19" i="1724"/>
  <c r="Q19" i="1724"/>
  <c r="P19" i="1724"/>
  <c r="AC19" i="1724" s="1"/>
  <c r="AF18" i="1724"/>
  <c r="Q18" i="1724"/>
  <c r="AF17" i="1724"/>
  <c r="Q17" i="1724"/>
  <c r="P17" i="1724" s="1"/>
  <c r="AC17" i="1724" s="1"/>
  <c r="O17" i="1724"/>
  <c r="AF16" i="1724"/>
  <c r="AB16" i="1724"/>
  <c r="Q16" i="1724"/>
  <c r="P16" i="1724" s="1"/>
  <c r="AC16" i="1724" s="1"/>
  <c r="O16" i="1724"/>
  <c r="M16" i="1724"/>
  <c r="K16" i="1724"/>
  <c r="AF15" i="1724"/>
  <c r="Q15" i="1724"/>
  <c r="P15" i="1724"/>
  <c r="AC15" i="1724" s="1"/>
  <c r="O15" i="1724"/>
  <c r="AB15" i="1724"/>
  <c r="I15" i="1724"/>
  <c r="I22" i="1724" s="1"/>
  <c r="AF14" i="1724"/>
  <c r="AB14" i="1724"/>
  <c r="Q14" i="1724"/>
  <c r="P14" i="1724"/>
  <c r="AC14" i="1724" s="1"/>
  <c r="O14" i="1724"/>
  <c r="M14" i="1724"/>
  <c r="AF13" i="1724"/>
  <c r="Q13" i="1724"/>
  <c r="AF12" i="1724"/>
  <c r="Q12" i="1724"/>
  <c r="P12" i="1724" s="1"/>
  <c r="AC12" i="1724" s="1"/>
  <c r="M12" i="1724"/>
  <c r="AF11" i="1724"/>
  <c r="Q11" i="1724"/>
  <c r="P11" i="1724" s="1"/>
  <c r="AC11" i="1724" s="1"/>
  <c r="O11" i="1724"/>
  <c r="AB11" i="1724"/>
  <c r="AF10" i="1724"/>
  <c r="AB10" i="1724"/>
  <c r="Q10" i="1724"/>
  <c r="P10" i="1724" s="1"/>
  <c r="AC10" i="1724" s="1"/>
  <c r="O10" i="1724"/>
  <c r="M10" i="1724"/>
  <c r="AF9" i="1724"/>
  <c r="Q9" i="1724"/>
  <c r="AB9" i="1724"/>
  <c r="AF8" i="1724"/>
  <c r="Q8" i="1724"/>
  <c r="P8" i="1724" s="1"/>
  <c r="AC8" i="1724" s="1"/>
  <c r="AF7" i="1724"/>
  <c r="AB7" i="1724"/>
  <c r="Q7" i="1724"/>
  <c r="P7" i="1724" s="1"/>
  <c r="AC7" i="1724" s="1"/>
  <c r="O7" i="1724"/>
  <c r="M7" i="1724"/>
  <c r="AF6" i="1724"/>
  <c r="Q6" i="1724"/>
  <c r="O6" i="1724"/>
  <c r="L22" i="1724" l="1"/>
  <c r="O22" i="1724" s="1"/>
  <c r="AD15" i="1724"/>
  <c r="AD21" i="1724"/>
  <c r="AE6" i="1724" s="1"/>
  <c r="AD20" i="1724"/>
  <c r="P18" i="1724"/>
  <c r="AC18" i="1724" s="1"/>
  <c r="O18" i="1724"/>
  <c r="AB18" i="1724"/>
  <c r="AD17" i="1724"/>
  <c r="M17" i="1724"/>
  <c r="AD16" i="1724"/>
  <c r="K13" i="1724"/>
  <c r="AD10" i="1724"/>
  <c r="Q22" i="1724"/>
  <c r="M8" i="1724"/>
  <c r="AD7" i="1724"/>
  <c r="P6" i="1724"/>
  <c r="AC6" i="1724" s="1"/>
  <c r="AD14" i="1724"/>
  <c r="AD11" i="1724"/>
  <c r="M9" i="1724"/>
  <c r="M13" i="1724"/>
  <c r="AB8" i="1724"/>
  <c r="O9" i="1724"/>
  <c r="AB12" i="1724"/>
  <c r="O13" i="1724"/>
  <c r="M19" i="1724"/>
  <c r="AB19" i="1724"/>
  <c r="M6" i="1724"/>
  <c r="AB6" i="1724"/>
  <c r="O8" i="1724"/>
  <c r="K22" i="1724"/>
  <c r="P9" i="1724"/>
  <c r="AC9" i="1724" s="1"/>
  <c r="M11" i="1724"/>
  <c r="O12" i="1724"/>
  <c r="P13" i="1724"/>
  <c r="AC13" i="1724" s="1"/>
  <c r="M15" i="1724"/>
  <c r="M18" i="1724"/>
  <c r="O19" i="1724"/>
  <c r="M21" i="1724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2" i="1723"/>
  <c r="K22" i="1723" s="1"/>
  <c r="L20" i="1723"/>
  <c r="AB20" i="1723" s="1"/>
  <c r="L19" i="1723"/>
  <c r="L18" i="1723"/>
  <c r="K18" i="1723"/>
  <c r="K17" i="1723"/>
  <c r="L16" i="1723"/>
  <c r="K16" i="1723" s="1"/>
  <c r="L14" i="1723"/>
  <c r="L13" i="1723"/>
  <c r="O13" i="1723" s="1"/>
  <c r="L12" i="1723"/>
  <c r="K12" i="1723" s="1"/>
  <c r="L11" i="1723"/>
  <c r="O11" i="1723" s="1"/>
  <c r="L10" i="1723"/>
  <c r="K10" i="1723"/>
  <c r="L9" i="1723"/>
  <c r="AB9" i="1723" s="1"/>
  <c r="AF9" i="1723"/>
  <c r="Q9" i="1723"/>
  <c r="L6" i="1723"/>
  <c r="K6" i="1723" s="1"/>
  <c r="AF6" i="1723"/>
  <c r="Q6" i="1723"/>
  <c r="K21" i="1723"/>
  <c r="K13" i="1723"/>
  <c r="K8" i="1723"/>
  <c r="A78" i="1723"/>
  <c r="A79" i="1723" s="1"/>
  <c r="A80" i="1723" s="1"/>
  <c r="A81" i="1723" s="1"/>
  <c r="A82" i="1723" s="1"/>
  <c r="A83" i="1723" s="1"/>
  <c r="AF62" i="1723"/>
  <c r="AF61" i="1723"/>
  <c r="AF64" i="1723" s="1"/>
  <c r="AA23" i="1723"/>
  <c r="Z23" i="1723"/>
  <c r="Y23" i="1723"/>
  <c r="X23" i="1723"/>
  <c r="W23" i="1723"/>
  <c r="V23" i="1723"/>
  <c r="U23" i="1723"/>
  <c r="T23" i="1723"/>
  <c r="S23" i="1723"/>
  <c r="R23" i="1723"/>
  <c r="N23" i="1723"/>
  <c r="J23" i="1723"/>
  <c r="AF22" i="1723"/>
  <c r="Q22" i="1723"/>
  <c r="P22" i="1723"/>
  <c r="AC22" i="1723" s="1"/>
  <c r="M22" i="1723"/>
  <c r="AF21" i="1723"/>
  <c r="AB21" i="1723"/>
  <c r="Q21" i="1723"/>
  <c r="P21" i="1723" s="1"/>
  <c r="AC21" i="1723" s="1"/>
  <c r="O21" i="1723"/>
  <c r="M21" i="1723"/>
  <c r="AF20" i="1723"/>
  <c r="Q20" i="1723"/>
  <c r="AF19" i="1723"/>
  <c r="AB19" i="1723"/>
  <c r="Q19" i="1723"/>
  <c r="M19" i="1723"/>
  <c r="AF18" i="1723"/>
  <c r="AB18" i="1723"/>
  <c r="Q18" i="1723"/>
  <c r="P18" i="1723" s="1"/>
  <c r="AC18" i="1723" s="1"/>
  <c r="O18" i="1723"/>
  <c r="M18" i="1723"/>
  <c r="AF17" i="1723"/>
  <c r="Q17" i="1723"/>
  <c r="AB17" i="1723"/>
  <c r="AF16" i="1723"/>
  <c r="AB16" i="1723"/>
  <c r="Q16" i="1723"/>
  <c r="O16" i="1723"/>
  <c r="I16" i="1723"/>
  <c r="I23" i="1723"/>
  <c r="AF15" i="1723"/>
  <c r="AB15" i="1723"/>
  <c r="Q15" i="1723"/>
  <c r="P15" i="1723"/>
  <c r="AC15" i="1723" s="1"/>
  <c r="O15" i="1723"/>
  <c r="M15" i="1723"/>
  <c r="K15" i="1723"/>
  <c r="AF14" i="1723"/>
  <c r="AB14" i="1723"/>
  <c r="Q14" i="1723"/>
  <c r="O14" i="1723"/>
  <c r="AF13" i="1723"/>
  <c r="Q13" i="1723"/>
  <c r="AF12" i="1723"/>
  <c r="Q12" i="1723"/>
  <c r="AF11" i="1723"/>
  <c r="Q11" i="1723"/>
  <c r="P11" i="1723" s="1"/>
  <c r="AC11" i="1723" s="1"/>
  <c r="AF10" i="1723"/>
  <c r="Q10" i="1723"/>
  <c r="O10" i="1723"/>
  <c r="AF8" i="1723"/>
  <c r="AB8" i="1723"/>
  <c r="Q8" i="1723"/>
  <c r="P8" i="1723" s="1"/>
  <c r="AC8" i="1723" s="1"/>
  <c r="O8" i="1723"/>
  <c r="M8" i="1723"/>
  <c r="AF7" i="1723"/>
  <c r="AB7" i="1723"/>
  <c r="Q7" i="1723"/>
  <c r="P7" i="1723"/>
  <c r="AC7" i="1723" s="1"/>
  <c r="O7" i="1723"/>
  <c r="M7" i="1723"/>
  <c r="K7" i="1723"/>
  <c r="AD18" i="1724" l="1"/>
  <c r="AD12" i="1724"/>
  <c r="AC22" i="1724"/>
  <c r="AD8" i="1724"/>
  <c r="AD19" i="1724"/>
  <c r="P22" i="1724"/>
  <c r="AB22" i="1724"/>
  <c r="AD13" i="1724"/>
  <c r="AD9" i="1724"/>
  <c r="M22" i="1724"/>
  <c r="AD6" i="1724"/>
  <c r="AE3" i="16" s="1"/>
  <c r="O22" i="1723"/>
  <c r="AB22" i="1723"/>
  <c r="AD22" i="1723" s="1"/>
  <c r="AE6" i="1723" s="1"/>
  <c r="K20" i="1723"/>
  <c r="P19" i="1723"/>
  <c r="AC19" i="1723" s="1"/>
  <c r="K19" i="1723"/>
  <c r="O19" i="1723"/>
  <c r="AB6" i="1723"/>
  <c r="AB12" i="1723"/>
  <c r="P13" i="1723"/>
  <c r="AC13" i="1723" s="1"/>
  <c r="M16" i="1723"/>
  <c r="P16" i="1723"/>
  <c r="AC16" i="1723" s="1"/>
  <c r="AD16" i="1723" s="1"/>
  <c r="AB11" i="1723"/>
  <c r="M9" i="1723"/>
  <c r="M11" i="1723"/>
  <c r="M12" i="1723"/>
  <c r="K11" i="1723"/>
  <c r="P14" i="1723"/>
  <c r="AC14" i="1723" s="1"/>
  <c r="AD14" i="1723" s="1"/>
  <c r="K14" i="1723"/>
  <c r="M14" i="1723"/>
  <c r="O12" i="1723"/>
  <c r="P12" i="1723"/>
  <c r="AC12" i="1723" s="1"/>
  <c r="AD12" i="1723" s="1"/>
  <c r="P10" i="1723"/>
  <c r="AC10" i="1723" s="1"/>
  <c r="O9" i="1723"/>
  <c r="K9" i="1723"/>
  <c r="P9" i="1723"/>
  <c r="AC9" i="1723" s="1"/>
  <c r="AD7" i="1723"/>
  <c r="O6" i="1723"/>
  <c r="P6" i="1723"/>
  <c r="AC6" i="1723" s="1"/>
  <c r="M6" i="1723"/>
  <c r="AD15" i="1723"/>
  <c r="AD11" i="1723"/>
  <c r="AD18" i="1723"/>
  <c r="AD21" i="1723"/>
  <c r="AD8" i="1723"/>
  <c r="O17" i="1723"/>
  <c r="O20" i="1723"/>
  <c r="L23" i="1723"/>
  <c r="O23" i="1723" s="1"/>
  <c r="M10" i="1723"/>
  <c r="AB10" i="1723"/>
  <c r="M13" i="1723"/>
  <c r="AB13" i="1723"/>
  <c r="AD13" i="1723" s="1"/>
  <c r="P17" i="1723"/>
  <c r="AC17" i="1723" s="1"/>
  <c r="P20" i="1723"/>
  <c r="AC20" i="1723" s="1"/>
  <c r="Q23" i="1723"/>
  <c r="M17" i="1723"/>
  <c r="M20" i="1723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3" i="1722"/>
  <c r="L21" i="1722"/>
  <c r="L20" i="1722"/>
  <c r="L18" i="1722"/>
  <c r="L17" i="1722"/>
  <c r="K17" i="1722" s="1"/>
  <c r="AF17" i="1722"/>
  <c r="AB17" i="1722"/>
  <c r="Q17" i="1722"/>
  <c r="P17" i="1722" s="1"/>
  <c r="AC17" i="1722" s="1"/>
  <c r="O17" i="1722"/>
  <c r="M17" i="1722"/>
  <c r="I17" i="1722"/>
  <c r="L13" i="1722"/>
  <c r="M13" i="1722" s="1"/>
  <c r="K13" i="1722"/>
  <c r="L14" i="1722"/>
  <c r="L12" i="1722"/>
  <c r="K12" i="1722" s="1"/>
  <c r="L11" i="1722"/>
  <c r="K11" i="1722" s="1"/>
  <c r="L9" i="1722"/>
  <c r="K9" i="1722" s="1"/>
  <c r="L8" i="1722"/>
  <c r="K8" i="1722" s="1"/>
  <c r="K6" i="1722"/>
  <c r="K23" i="1722"/>
  <c r="K22" i="1722"/>
  <c r="K21" i="1722"/>
  <c r="K20" i="1722"/>
  <c r="K18" i="1722"/>
  <c r="K16" i="1722"/>
  <c r="K14" i="1722"/>
  <c r="A79" i="1722"/>
  <c r="A80" i="1722" s="1"/>
  <c r="A81" i="1722" s="1"/>
  <c r="A82" i="1722" s="1"/>
  <c r="A83" i="1722" s="1"/>
  <c r="A84" i="1722" s="1"/>
  <c r="AF65" i="1722"/>
  <c r="AF63" i="1722"/>
  <c r="AF62" i="1722"/>
  <c r="AA24" i="1722"/>
  <c r="Z24" i="1722"/>
  <c r="Y24" i="1722"/>
  <c r="X24" i="1722"/>
  <c r="W24" i="1722"/>
  <c r="V24" i="1722"/>
  <c r="U24" i="1722"/>
  <c r="T24" i="1722"/>
  <c r="S24" i="1722"/>
  <c r="R24" i="1722"/>
  <c r="N24" i="1722"/>
  <c r="J24" i="1722"/>
  <c r="I24" i="1722"/>
  <c r="AF23" i="1722"/>
  <c r="AB23" i="1722"/>
  <c r="Q23" i="1722"/>
  <c r="P23" i="1722"/>
  <c r="AC23" i="1722" s="1"/>
  <c r="O23" i="1722"/>
  <c r="M23" i="1722"/>
  <c r="AF22" i="1722"/>
  <c r="AB22" i="1722"/>
  <c r="Q22" i="1722"/>
  <c r="O22" i="1722"/>
  <c r="M22" i="1722"/>
  <c r="P22" i="1722"/>
  <c r="AC22" i="1722" s="1"/>
  <c r="AF21" i="1722"/>
  <c r="Q21" i="1722"/>
  <c r="O21" i="1722"/>
  <c r="AF20" i="1722"/>
  <c r="Q20" i="1722"/>
  <c r="AF19" i="1722"/>
  <c r="AB19" i="1722"/>
  <c r="Q19" i="1722"/>
  <c r="P19" i="1722"/>
  <c r="AC19" i="1722" s="1"/>
  <c r="O19" i="1722"/>
  <c r="M19" i="1722"/>
  <c r="K19" i="1722"/>
  <c r="AF18" i="1722"/>
  <c r="Q18" i="1722"/>
  <c r="O18" i="1722"/>
  <c r="AF16" i="1722"/>
  <c r="Q16" i="1722"/>
  <c r="P16" i="1722" s="1"/>
  <c r="AC16" i="1722" s="1"/>
  <c r="AB16" i="1722"/>
  <c r="I16" i="1722"/>
  <c r="AF15" i="1722"/>
  <c r="AB15" i="1722"/>
  <c r="Q15" i="1722"/>
  <c r="P15" i="1722"/>
  <c r="AC15" i="1722" s="1"/>
  <c r="AD15" i="1722" s="1"/>
  <c r="O15" i="1722"/>
  <c r="M15" i="1722"/>
  <c r="K15" i="1722"/>
  <c r="AF14" i="1722"/>
  <c r="AB14" i="1722"/>
  <c r="Q14" i="1722"/>
  <c r="P14" i="1722" s="1"/>
  <c r="AC14" i="1722" s="1"/>
  <c r="O14" i="1722"/>
  <c r="M14" i="1722"/>
  <c r="AF13" i="1722"/>
  <c r="Q13" i="1722"/>
  <c r="P13" i="1722" s="1"/>
  <c r="AC13" i="1722" s="1"/>
  <c r="O13" i="1722"/>
  <c r="AF12" i="1722"/>
  <c r="AB12" i="1722"/>
  <c r="Q12" i="1722"/>
  <c r="P12" i="1722" s="1"/>
  <c r="AC12" i="1722" s="1"/>
  <c r="O12" i="1722"/>
  <c r="M12" i="1722"/>
  <c r="AF11" i="1722"/>
  <c r="Q11" i="1722"/>
  <c r="P11" i="1722" s="1"/>
  <c r="AC11" i="1722" s="1"/>
  <c r="AF10" i="1722"/>
  <c r="AB10" i="1722"/>
  <c r="Q10" i="1722"/>
  <c r="P10" i="1722"/>
  <c r="AC10" i="1722" s="1"/>
  <c r="O10" i="1722"/>
  <c r="M10" i="1722"/>
  <c r="K10" i="1722"/>
  <c r="AF9" i="1722"/>
  <c r="AB9" i="1722"/>
  <c r="Q9" i="1722"/>
  <c r="P9" i="1722"/>
  <c r="AC9" i="1722" s="1"/>
  <c r="O9" i="1722"/>
  <c r="M9" i="1722"/>
  <c r="AF8" i="1722"/>
  <c r="AB8" i="1722"/>
  <c r="Q8" i="1722"/>
  <c r="O8" i="1722"/>
  <c r="M8" i="1722"/>
  <c r="P8" i="1722"/>
  <c r="AC8" i="1722" s="1"/>
  <c r="AF7" i="1722"/>
  <c r="AB7" i="1722"/>
  <c r="Q7" i="1722"/>
  <c r="P7" i="1722"/>
  <c r="AC7" i="1722" s="1"/>
  <c r="O7" i="1722"/>
  <c r="M7" i="1722"/>
  <c r="K7" i="1722"/>
  <c r="AF6" i="1722"/>
  <c r="AB6" i="1722"/>
  <c r="Q6" i="1722"/>
  <c r="P6" i="1722" s="1"/>
  <c r="AC6" i="1722" s="1"/>
  <c r="O6" i="1722"/>
  <c r="M6" i="1722"/>
  <c r="AD22" i="1724" l="1"/>
  <c r="AD19" i="1723"/>
  <c r="AD6" i="1723"/>
  <c r="K23" i="1723"/>
  <c r="AD9" i="1723"/>
  <c r="AB23" i="1723"/>
  <c r="P23" i="1723"/>
  <c r="M23" i="1723"/>
  <c r="AD20" i="1723"/>
  <c r="AD10" i="1723"/>
  <c r="AD17" i="1723"/>
  <c r="AC23" i="1723"/>
  <c r="P20" i="1722"/>
  <c r="AC20" i="1722" s="1"/>
  <c r="AB20" i="1722"/>
  <c r="AD17" i="1722"/>
  <c r="AD9" i="1722"/>
  <c r="AD14" i="1722"/>
  <c r="L24" i="1722"/>
  <c r="O24" i="1722" s="1"/>
  <c r="AB13" i="1722"/>
  <c r="AD13" i="1722" s="1"/>
  <c r="Q24" i="1722"/>
  <c r="AB11" i="1722"/>
  <c r="M11" i="1722"/>
  <c r="O11" i="1722"/>
  <c r="AD7" i="1722"/>
  <c r="AD8" i="1722"/>
  <c r="AD10" i="1722"/>
  <c r="AD6" i="1722"/>
  <c r="AD12" i="1722"/>
  <c r="AD22" i="1722"/>
  <c r="AD23" i="1722"/>
  <c r="AD19" i="1722"/>
  <c r="O16" i="1722"/>
  <c r="AD16" i="1722" s="1"/>
  <c r="P18" i="1722"/>
  <c r="AC18" i="1722" s="1"/>
  <c r="AC24" i="1722" s="1"/>
  <c r="O20" i="1722"/>
  <c r="P21" i="1722"/>
  <c r="AC21" i="1722" s="1"/>
  <c r="M18" i="1722"/>
  <c r="AB18" i="1722"/>
  <c r="M21" i="1722"/>
  <c r="AB21" i="1722"/>
  <c r="K24" i="1722"/>
  <c r="M16" i="1722"/>
  <c r="M20" i="1722"/>
  <c r="AE18" i="1724" l="1"/>
  <c r="AE15" i="1724"/>
  <c r="AE14" i="1724"/>
  <c r="AE8" i="1724"/>
  <c r="AE7" i="1724"/>
  <c r="AE19" i="1724"/>
  <c r="AE12" i="1724"/>
  <c r="AE16" i="1724"/>
  <c r="AE13" i="1724"/>
  <c r="AE20" i="1724"/>
  <c r="AE17" i="1724"/>
  <c r="AE10" i="1724"/>
  <c r="AE21" i="1724"/>
  <c r="AE11" i="1724"/>
  <c r="AE9" i="1724"/>
  <c r="AD23" i="1723"/>
  <c r="AD20" i="1722"/>
  <c r="AD11" i="1722"/>
  <c r="P24" i="1722"/>
  <c r="M24" i="1722"/>
  <c r="AB24" i="1722"/>
  <c r="AD18" i="1722"/>
  <c r="AD21" i="1722"/>
  <c r="AE19" i="1723" l="1"/>
  <c r="AE9" i="1723"/>
  <c r="AE22" i="1723"/>
  <c r="AE10" i="1723"/>
  <c r="AE11" i="1723"/>
  <c r="AE18" i="1723"/>
  <c r="AE14" i="1723"/>
  <c r="AE21" i="1723"/>
  <c r="AE13" i="1723"/>
  <c r="AE8" i="1723"/>
  <c r="AE17" i="1723"/>
  <c r="AE16" i="1723"/>
  <c r="AE7" i="1723"/>
  <c r="AE15" i="1723"/>
  <c r="AE12" i="1723"/>
  <c r="AE20" i="1723"/>
  <c r="AD24" i="1722"/>
  <c r="AE12" i="1722" l="1"/>
  <c r="AE17" i="1722"/>
  <c r="AE22" i="1722"/>
  <c r="AE7" i="1722"/>
  <c r="AE15" i="1722"/>
  <c r="AE19" i="1722"/>
  <c r="AE11" i="1722"/>
  <c r="AE18" i="1722"/>
  <c r="AE6" i="1722"/>
  <c r="AE21" i="1722"/>
  <c r="AE9" i="1722"/>
  <c r="AE8" i="1722"/>
  <c r="AE10" i="1722"/>
  <c r="AE20" i="1722"/>
  <c r="AE23" i="1722"/>
  <c r="AE14" i="1722"/>
  <c r="AE13" i="1722"/>
  <c r="AE16" i="1722"/>
  <c r="AB19" i="16" l="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2" i="1721"/>
  <c r="L21" i="1721"/>
  <c r="L20" i="1721"/>
  <c r="L19" i="1721"/>
  <c r="K19" i="1721"/>
  <c r="AF19" i="1721"/>
  <c r="Q19" i="1721"/>
  <c r="AB19" i="1721"/>
  <c r="L17" i="1721"/>
  <c r="L16" i="1721"/>
  <c r="K16" i="1721"/>
  <c r="I16" i="1721"/>
  <c r="L14" i="1721"/>
  <c r="K14" i="1721" s="1"/>
  <c r="AF14" i="1721"/>
  <c r="Q14" i="1721"/>
  <c r="L12" i="1721"/>
  <c r="K12" i="1721" s="1"/>
  <c r="L11" i="1721"/>
  <c r="K11" i="1721" s="1"/>
  <c r="L9" i="1721"/>
  <c r="L8" i="1721"/>
  <c r="L6" i="1721"/>
  <c r="K22" i="1721"/>
  <c r="K21" i="1721"/>
  <c r="K20" i="1721"/>
  <c r="K17" i="1721"/>
  <c r="K13" i="1721"/>
  <c r="K8" i="1721"/>
  <c r="K6" i="1721"/>
  <c r="A80" i="1721"/>
  <c r="A81" i="1721" s="1"/>
  <c r="A82" i="1721" s="1"/>
  <c r="A83" i="1721" s="1"/>
  <c r="A79" i="1721"/>
  <c r="A78" i="1721"/>
  <c r="AF62" i="1721"/>
  <c r="AF61" i="1721"/>
  <c r="AF64" i="1721" s="1"/>
  <c r="AA23" i="1721"/>
  <c r="Z23" i="1721"/>
  <c r="Y23" i="1721"/>
  <c r="X23" i="1721"/>
  <c r="W23" i="1721"/>
  <c r="V23" i="1721"/>
  <c r="U23" i="1721"/>
  <c r="T23" i="1721"/>
  <c r="S23" i="1721"/>
  <c r="R23" i="1721"/>
  <c r="N23" i="1721"/>
  <c r="J23" i="1721"/>
  <c r="I23" i="1721"/>
  <c r="AF22" i="1721"/>
  <c r="AB22" i="1721"/>
  <c r="Q22" i="1721"/>
  <c r="M22" i="1721"/>
  <c r="P22" i="1721"/>
  <c r="AC22" i="1721" s="1"/>
  <c r="AF21" i="1721"/>
  <c r="AB21" i="1721"/>
  <c r="Q21" i="1721"/>
  <c r="O21" i="1721"/>
  <c r="M21" i="1721"/>
  <c r="AF20" i="1721"/>
  <c r="Q20" i="1721"/>
  <c r="O20" i="1721"/>
  <c r="AB20" i="1721"/>
  <c r="AF18" i="1721"/>
  <c r="AB18" i="1721"/>
  <c r="Q18" i="1721"/>
  <c r="P18" i="1721"/>
  <c r="AC18" i="1721" s="1"/>
  <c r="AD18" i="1721" s="1"/>
  <c r="O18" i="1721"/>
  <c r="M18" i="1721"/>
  <c r="K18" i="1721"/>
  <c r="AF17" i="1721"/>
  <c r="AB17" i="1721"/>
  <c r="Q17" i="1721"/>
  <c r="M17" i="1721"/>
  <c r="P17" i="1721"/>
  <c r="AC17" i="1721" s="1"/>
  <c r="AF16" i="1721"/>
  <c r="AB16" i="1721"/>
  <c r="Q16" i="1721"/>
  <c r="P16" i="1721"/>
  <c r="AC16" i="1721" s="1"/>
  <c r="O16" i="1721"/>
  <c r="M16" i="1721"/>
  <c r="AF15" i="1721"/>
  <c r="AB15" i="1721"/>
  <c r="Q15" i="1721"/>
  <c r="P15" i="1721"/>
  <c r="AC15" i="1721" s="1"/>
  <c r="AD15" i="1721" s="1"/>
  <c r="O15" i="1721"/>
  <c r="M15" i="1721"/>
  <c r="K15" i="1721"/>
  <c r="AF13" i="1721"/>
  <c r="Q13" i="1721"/>
  <c r="P13" i="1721" s="1"/>
  <c r="AC13" i="1721" s="1"/>
  <c r="AF12" i="1721"/>
  <c r="AB12" i="1721"/>
  <c r="Q12" i="1721"/>
  <c r="P12" i="1721" s="1"/>
  <c r="AC12" i="1721" s="1"/>
  <c r="O12" i="1721"/>
  <c r="M12" i="1721"/>
  <c r="AF11" i="1721"/>
  <c r="AB11" i="1721"/>
  <c r="Q11" i="1721"/>
  <c r="P11" i="1721" s="1"/>
  <c r="AC11" i="1721" s="1"/>
  <c r="O11" i="1721"/>
  <c r="AF10" i="1721"/>
  <c r="AB10" i="1721"/>
  <c r="Q10" i="1721"/>
  <c r="P10" i="1721"/>
  <c r="AC10" i="1721" s="1"/>
  <c r="O10" i="1721"/>
  <c r="M10" i="1721"/>
  <c r="K10" i="1721"/>
  <c r="AF9" i="1721"/>
  <c r="AB9" i="1721"/>
  <c r="Q9" i="1721"/>
  <c r="P9" i="1721"/>
  <c r="AC9" i="1721" s="1"/>
  <c r="AD9" i="1721" s="1"/>
  <c r="O9" i="1721"/>
  <c r="M9" i="1721"/>
  <c r="K9" i="1721"/>
  <c r="AF8" i="1721"/>
  <c r="AB8" i="1721"/>
  <c r="Q8" i="1721"/>
  <c r="O8" i="1721"/>
  <c r="M8" i="1721"/>
  <c r="AF7" i="1721"/>
  <c r="AB7" i="1721"/>
  <c r="Q7" i="1721"/>
  <c r="P7" i="1721"/>
  <c r="AC7" i="1721" s="1"/>
  <c r="AD7" i="1721" s="1"/>
  <c r="O7" i="1721"/>
  <c r="M7" i="1721"/>
  <c r="K7" i="1721"/>
  <c r="AF6" i="1721"/>
  <c r="AB6" i="1721"/>
  <c r="Q6" i="1721"/>
  <c r="M6" i="1721"/>
  <c r="P21" i="1721" l="1"/>
  <c r="AC21" i="1721" s="1"/>
  <c r="O19" i="1721"/>
  <c r="P19" i="1721"/>
  <c r="AC19" i="1721" s="1"/>
  <c r="M19" i="1721"/>
  <c r="AD16" i="1721"/>
  <c r="P14" i="1721"/>
  <c r="AC14" i="1721" s="1"/>
  <c r="AB14" i="1721"/>
  <c r="M14" i="1721"/>
  <c r="O14" i="1721"/>
  <c r="AD21" i="1721"/>
  <c r="Q23" i="1721"/>
  <c r="M11" i="1721"/>
  <c r="P8" i="1721"/>
  <c r="AC8" i="1721" s="1"/>
  <c r="AD8" i="1721" s="1"/>
  <c r="P6" i="1721"/>
  <c r="AC6" i="1721" s="1"/>
  <c r="O6" i="1721"/>
  <c r="AD11" i="1721"/>
  <c r="AD12" i="1721"/>
  <c r="AD10" i="1721"/>
  <c r="M13" i="1721"/>
  <c r="AB13" i="1721"/>
  <c r="O17" i="1721"/>
  <c r="AD17" i="1721" s="1"/>
  <c r="P20" i="1721"/>
  <c r="AC20" i="1721" s="1"/>
  <c r="AD20" i="1721" s="1"/>
  <c r="O22" i="1721"/>
  <c r="AD22" i="1721" s="1"/>
  <c r="L23" i="1721"/>
  <c r="O23" i="1721" s="1"/>
  <c r="O13" i="1721"/>
  <c r="K23" i="1721"/>
  <c r="M20" i="1721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1" i="1720"/>
  <c r="K21" i="1720"/>
  <c r="L19" i="1720"/>
  <c r="L16" i="1720"/>
  <c r="M16" i="1720" s="1"/>
  <c r="K16" i="1720"/>
  <c r="L13" i="1720"/>
  <c r="K13" i="1720"/>
  <c r="K20" i="1720"/>
  <c r="K19" i="1720"/>
  <c r="K18" i="1720"/>
  <c r="K17" i="1720"/>
  <c r="K12" i="1720"/>
  <c r="K11" i="1720"/>
  <c r="K10" i="1720"/>
  <c r="K9" i="1720"/>
  <c r="K8" i="1720"/>
  <c r="K6" i="1720"/>
  <c r="A77" i="1720"/>
  <c r="A78" i="1720" s="1"/>
  <c r="A79" i="1720" s="1"/>
  <c r="A80" i="1720" s="1"/>
  <c r="A81" i="1720" s="1"/>
  <c r="A82" i="1720" s="1"/>
  <c r="AF61" i="1720"/>
  <c r="AF63" i="1720" s="1"/>
  <c r="AF60" i="1720"/>
  <c r="AA22" i="1720"/>
  <c r="Z22" i="1720"/>
  <c r="Y22" i="1720"/>
  <c r="X22" i="1720"/>
  <c r="W22" i="1720"/>
  <c r="V22" i="1720"/>
  <c r="U22" i="1720"/>
  <c r="T22" i="1720"/>
  <c r="S22" i="1720"/>
  <c r="R22" i="1720"/>
  <c r="N22" i="1720"/>
  <c r="J22" i="1720"/>
  <c r="I22" i="1720"/>
  <c r="AF21" i="1720"/>
  <c r="AB21" i="1720"/>
  <c r="Q21" i="1720"/>
  <c r="O21" i="1720"/>
  <c r="M21" i="1720"/>
  <c r="AF20" i="1720"/>
  <c r="Q20" i="1720"/>
  <c r="P20" i="1720"/>
  <c r="AC20" i="1720" s="1"/>
  <c r="M20" i="1720"/>
  <c r="O20" i="1720"/>
  <c r="AF19" i="1720"/>
  <c r="Q19" i="1720"/>
  <c r="O19" i="1720"/>
  <c r="AB19" i="1720"/>
  <c r="AF18" i="1720"/>
  <c r="AB18" i="1720"/>
  <c r="Q18" i="1720"/>
  <c r="P18" i="1720"/>
  <c r="AC18" i="1720" s="1"/>
  <c r="O18" i="1720"/>
  <c r="M18" i="1720"/>
  <c r="AF17" i="1720"/>
  <c r="Q17" i="1720"/>
  <c r="P17" i="1720"/>
  <c r="AC17" i="1720" s="1"/>
  <c r="AF16" i="1720"/>
  <c r="AB16" i="1720"/>
  <c r="Q16" i="1720"/>
  <c r="P16" i="1720"/>
  <c r="AC16" i="1720" s="1"/>
  <c r="O16" i="1720"/>
  <c r="AF15" i="1720"/>
  <c r="AB15" i="1720"/>
  <c r="Q15" i="1720"/>
  <c r="P15" i="1720"/>
  <c r="AC15" i="1720" s="1"/>
  <c r="AD15" i="1720" s="1"/>
  <c r="O15" i="1720"/>
  <c r="M15" i="1720"/>
  <c r="K15" i="1720"/>
  <c r="AF14" i="1720"/>
  <c r="AB14" i="1720"/>
  <c r="Q14" i="1720"/>
  <c r="P14" i="1720"/>
  <c r="AC14" i="1720" s="1"/>
  <c r="AD14" i="1720" s="1"/>
  <c r="O14" i="1720"/>
  <c r="M14" i="1720"/>
  <c r="K14" i="1720"/>
  <c r="AF13" i="1720"/>
  <c r="Q13" i="1720"/>
  <c r="O13" i="1720"/>
  <c r="AB13" i="1720"/>
  <c r="AF12" i="1720"/>
  <c r="AB12" i="1720"/>
  <c r="Q12" i="1720"/>
  <c r="P12" i="1720"/>
  <c r="AC12" i="1720" s="1"/>
  <c r="O12" i="1720"/>
  <c r="M12" i="1720"/>
  <c r="AF11" i="1720"/>
  <c r="Q11" i="1720"/>
  <c r="P11" i="1720"/>
  <c r="AC11" i="1720" s="1"/>
  <c r="AF10" i="1720"/>
  <c r="AB10" i="1720"/>
  <c r="Q10" i="1720"/>
  <c r="P10" i="1720"/>
  <c r="AC10" i="1720" s="1"/>
  <c r="M10" i="1720"/>
  <c r="O10" i="1720"/>
  <c r="AF9" i="1720"/>
  <c r="Q9" i="1720"/>
  <c r="O9" i="1720"/>
  <c r="AB9" i="1720"/>
  <c r="AF8" i="1720"/>
  <c r="AB8" i="1720"/>
  <c r="Q8" i="1720"/>
  <c r="P8" i="1720" s="1"/>
  <c r="AC8" i="1720" s="1"/>
  <c r="O8" i="1720"/>
  <c r="M8" i="1720"/>
  <c r="AF7" i="1720"/>
  <c r="AB7" i="1720"/>
  <c r="Q7" i="1720"/>
  <c r="P7" i="1720"/>
  <c r="AC7" i="1720" s="1"/>
  <c r="AD7" i="1720" s="1"/>
  <c r="O7" i="1720"/>
  <c r="M7" i="1720"/>
  <c r="K7" i="1720"/>
  <c r="AF6" i="1720"/>
  <c r="Q6" i="1720"/>
  <c r="O6" i="1720"/>
  <c r="AB6" i="1720"/>
  <c r="AD19" i="1721" l="1"/>
  <c r="AB23" i="1721"/>
  <c r="AD14" i="1721"/>
  <c r="M23" i="1721"/>
  <c r="P23" i="1721"/>
  <c r="AD6" i="1721"/>
  <c r="AD13" i="1721"/>
  <c r="AC23" i="1721"/>
  <c r="P21" i="1720"/>
  <c r="AC21" i="1720" s="1"/>
  <c r="AD21" i="1720"/>
  <c r="AD18" i="1720"/>
  <c r="AD16" i="1720"/>
  <c r="Q22" i="1720"/>
  <c r="AD12" i="1720"/>
  <c r="AD8" i="1720"/>
  <c r="AD10" i="1720"/>
  <c r="P6" i="1720"/>
  <c r="P9" i="1720"/>
  <c r="AC9" i="1720" s="1"/>
  <c r="AD9" i="1720" s="1"/>
  <c r="M11" i="1720"/>
  <c r="AB11" i="1720"/>
  <c r="P13" i="1720"/>
  <c r="AC13" i="1720" s="1"/>
  <c r="AD13" i="1720" s="1"/>
  <c r="M17" i="1720"/>
  <c r="AB17" i="1720"/>
  <c r="AD17" i="1720" s="1"/>
  <c r="P19" i="1720"/>
  <c r="AC19" i="1720" s="1"/>
  <c r="AD19" i="1720" s="1"/>
  <c r="O17" i="1720"/>
  <c r="AB20" i="1720"/>
  <c r="AD20" i="1720" s="1"/>
  <c r="L22" i="1720"/>
  <c r="O22" i="1720" s="1"/>
  <c r="O11" i="1720"/>
  <c r="M6" i="1720"/>
  <c r="M9" i="1720"/>
  <c r="M13" i="1720"/>
  <c r="M19" i="1720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0" i="1719"/>
  <c r="L19" i="1719"/>
  <c r="L18" i="1719"/>
  <c r="L17" i="1719"/>
  <c r="K17" i="1719"/>
  <c r="L16" i="1719"/>
  <c r="K16" i="1719"/>
  <c r="L13" i="1719"/>
  <c r="L12" i="1719"/>
  <c r="L11" i="1719"/>
  <c r="L10" i="1719"/>
  <c r="L9" i="1719"/>
  <c r="L8" i="1719"/>
  <c r="L6" i="1719"/>
  <c r="AD23" i="1721" l="1"/>
  <c r="AD11" i="1720"/>
  <c r="AB22" i="1720"/>
  <c r="AC6" i="1720"/>
  <c r="P22" i="1720"/>
  <c r="M22" i="1720"/>
  <c r="K22" i="1720"/>
  <c r="K20" i="1719"/>
  <c r="K19" i="1719"/>
  <c r="K18" i="1719"/>
  <c r="K13" i="1719"/>
  <c r="K12" i="1719"/>
  <c r="K11" i="1719"/>
  <c r="K10" i="1719"/>
  <c r="K9" i="1719"/>
  <c r="K8" i="1719"/>
  <c r="K6" i="1719"/>
  <c r="A77" i="1719"/>
  <c r="A78" i="1719" s="1"/>
  <c r="A79" i="1719" s="1"/>
  <c r="A80" i="1719" s="1"/>
  <c r="A81" i="1719" s="1"/>
  <c r="A82" i="1719" s="1"/>
  <c r="AF63" i="1719"/>
  <c r="AF61" i="1719"/>
  <c r="AF60" i="1719"/>
  <c r="AA22" i="1719"/>
  <c r="Z22" i="1719"/>
  <c r="Y22" i="1719"/>
  <c r="X22" i="1719"/>
  <c r="W22" i="1719"/>
  <c r="V22" i="1719"/>
  <c r="U22" i="1719"/>
  <c r="T22" i="1719"/>
  <c r="S22" i="1719"/>
  <c r="R22" i="1719"/>
  <c r="N22" i="1719"/>
  <c r="J22" i="1719"/>
  <c r="I22" i="1719"/>
  <c r="AF21" i="1719"/>
  <c r="AB21" i="1719"/>
  <c r="Q21" i="1719"/>
  <c r="P21" i="1719"/>
  <c r="AC21" i="1719" s="1"/>
  <c r="AD21" i="1719" s="1"/>
  <c r="O21" i="1719"/>
  <c r="M21" i="1719"/>
  <c r="K21" i="1719"/>
  <c r="AF20" i="1719"/>
  <c r="Q20" i="1719"/>
  <c r="O20" i="1719"/>
  <c r="AF19" i="1719"/>
  <c r="Q19" i="1719"/>
  <c r="AB19" i="1719"/>
  <c r="AF18" i="1719"/>
  <c r="Q18" i="1719"/>
  <c r="P18" i="1719" s="1"/>
  <c r="AC18" i="1719" s="1"/>
  <c r="O18" i="1719"/>
  <c r="AB18" i="1719"/>
  <c r="AF17" i="1719"/>
  <c r="AB17" i="1719"/>
  <c r="Q17" i="1719"/>
  <c r="P17" i="1719" s="1"/>
  <c r="AC17" i="1719" s="1"/>
  <c r="AD17" i="1719" s="1"/>
  <c r="O17" i="1719"/>
  <c r="M17" i="1719"/>
  <c r="AF16" i="1719"/>
  <c r="Q16" i="1719"/>
  <c r="AB16" i="1719"/>
  <c r="AF15" i="1719"/>
  <c r="AB15" i="1719"/>
  <c r="Q15" i="1719"/>
  <c r="P15" i="1719"/>
  <c r="AC15" i="1719" s="1"/>
  <c r="O15" i="1719"/>
  <c r="M15" i="1719"/>
  <c r="K15" i="1719"/>
  <c r="AF14" i="1719"/>
  <c r="AC14" i="1719"/>
  <c r="AB14" i="1719"/>
  <c r="Q14" i="1719"/>
  <c r="P14" i="1719"/>
  <c r="O14" i="1719"/>
  <c r="M14" i="1719"/>
  <c r="K14" i="1719"/>
  <c r="AF13" i="1719"/>
  <c r="Q13" i="1719"/>
  <c r="P13" i="1719" s="1"/>
  <c r="AC13" i="1719" s="1"/>
  <c r="O13" i="1719"/>
  <c r="AB13" i="1719"/>
  <c r="AF12" i="1719"/>
  <c r="AB12" i="1719"/>
  <c r="Q12" i="1719"/>
  <c r="P12" i="1719"/>
  <c r="AC12" i="1719" s="1"/>
  <c r="O12" i="1719"/>
  <c r="M12" i="1719"/>
  <c r="AF11" i="1719"/>
  <c r="AB11" i="1719"/>
  <c r="Q11" i="1719"/>
  <c r="M11" i="1719"/>
  <c r="P11" i="1719"/>
  <c r="AC11" i="1719" s="1"/>
  <c r="AF10" i="1719"/>
  <c r="Q10" i="1719"/>
  <c r="AB10" i="1719"/>
  <c r="AF9" i="1719"/>
  <c r="Q9" i="1719"/>
  <c r="P9" i="1719" s="1"/>
  <c r="AC9" i="1719" s="1"/>
  <c r="O9" i="1719"/>
  <c r="AB9" i="1719"/>
  <c r="AF8" i="1719"/>
  <c r="AB8" i="1719"/>
  <c r="Q8" i="1719"/>
  <c r="P8" i="1719"/>
  <c r="AC8" i="1719" s="1"/>
  <c r="O8" i="1719"/>
  <c r="M8" i="1719"/>
  <c r="AF7" i="1719"/>
  <c r="AB7" i="1719"/>
  <c r="Q7" i="1719"/>
  <c r="P7" i="1719"/>
  <c r="AC7" i="1719" s="1"/>
  <c r="AD7" i="1719" s="1"/>
  <c r="O7" i="1719"/>
  <c r="M7" i="1719"/>
  <c r="K7" i="1719"/>
  <c r="AF6" i="1719"/>
  <c r="Q6" i="1719"/>
  <c r="O6" i="1719"/>
  <c r="L22" i="1719"/>
  <c r="O22" i="1719" s="1"/>
  <c r="AE13" i="1721" l="1"/>
  <c r="AE19" i="1721"/>
  <c r="AE14" i="1721"/>
  <c r="AE8" i="1721"/>
  <c r="AE21" i="1721"/>
  <c r="AE22" i="1721"/>
  <c r="AE18" i="1721"/>
  <c r="AE9" i="1721"/>
  <c r="AE16" i="1721"/>
  <c r="AE11" i="1721"/>
  <c r="AE10" i="1721"/>
  <c r="AE15" i="1721"/>
  <c r="AE6" i="1721"/>
  <c r="AE17" i="1721"/>
  <c r="AE12" i="1721"/>
  <c r="AE20" i="1721"/>
  <c r="AE7" i="1721"/>
  <c r="AC22" i="1720"/>
  <c r="AD6" i="1720"/>
  <c r="AD22" i="1720" s="1"/>
  <c r="AD18" i="1719"/>
  <c r="AD12" i="1719"/>
  <c r="AD8" i="1719"/>
  <c r="Q22" i="1719"/>
  <c r="P6" i="1719"/>
  <c r="AC6" i="1719" s="1"/>
  <c r="AD13" i="1719"/>
  <c r="AD14" i="1719"/>
  <c r="AD15" i="1719"/>
  <c r="AD9" i="1719"/>
  <c r="M10" i="1719"/>
  <c r="O11" i="1719"/>
  <c r="AD11" i="1719" s="1"/>
  <c r="M6" i="1719"/>
  <c r="AB6" i="1719"/>
  <c r="M9" i="1719"/>
  <c r="O10" i="1719"/>
  <c r="M13" i="1719"/>
  <c r="O16" i="1719"/>
  <c r="M18" i="1719"/>
  <c r="O19" i="1719"/>
  <c r="P20" i="1719"/>
  <c r="AC20" i="1719" s="1"/>
  <c r="K22" i="1719"/>
  <c r="P10" i="1719"/>
  <c r="AC10" i="1719" s="1"/>
  <c r="P16" i="1719"/>
  <c r="AC16" i="1719" s="1"/>
  <c r="AD16" i="1719" s="1"/>
  <c r="P19" i="1719"/>
  <c r="AC19" i="1719" s="1"/>
  <c r="AD19" i="1719" s="1"/>
  <c r="M20" i="1719"/>
  <c r="AB20" i="1719"/>
  <c r="M16" i="1719"/>
  <c r="M19" i="1719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718"/>
  <c r="M20" i="1718" s="1"/>
  <c r="L19" i="1718"/>
  <c r="L18" i="1718"/>
  <c r="K18" i="1718"/>
  <c r="L16" i="1718"/>
  <c r="K16" i="1718"/>
  <c r="L13" i="1718"/>
  <c r="O13" i="1718" s="1"/>
  <c r="L12" i="1718"/>
  <c r="O12" i="1718" s="1"/>
  <c r="L11" i="1718"/>
  <c r="O11" i="1718" s="1"/>
  <c r="L10" i="1718"/>
  <c r="L9" i="1718"/>
  <c r="L8" i="1718"/>
  <c r="L6" i="1718"/>
  <c r="K21" i="1718"/>
  <c r="K19" i="1718"/>
  <c r="K17" i="1718"/>
  <c r="K13" i="1718"/>
  <c r="K12" i="1718"/>
  <c r="K11" i="1718"/>
  <c r="K10" i="1718"/>
  <c r="K9" i="1718"/>
  <c r="K8" i="1718"/>
  <c r="K7" i="1718"/>
  <c r="K6" i="1718"/>
  <c r="A77" i="1718"/>
  <c r="A78" i="1718" s="1"/>
  <c r="A79" i="1718" s="1"/>
  <c r="A80" i="1718" s="1"/>
  <c r="A81" i="1718" s="1"/>
  <c r="A82" i="1718" s="1"/>
  <c r="AF63" i="1718"/>
  <c r="AF61" i="1718"/>
  <c r="AF60" i="1718"/>
  <c r="AA22" i="1718"/>
  <c r="Z22" i="1718"/>
  <c r="Y22" i="1718"/>
  <c r="X22" i="1718"/>
  <c r="W22" i="1718"/>
  <c r="V22" i="1718"/>
  <c r="U22" i="1718"/>
  <c r="T22" i="1718"/>
  <c r="S22" i="1718"/>
  <c r="R22" i="1718"/>
  <c r="N22" i="1718"/>
  <c r="J22" i="1718"/>
  <c r="I22" i="1718"/>
  <c r="AF21" i="1718"/>
  <c r="AB21" i="1718"/>
  <c r="Q21" i="1718"/>
  <c r="P21" i="1718"/>
  <c r="AC21" i="1718" s="1"/>
  <c r="O21" i="1718"/>
  <c r="M21" i="1718"/>
  <c r="AF20" i="1718"/>
  <c r="Q20" i="1718"/>
  <c r="O20" i="1718"/>
  <c r="AF19" i="1718"/>
  <c r="Q19" i="1718"/>
  <c r="O19" i="1718"/>
  <c r="AF18" i="1718"/>
  <c r="AB18" i="1718"/>
  <c r="Q18" i="1718"/>
  <c r="O18" i="1718"/>
  <c r="M18" i="1718"/>
  <c r="AF17" i="1718"/>
  <c r="AB17" i="1718"/>
  <c r="Q17" i="1718"/>
  <c r="O17" i="1718"/>
  <c r="M17" i="1718"/>
  <c r="P17" i="1718"/>
  <c r="AC17" i="1718" s="1"/>
  <c r="AF16" i="1718"/>
  <c r="AB16" i="1718"/>
  <c r="Q16" i="1718"/>
  <c r="P16" i="1718"/>
  <c r="AC16" i="1718" s="1"/>
  <c r="O16" i="1718"/>
  <c r="M16" i="1718"/>
  <c r="AF15" i="1718"/>
  <c r="AB15" i="1718"/>
  <c r="Q15" i="1718"/>
  <c r="P15" i="1718"/>
  <c r="AC15" i="1718" s="1"/>
  <c r="AD15" i="1718" s="1"/>
  <c r="O15" i="1718"/>
  <c r="M15" i="1718"/>
  <c r="K15" i="1718"/>
  <c r="AF14" i="1718"/>
  <c r="AB14" i="1718"/>
  <c r="Q14" i="1718"/>
  <c r="P14" i="1718"/>
  <c r="AC14" i="1718" s="1"/>
  <c r="O14" i="1718"/>
  <c r="M14" i="1718"/>
  <c r="K14" i="1718"/>
  <c r="AF13" i="1718"/>
  <c r="AB13" i="1718"/>
  <c r="Q13" i="1718"/>
  <c r="P13" i="1718"/>
  <c r="AC13" i="1718" s="1"/>
  <c r="M13" i="1718"/>
  <c r="AF12" i="1718"/>
  <c r="AB12" i="1718"/>
  <c r="Q12" i="1718"/>
  <c r="M12" i="1718"/>
  <c r="P12" i="1718"/>
  <c r="AC12" i="1718" s="1"/>
  <c r="AF11" i="1718"/>
  <c r="Q11" i="1718"/>
  <c r="AF10" i="1718"/>
  <c r="Q10" i="1718"/>
  <c r="P10" i="1718"/>
  <c r="AC10" i="1718" s="1"/>
  <c r="AB10" i="1718"/>
  <c r="AF9" i="1718"/>
  <c r="Q9" i="1718"/>
  <c r="P9" i="1718" s="1"/>
  <c r="AC9" i="1718" s="1"/>
  <c r="O9" i="1718"/>
  <c r="AB9" i="1718"/>
  <c r="AF8" i="1718"/>
  <c r="AB8" i="1718"/>
  <c r="Q8" i="1718"/>
  <c r="O8" i="1718"/>
  <c r="M8" i="1718"/>
  <c r="P8" i="1718"/>
  <c r="AC8" i="1718" s="1"/>
  <c r="AF7" i="1718"/>
  <c r="Q7" i="1718"/>
  <c r="O7" i="1718"/>
  <c r="AF6" i="1718"/>
  <c r="Q6" i="1718"/>
  <c r="P6" i="1718"/>
  <c r="AB6" i="1718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717"/>
  <c r="M21" i="1717" s="1"/>
  <c r="L20" i="1717"/>
  <c r="L19" i="1717"/>
  <c r="AB19" i="1717" s="1"/>
  <c r="K18" i="1717"/>
  <c r="L17" i="1717"/>
  <c r="L13" i="1717"/>
  <c r="K13" i="1717" s="1"/>
  <c r="L12" i="1717"/>
  <c r="K12" i="1717" s="1"/>
  <c r="L11" i="1717"/>
  <c r="K11" i="1717" s="1"/>
  <c r="L10" i="1717"/>
  <c r="K10" i="1717" s="1"/>
  <c r="L9" i="1717"/>
  <c r="K9" i="1717" s="1"/>
  <c r="L8" i="1717"/>
  <c r="K8" i="1717" s="1"/>
  <c r="L7" i="1717"/>
  <c r="K7" i="1717"/>
  <c r="L6" i="1717"/>
  <c r="K6" i="1717" s="1"/>
  <c r="K21" i="1717"/>
  <c r="K20" i="1717"/>
  <c r="K19" i="1717"/>
  <c r="K17" i="1717"/>
  <c r="K16" i="1717"/>
  <c r="A77" i="1717"/>
  <c r="A78" i="1717" s="1"/>
  <c r="A79" i="1717" s="1"/>
  <c r="A80" i="1717" s="1"/>
  <c r="A81" i="1717" s="1"/>
  <c r="A82" i="1717" s="1"/>
  <c r="AF61" i="1717"/>
  <c r="AF60" i="1717"/>
  <c r="AF63" i="1717" s="1"/>
  <c r="AA22" i="1717"/>
  <c r="Z22" i="1717"/>
  <c r="Y22" i="1717"/>
  <c r="X22" i="1717"/>
  <c r="W22" i="1717"/>
  <c r="V22" i="1717"/>
  <c r="U22" i="1717"/>
  <c r="T22" i="1717"/>
  <c r="S22" i="1717"/>
  <c r="R22" i="1717"/>
  <c r="N22" i="1717"/>
  <c r="J22" i="1717"/>
  <c r="I22" i="1717"/>
  <c r="AF21" i="1717"/>
  <c r="AB21" i="1717"/>
  <c r="Q21" i="1717"/>
  <c r="P21" i="1717"/>
  <c r="AC21" i="1717" s="1"/>
  <c r="AD21" i="1717" s="1"/>
  <c r="O21" i="1717"/>
  <c r="AF20" i="1717"/>
  <c r="Q20" i="1717"/>
  <c r="P20" i="1717"/>
  <c r="AC20" i="1717" s="1"/>
  <c r="AF19" i="1717"/>
  <c r="Q19" i="1717"/>
  <c r="P19" i="1717"/>
  <c r="AC19" i="1717" s="1"/>
  <c r="O19" i="1717"/>
  <c r="AF18" i="1717"/>
  <c r="AB18" i="1717"/>
  <c r="Q18" i="1717"/>
  <c r="P18" i="1717" s="1"/>
  <c r="AC18" i="1717" s="1"/>
  <c r="O18" i="1717"/>
  <c r="M18" i="1717"/>
  <c r="AF17" i="1717"/>
  <c r="Q17" i="1717"/>
  <c r="P17" i="1717"/>
  <c r="AC17" i="1717" s="1"/>
  <c r="AF16" i="1717"/>
  <c r="AB16" i="1717"/>
  <c r="Q16" i="1717"/>
  <c r="P16" i="1717"/>
  <c r="AC16" i="1717" s="1"/>
  <c r="AD16" i="1717" s="1"/>
  <c r="O16" i="1717"/>
  <c r="M16" i="1717"/>
  <c r="AF15" i="1717"/>
  <c r="AC15" i="1717"/>
  <c r="AB15" i="1717"/>
  <c r="Q15" i="1717"/>
  <c r="P15" i="1717"/>
  <c r="O15" i="1717"/>
  <c r="M15" i="1717"/>
  <c r="K15" i="1717"/>
  <c r="AF14" i="1717"/>
  <c r="AC14" i="1717"/>
  <c r="AD14" i="1717" s="1"/>
  <c r="AB14" i="1717"/>
  <c r="Q14" i="1717"/>
  <c r="P14" i="1717"/>
  <c r="O14" i="1717"/>
  <c r="M14" i="1717"/>
  <c r="K14" i="1717"/>
  <c r="AF13" i="1717"/>
  <c r="Q13" i="1717"/>
  <c r="AB13" i="1717"/>
  <c r="AF12" i="1717"/>
  <c r="AB12" i="1717"/>
  <c r="Q12" i="1717"/>
  <c r="P12" i="1717"/>
  <c r="AC12" i="1717" s="1"/>
  <c r="M12" i="1717"/>
  <c r="O12" i="1717"/>
  <c r="AF11" i="1717"/>
  <c r="Q11" i="1717"/>
  <c r="P11" i="1717"/>
  <c r="AC11" i="1717" s="1"/>
  <c r="AF10" i="1717"/>
  <c r="Q10" i="1717"/>
  <c r="P10" i="1717" s="1"/>
  <c r="AC10" i="1717" s="1"/>
  <c r="O10" i="1717"/>
  <c r="AF9" i="1717"/>
  <c r="Q9" i="1717"/>
  <c r="O9" i="1717"/>
  <c r="AF8" i="1717"/>
  <c r="AB8" i="1717"/>
  <c r="Q8" i="1717"/>
  <c r="M8" i="1717"/>
  <c r="O8" i="1717"/>
  <c r="AF7" i="1717"/>
  <c r="AB7" i="1717"/>
  <c r="Q7" i="1717"/>
  <c r="P7" i="1717" s="1"/>
  <c r="AC7" i="1717" s="1"/>
  <c r="O7" i="1717"/>
  <c r="M7" i="1717"/>
  <c r="AF6" i="1717"/>
  <c r="Q6" i="1717"/>
  <c r="O6" i="1717"/>
  <c r="AB6" i="1717"/>
  <c r="AE21" i="1720" l="1"/>
  <c r="AE18" i="1720"/>
  <c r="AE12" i="1720"/>
  <c r="AE8" i="1720"/>
  <c r="AE13" i="1720"/>
  <c r="AE7" i="1720"/>
  <c r="AE19" i="1720"/>
  <c r="AE15" i="1720"/>
  <c r="AE9" i="1720"/>
  <c r="AE6" i="1720"/>
  <c r="AE17" i="1720"/>
  <c r="AE14" i="1720"/>
  <c r="AE11" i="1720"/>
  <c r="AE20" i="1720"/>
  <c r="AE16" i="1720"/>
  <c r="AE10" i="1720"/>
  <c r="AB22" i="1719"/>
  <c r="AD10" i="1719"/>
  <c r="P22" i="1719"/>
  <c r="AD6" i="1719"/>
  <c r="AD22" i="1719" s="1"/>
  <c r="M22" i="1719"/>
  <c r="AD20" i="1719"/>
  <c r="AC22" i="1719"/>
  <c r="P20" i="1718"/>
  <c r="AC20" i="1718" s="1"/>
  <c r="AB20" i="1718"/>
  <c r="K20" i="1718"/>
  <c r="P18" i="1718"/>
  <c r="AC18" i="1718" s="1"/>
  <c r="AD18" i="1718" s="1"/>
  <c r="Q22" i="1718"/>
  <c r="AD8" i="1718"/>
  <c r="AD21" i="1718"/>
  <c r="AD13" i="1718"/>
  <c r="AD16" i="1718"/>
  <c r="AD17" i="1718"/>
  <c r="AD12" i="1718"/>
  <c r="AD14" i="1718"/>
  <c r="AD9" i="1718"/>
  <c r="O6" i="1718"/>
  <c r="AC6" i="1718"/>
  <c r="K22" i="1718"/>
  <c r="P7" i="1718"/>
  <c r="AC7" i="1718" s="1"/>
  <c r="AD7" i="1718" s="1"/>
  <c r="M9" i="1718"/>
  <c r="O10" i="1718"/>
  <c r="AD10" i="1718" s="1"/>
  <c r="P11" i="1718"/>
  <c r="AC11" i="1718" s="1"/>
  <c r="P19" i="1718"/>
  <c r="AC19" i="1718" s="1"/>
  <c r="AD19" i="1718" s="1"/>
  <c r="L22" i="1718"/>
  <c r="O22" i="1718" s="1"/>
  <c r="M7" i="1718"/>
  <c r="AB7" i="1718"/>
  <c r="M11" i="1718"/>
  <c r="AB11" i="1718"/>
  <c r="M19" i="1718"/>
  <c r="AB19" i="1718"/>
  <c r="M6" i="1718"/>
  <c r="M10" i="1718"/>
  <c r="M19" i="1717"/>
  <c r="O13" i="1717"/>
  <c r="M10" i="1717"/>
  <c r="AB10" i="1717"/>
  <c r="AD10" i="1717" s="1"/>
  <c r="Q22" i="1717"/>
  <c r="AB9" i="1717"/>
  <c r="P8" i="1717"/>
  <c r="AC8" i="1717" s="1"/>
  <c r="AD8" i="1717" s="1"/>
  <c r="AD7" i="1717"/>
  <c r="AD15" i="1717"/>
  <c r="AD18" i="1717"/>
  <c r="AD19" i="1717"/>
  <c r="AD12" i="1717"/>
  <c r="L22" i="1717"/>
  <c r="O22" i="1717" s="1"/>
  <c r="P6" i="1717"/>
  <c r="P9" i="1717"/>
  <c r="AC9" i="1717" s="1"/>
  <c r="M11" i="1717"/>
  <c r="AB11" i="1717"/>
  <c r="P13" i="1717"/>
  <c r="AC13" i="1717" s="1"/>
  <c r="AD13" i="1717" s="1"/>
  <c r="M17" i="1717"/>
  <c r="AB17" i="1717"/>
  <c r="M20" i="1717"/>
  <c r="AB20" i="1717"/>
  <c r="O11" i="1717"/>
  <c r="O17" i="1717"/>
  <c r="O20" i="1717"/>
  <c r="M6" i="1717"/>
  <c r="M9" i="1717"/>
  <c r="M13" i="1717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1716"/>
  <c r="K21" i="1716" s="1"/>
  <c r="L20" i="1716"/>
  <c r="L19" i="1716"/>
  <c r="L17" i="1716"/>
  <c r="AB17" i="1716" s="1"/>
  <c r="L16" i="1716"/>
  <c r="O16" i="1716" s="1"/>
  <c r="L13" i="1716"/>
  <c r="P13" i="1716" s="1"/>
  <c r="AC13" i="1716" s="1"/>
  <c r="L12" i="1716"/>
  <c r="L11" i="1716"/>
  <c r="L10" i="1716"/>
  <c r="AB10" i="1716" s="1"/>
  <c r="L9" i="1716"/>
  <c r="L8" i="1716"/>
  <c r="L6" i="1716"/>
  <c r="K20" i="1716"/>
  <c r="K19" i="1716"/>
  <c r="K18" i="1716"/>
  <c r="K17" i="1716"/>
  <c r="K12" i="1716"/>
  <c r="K11" i="1716"/>
  <c r="K9" i="1716"/>
  <c r="K8" i="1716"/>
  <c r="K6" i="1716"/>
  <c r="A77" i="1716"/>
  <c r="A78" i="1716" s="1"/>
  <c r="A79" i="1716" s="1"/>
  <c r="A80" i="1716" s="1"/>
  <c r="A81" i="1716" s="1"/>
  <c r="A82" i="1716" s="1"/>
  <c r="AF61" i="1716"/>
  <c r="AF60" i="1716"/>
  <c r="AF63" i="1716" s="1"/>
  <c r="AA22" i="1716"/>
  <c r="Z22" i="1716"/>
  <c r="Y22" i="1716"/>
  <c r="X22" i="1716"/>
  <c r="W22" i="1716"/>
  <c r="V22" i="1716"/>
  <c r="U22" i="1716"/>
  <c r="T22" i="1716"/>
  <c r="S22" i="1716"/>
  <c r="R22" i="1716"/>
  <c r="N22" i="1716"/>
  <c r="J22" i="1716"/>
  <c r="I22" i="1716"/>
  <c r="AF21" i="1716"/>
  <c r="Q21" i="1716"/>
  <c r="AF20" i="1716"/>
  <c r="Q20" i="1716"/>
  <c r="P20" i="1716" s="1"/>
  <c r="AC20" i="1716" s="1"/>
  <c r="O20" i="1716"/>
  <c r="AB20" i="1716"/>
  <c r="AF19" i="1716"/>
  <c r="AB19" i="1716"/>
  <c r="Q19" i="1716"/>
  <c r="P19" i="1716" s="1"/>
  <c r="AC19" i="1716" s="1"/>
  <c r="O19" i="1716"/>
  <c r="M19" i="1716"/>
  <c r="AF18" i="1716"/>
  <c r="AB18" i="1716"/>
  <c r="Q18" i="1716"/>
  <c r="P18" i="1716" s="1"/>
  <c r="AC18" i="1716" s="1"/>
  <c r="O18" i="1716"/>
  <c r="M18" i="1716"/>
  <c r="AF17" i="1716"/>
  <c r="Q17" i="1716"/>
  <c r="P17" i="1716" s="1"/>
  <c r="AC17" i="1716" s="1"/>
  <c r="O17" i="1716"/>
  <c r="AF16" i="1716"/>
  <c r="Q16" i="1716"/>
  <c r="P16" i="1716"/>
  <c r="AC16" i="1716" s="1"/>
  <c r="AF15" i="1716"/>
  <c r="AB15" i="1716"/>
  <c r="Q15" i="1716"/>
  <c r="P15" i="1716"/>
  <c r="AC15" i="1716" s="1"/>
  <c r="O15" i="1716"/>
  <c r="M15" i="1716"/>
  <c r="K15" i="1716"/>
  <c r="AF14" i="1716"/>
  <c r="AB14" i="1716"/>
  <c r="Q14" i="1716"/>
  <c r="P14" i="1716"/>
  <c r="AC14" i="1716" s="1"/>
  <c r="O14" i="1716"/>
  <c r="M14" i="1716"/>
  <c r="K14" i="1716"/>
  <c r="AF13" i="1716"/>
  <c r="Q13" i="1716"/>
  <c r="AF12" i="1716"/>
  <c r="Q12" i="1716"/>
  <c r="P12" i="1716"/>
  <c r="AC12" i="1716" s="1"/>
  <c r="O12" i="1716"/>
  <c r="AB12" i="1716"/>
  <c r="AF11" i="1716"/>
  <c r="AB11" i="1716"/>
  <c r="Q11" i="1716"/>
  <c r="P11" i="1716" s="1"/>
  <c r="AC11" i="1716" s="1"/>
  <c r="O11" i="1716"/>
  <c r="M11" i="1716"/>
  <c r="AF10" i="1716"/>
  <c r="Q10" i="1716"/>
  <c r="P10" i="1716" s="1"/>
  <c r="AC10" i="1716" s="1"/>
  <c r="O10" i="1716"/>
  <c r="K10" i="1716"/>
  <c r="AF9" i="1716"/>
  <c r="AB9" i="1716"/>
  <c r="Q9" i="1716"/>
  <c r="P9" i="1716" s="1"/>
  <c r="AC9" i="1716" s="1"/>
  <c r="O9" i="1716"/>
  <c r="M9" i="1716"/>
  <c r="AF8" i="1716"/>
  <c r="Q8" i="1716"/>
  <c r="P8" i="1716" s="1"/>
  <c r="AC8" i="1716" s="1"/>
  <c r="AF7" i="1716"/>
  <c r="AB7" i="1716"/>
  <c r="Q7" i="1716"/>
  <c r="P7" i="1716"/>
  <c r="AC7" i="1716" s="1"/>
  <c r="O7" i="1716"/>
  <c r="M7" i="1716"/>
  <c r="K7" i="1716"/>
  <c r="AF6" i="1716"/>
  <c r="AB6" i="1716"/>
  <c r="Q6" i="1716"/>
  <c r="M6" i="1716"/>
  <c r="P6" i="1716"/>
  <c r="AE21" i="1719" l="1"/>
  <c r="AE18" i="1719"/>
  <c r="AE15" i="1719"/>
  <c r="AE6" i="1719"/>
  <c r="AE19" i="1719"/>
  <c r="AE16" i="1719"/>
  <c r="AE20" i="1719"/>
  <c r="AE14" i="1719"/>
  <c r="AE11" i="1719"/>
  <c r="AE7" i="1719"/>
  <c r="AE17" i="1719"/>
  <c r="AE12" i="1719"/>
  <c r="AE8" i="1719"/>
  <c r="AE13" i="1719"/>
  <c r="AE9" i="1719"/>
  <c r="AE10" i="1719"/>
  <c r="AD20" i="1718"/>
  <c r="AB22" i="1718"/>
  <c r="M22" i="1718"/>
  <c r="AD6" i="1718"/>
  <c r="AC22" i="1718"/>
  <c r="AD11" i="1718"/>
  <c r="P22" i="1718"/>
  <c r="AB22" i="1717"/>
  <c r="AD20" i="1717"/>
  <c r="AD9" i="1717"/>
  <c r="AD17" i="1717"/>
  <c r="AD11" i="1717"/>
  <c r="AC6" i="1717"/>
  <c r="P22" i="1717"/>
  <c r="K22" i="1717"/>
  <c r="M22" i="1717"/>
  <c r="P21" i="1716"/>
  <c r="AC21" i="1716" s="1"/>
  <c r="M16" i="1716"/>
  <c r="AB16" i="1716"/>
  <c r="AD16" i="1716" s="1"/>
  <c r="K16" i="1716"/>
  <c r="K13" i="1716"/>
  <c r="M10" i="1716"/>
  <c r="AD10" i="1716"/>
  <c r="Q22" i="1716"/>
  <c r="AD14" i="1716"/>
  <c r="AD18" i="1716"/>
  <c r="AD19" i="1716"/>
  <c r="AD20" i="1716"/>
  <c r="AD7" i="1716"/>
  <c r="AD9" i="1716"/>
  <c r="AD15" i="1716"/>
  <c r="AD11" i="1716"/>
  <c r="P22" i="1716"/>
  <c r="AC6" i="1716"/>
  <c r="AD12" i="1716"/>
  <c r="AD17" i="1716"/>
  <c r="M8" i="1716"/>
  <c r="AB8" i="1716"/>
  <c r="M13" i="1716"/>
  <c r="AB13" i="1716"/>
  <c r="M21" i="1716"/>
  <c r="AB21" i="1716"/>
  <c r="L22" i="1716"/>
  <c r="O22" i="1716" s="1"/>
  <c r="O6" i="1716"/>
  <c r="O8" i="1716"/>
  <c r="M12" i="1716"/>
  <c r="O13" i="1716"/>
  <c r="M17" i="1716"/>
  <c r="M20" i="1716"/>
  <c r="O21" i="17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2" i="1715"/>
  <c r="M22" i="1715" s="1"/>
  <c r="L21" i="1715"/>
  <c r="M21" i="1715" s="1"/>
  <c r="K21" i="1715"/>
  <c r="L20" i="1715"/>
  <c r="K19" i="1715"/>
  <c r="L18" i="1715"/>
  <c r="AB18" i="1715" s="1"/>
  <c r="AF18" i="1715"/>
  <c r="Q18" i="1715"/>
  <c r="P18" i="1715"/>
  <c r="AC18" i="1715" s="1"/>
  <c r="O18" i="1715"/>
  <c r="K18" i="1715"/>
  <c r="L14" i="1715"/>
  <c r="K14" i="1715" s="1"/>
  <c r="L13" i="1715"/>
  <c r="M13" i="1715" s="1"/>
  <c r="L12" i="1715"/>
  <c r="K12" i="1715"/>
  <c r="L10" i="1715"/>
  <c r="AB10" i="1715" s="1"/>
  <c r="AF10" i="1715"/>
  <c r="Q10" i="1715"/>
  <c r="O10" i="1715"/>
  <c r="L8" i="1715"/>
  <c r="L6" i="1715"/>
  <c r="K22" i="1715"/>
  <c r="K20" i="1715"/>
  <c r="K13" i="1715"/>
  <c r="K9" i="1715"/>
  <c r="K8" i="1715"/>
  <c r="K6" i="1715"/>
  <c r="A78" i="1715"/>
  <c r="A79" i="1715" s="1"/>
  <c r="A80" i="1715" s="1"/>
  <c r="A81" i="1715" s="1"/>
  <c r="A82" i="1715" s="1"/>
  <c r="A83" i="1715" s="1"/>
  <c r="AF62" i="1715"/>
  <c r="AF61" i="1715"/>
  <c r="AF64" i="1715" s="1"/>
  <c r="AA23" i="1715"/>
  <c r="Z23" i="1715"/>
  <c r="Y23" i="1715"/>
  <c r="X23" i="1715"/>
  <c r="W23" i="1715"/>
  <c r="V23" i="1715"/>
  <c r="U23" i="1715"/>
  <c r="T23" i="1715"/>
  <c r="S23" i="1715"/>
  <c r="R23" i="1715"/>
  <c r="N23" i="1715"/>
  <c r="J23" i="1715"/>
  <c r="I23" i="1715"/>
  <c r="AF22" i="1715"/>
  <c r="AB22" i="1715"/>
  <c r="Q22" i="1715"/>
  <c r="AF21" i="1715"/>
  <c r="AB21" i="1715"/>
  <c r="Q21" i="1715"/>
  <c r="P21" i="1715" s="1"/>
  <c r="AC21" i="1715" s="1"/>
  <c r="O21" i="1715"/>
  <c r="AF20" i="1715"/>
  <c r="Q20" i="1715"/>
  <c r="O20" i="1715"/>
  <c r="AB20" i="1715"/>
  <c r="AF19" i="1715"/>
  <c r="AB19" i="1715"/>
  <c r="Q19" i="1715"/>
  <c r="P19" i="1715"/>
  <c r="AC19" i="1715" s="1"/>
  <c r="O19" i="1715"/>
  <c r="M19" i="1715"/>
  <c r="AF17" i="1715"/>
  <c r="AB17" i="1715"/>
  <c r="Q17" i="1715"/>
  <c r="P17" i="1715"/>
  <c r="AC17" i="1715" s="1"/>
  <c r="O17" i="1715"/>
  <c r="M17" i="1715"/>
  <c r="K17" i="1715"/>
  <c r="AF16" i="1715"/>
  <c r="AB16" i="1715"/>
  <c r="Q16" i="1715"/>
  <c r="P16" i="1715"/>
  <c r="AC16" i="1715" s="1"/>
  <c r="O16" i="1715"/>
  <c r="M16" i="1715"/>
  <c r="K16" i="1715"/>
  <c r="AF15" i="1715"/>
  <c r="AB15" i="1715"/>
  <c r="Q15" i="1715"/>
  <c r="P15" i="1715"/>
  <c r="AC15" i="1715" s="1"/>
  <c r="O15" i="1715"/>
  <c r="M15" i="1715"/>
  <c r="K15" i="1715"/>
  <c r="AF14" i="1715"/>
  <c r="AB14" i="1715"/>
  <c r="Q14" i="1715"/>
  <c r="P14" i="1715"/>
  <c r="AC14" i="1715" s="1"/>
  <c r="AF13" i="1715"/>
  <c r="AB13" i="1715"/>
  <c r="Q13" i="1715"/>
  <c r="P13" i="1715" s="1"/>
  <c r="AC13" i="1715" s="1"/>
  <c r="O13" i="1715"/>
  <c r="AF12" i="1715"/>
  <c r="Q12" i="1715"/>
  <c r="AF11" i="1715"/>
  <c r="AB11" i="1715"/>
  <c r="Q11" i="1715"/>
  <c r="P11" i="1715"/>
  <c r="AC11" i="1715" s="1"/>
  <c r="AD11" i="1715" s="1"/>
  <c r="O11" i="1715"/>
  <c r="M11" i="1715"/>
  <c r="K11" i="1715"/>
  <c r="AF9" i="1715"/>
  <c r="AB9" i="1715"/>
  <c r="Q9" i="1715"/>
  <c r="M9" i="1715"/>
  <c r="P9" i="1715"/>
  <c r="AC9" i="1715" s="1"/>
  <c r="AF8" i="1715"/>
  <c r="Q8" i="1715"/>
  <c r="P8" i="1715" s="1"/>
  <c r="AC8" i="1715" s="1"/>
  <c r="AF7" i="1715"/>
  <c r="AB7" i="1715"/>
  <c r="Q7" i="1715"/>
  <c r="P7" i="1715"/>
  <c r="AC7" i="1715" s="1"/>
  <c r="O7" i="1715"/>
  <c r="M7" i="1715"/>
  <c r="K7" i="1715"/>
  <c r="AF6" i="1715"/>
  <c r="AB6" i="1715"/>
  <c r="Q6" i="1715"/>
  <c r="M6" i="1715"/>
  <c r="AD22" i="1718" l="1"/>
  <c r="AC22" i="1717"/>
  <c r="AD6" i="1717"/>
  <c r="AD22" i="1717" s="1"/>
  <c r="AD8" i="1716"/>
  <c r="AD21" i="1716"/>
  <c r="M22" i="1716"/>
  <c r="AD13" i="1716"/>
  <c r="K22" i="1716"/>
  <c r="AB22" i="1716"/>
  <c r="AC22" i="1716"/>
  <c r="AD6" i="1716"/>
  <c r="AD22" i="1716" s="1"/>
  <c r="P22" i="1715"/>
  <c r="AC22" i="1715" s="1"/>
  <c r="AD18" i="1715"/>
  <c r="M18" i="1715"/>
  <c r="M14" i="1715"/>
  <c r="P10" i="1715"/>
  <c r="AC10" i="1715" s="1"/>
  <c r="AD21" i="1715"/>
  <c r="M10" i="1715"/>
  <c r="K10" i="1715"/>
  <c r="AD13" i="1715"/>
  <c r="P12" i="1715"/>
  <c r="AC12" i="1715" s="1"/>
  <c r="AD10" i="1715"/>
  <c r="Q23" i="1715"/>
  <c r="P6" i="1715"/>
  <c r="AC6" i="1715" s="1"/>
  <c r="AD17" i="1715"/>
  <c r="AD7" i="1715"/>
  <c r="AD16" i="1715"/>
  <c r="AD19" i="1715"/>
  <c r="AD15" i="1715"/>
  <c r="L23" i="1715"/>
  <c r="O23" i="1715" s="1"/>
  <c r="O6" i="1715"/>
  <c r="M8" i="1715"/>
  <c r="AB8" i="1715"/>
  <c r="O9" i="1715"/>
  <c r="AD9" i="1715" s="1"/>
  <c r="M12" i="1715"/>
  <c r="AB12" i="1715"/>
  <c r="O14" i="1715"/>
  <c r="AD14" i="1715" s="1"/>
  <c r="P20" i="1715"/>
  <c r="AC20" i="1715" s="1"/>
  <c r="AD20" i="1715" s="1"/>
  <c r="O22" i="1715"/>
  <c r="O8" i="1715"/>
  <c r="O12" i="1715"/>
  <c r="M20" i="1715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2" i="1714"/>
  <c r="L20" i="1714"/>
  <c r="L19" i="1714"/>
  <c r="L18" i="1714"/>
  <c r="L14" i="1714"/>
  <c r="K13" i="1714"/>
  <c r="AF13" i="1714"/>
  <c r="AB13" i="1714"/>
  <c r="Q13" i="1714"/>
  <c r="P13" i="1714" s="1"/>
  <c r="AC13" i="1714" s="1"/>
  <c r="O13" i="1714"/>
  <c r="M13" i="1714"/>
  <c r="L11" i="1714"/>
  <c r="K10" i="1714"/>
  <c r="L9" i="1714"/>
  <c r="K9" i="1714"/>
  <c r="L8" i="1714"/>
  <c r="L6" i="1714"/>
  <c r="K6" i="1714" s="1"/>
  <c r="AE21" i="1718" l="1"/>
  <c r="AE15" i="1718"/>
  <c r="AE13" i="1718"/>
  <c r="AE9" i="1718"/>
  <c r="AE19" i="1718"/>
  <c r="AE16" i="1718"/>
  <c r="AE18" i="1718"/>
  <c r="AE10" i="1718"/>
  <c r="AE20" i="1718"/>
  <c r="AE17" i="1718"/>
  <c r="AE12" i="1718"/>
  <c r="AE8" i="1718"/>
  <c r="AE6" i="1718"/>
  <c r="AE14" i="1718"/>
  <c r="AE11" i="1718"/>
  <c r="AE7" i="1718"/>
  <c r="AE21" i="1717"/>
  <c r="AE12" i="1717"/>
  <c r="AE8" i="1717"/>
  <c r="AE18" i="1717"/>
  <c r="AE15" i="1717"/>
  <c r="AE9" i="1717"/>
  <c r="AE6" i="1717"/>
  <c r="AE7" i="1717"/>
  <c r="AE13" i="1717"/>
  <c r="AE19" i="1717"/>
  <c r="AE16" i="1717"/>
  <c r="AE10" i="1717"/>
  <c r="AE20" i="1717"/>
  <c r="AE17" i="1717"/>
  <c r="AE14" i="1717"/>
  <c r="AE11" i="1717"/>
  <c r="AE21" i="1716"/>
  <c r="AE18" i="1716"/>
  <c r="AE10" i="1716"/>
  <c r="AE6" i="1716"/>
  <c r="AE19" i="1716"/>
  <c r="AE16" i="1716"/>
  <c r="AE14" i="1716"/>
  <c r="AE11" i="1716"/>
  <c r="AE9" i="1716"/>
  <c r="AE13" i="1716"/>
  <c r="AE8" i="1716"/>
  <c r="AE20" i="1716"/>
  <c r="AE17" i="1716"/>
  <c r="AE12" i="1716"/>
  <c r="AE7" i="1716"/>
  <c r="AE15" i="1716"/>
  <c r="AD22" i="1715"/>
  <c r="AD12" i="1715"/>
  <c r="M23" i="1715"/>
  <c r="AD8" i="1715"/>
  <c r="AB23" i="1715"/>
  <c r="P23" i="1715"/>
  <c r="K23" i="1715"/>
  <c r="AD6" i="1715"/>
  <c r="AC23" i="1715"/>
  <c r="AD13" i="1714"/>
  <c r="AD23" i="1715" l="1"/>
  <c r="K18" i="1714"/>
  <c r="K22" i="1714"/>
  <c r="K21" i="1714"/>
  <c r="K20" i="1714"/>
  <c r="K19" i="1714"/>
  <c r="K12" i="1714"/>
  <c r="K11" i="1714"/>
  <c r="K8" i="1714"/>
  <c r="A78" i="1714"/>
  <c r="A79" i="1714" s="1"/>
  <c r="A80" i="1714" s="1"/>
  <c r="A81" i="1714" s="1"/>
  <c r="A82" i="1714" s="1"/>
  <c r="A83" i="1714" s="1"/>
  <c r="AF64" i="1714"/>
  <c r="AF62" i="1714"/>
  <c r="AF61" i="1714"/>
  <c r="AA23" i="1714"/>
  <c r="Z23" i="1714"/>
  <c r="Y23" i="1714"/>
  <c r="X23" i="1714"/>
  <c r="W23" i="1714"/>
  <c r="V23" i="1714"/>
  <c r="U23" i="1714"/>
  <c r="T23" i="1714"/>
  <c r="S23" i="1714"/>
  <c r="R23" i="1714"/>
  <c r="N23" i="1714"/>
  <c r="J23" i="1714"/>
  <c r="I23" i="1714"/>
  <c r="AF22" i="1714"/>
  <c r="Q22" i="1714"/>
  <c r="P22" i="1714"/>
  <c r="AC22" i="1714" s="1"/>
  <c r="M22" i="1714"/>
  <c r="O22" i="1714"/>
  <c r="AF21" i="1714"/>
  <c r="AB21" i="1714"/>
  <c r="Q21" i="1714"/>
  <c r="P21" i="1714" s="1"/>
  <c r="AC21" i="1714" s="1"/>
  <c r="O21" i="1714"/>
  <c r="M21" i="1714"/>
  <c r="AF20" i="1714"/>
  <c r="AB20" i="1714"/>
  <c r="Q20" i="1714"/>
  <c r="P20" i="1714" s="1"/>
  <c r="AC20" i="1714" s="1"/>
  <c r="O20" i="1714"/>
  <c r="M20" i="1714"/>
  <c r="AF19" i="1714"/>
  <c r="AB19" i="1714"/>
  <c r="Q19" i="1714"/>
  <c r="P19" i="1714"/>
  <c r="AC19" i="1714" s="1"/>
  <c r="O19" i="1714"/>
  <c r="M19" i="1714"/>
  <c r="AF18" i="1714"/>
  <c r="Q18" i="1714"/>
  <c r="AB18" i="1714"/>
  <c r="AF17" i="1714"/>
  <c r="AB17" i="1714"/>
  <c r="Q17" i="1714"/>
  <c r="P17" i="1714"/>
  <c r="AC17" i="1714" s="1"/>
  <c r="AD17" i="1714" s="1"/>
  <c r="O17" i="1714"/>
  <c r="M17" i="1714"/>
  <c r="K17" i="1714"/>
  <c r="AF16" i="1714"/>
  <c r="AB16" i="1714"/>
  <c r="Q16" i="1714"/>
  <c r="P16" i="1714"/>
  <c r="AC16" i="1714" s="1"/>
  <c r="O16" i="1714"/>
  <c r="M16" i="1714"/>
  <c r="K16" i="1714"/>
  <c r="AF15" i="1714"/>
  <c r="AB15" i="1714"/>
  <c r="Q15" i="1714"/>
  <c r="P15" i="1714"/>
  <c r="AC15" i="1714" s="1"/>
  <c r="O15" i="1714"/>
  <c r="M15" i="1714"/>
  <c r="K15" i="1714"/>
  <c r="AF14" i="1714"/>
  <c r="AB14" i="1714"/>
  <c r="Q14" i="1714"/>
  <c r="P14" i="1714" s="1"/>
  <c r="AC14" i="1714" s="1"/>
  <c r="O14" i="1714"/>
  <c r="M14" i="1714"/>
  <c r="K14" i="1714"/>
  <c r="AF12" i="1714"/>
  <c r="AB12" i="1714"/>
  <c r="Q12" i="1714"/>
  <c r="P12" i="1714"/>
  <c r="AC12" i="1714" s="1"/>
  <c r="O12" i="1714"/>
  <c r="M12" i="1714"/>
  <c r="AF11" i="1714"/>
  <c r="AB11" i="1714"/>
  <c r="Q11" i="1714"/>
  <c r="M11" i="1714"/>
  <c r="O11" i="1714"/>
  <c r="AF10" i="1714"/>
  <c r="AB10" i="1714"/>
  <c r="Q10" i="1714"/>
  <c r="P10" i="1714"/>
  <c r="AC10" i="1714" s="1"/>
  <c r="O10" i="1714"/>
  <c r="M10" i="1714"/>
  <c r="AF9" i="1714"/>
  <c r="AB9" i="1714"/>
  <c r="Q9" i="1714"/>
  <c r="P9" i="1714" s="1"/>
  <c r="AC9" i="1714" s="1"/>
  <c r="O9" i="1714"/>
  <c r="M9" i="1714"/>
  <c r="AF8" i="1714"/>
  <c r="AB8" i="1714"/>
  <c r="Q8" i="1714"/>
  <c r="P8" i="1714" s="1"/>
  <c r="AC8" i="1714" s="1"/>
  <c r="O8" i="1714"/>
  <c r="M8" i="1714"/>
  <c r="AF7" i="1714"/>
  <c r="AC7" i="1714"/>
  <c r="AB7" i="1714"/>
  <c r="Q7" i="1714"/>
  <c r="P7" i="1714"/>
  <c r="O7" i="1714"/>
  <c r="M7" i="1714"/>
  <c r="K7" i="1714"/>
  <c r="AF6" i="1714"/>
  <c r="Q6" i="1714"/>
  <c r="M6" i="1714"/>
  <c r="AE10" i="1715" l="1"/>
  <c r="AE18" i="1715"/>
  <c r="AE20" i="1715"/>
  <c r="AE13" i="1715"/>
  <c r="AE12" i="1715"/>
  <c r="AE22" i="1715"/>
  <c r="AE11" i="1715"/>
  <c r="AE9" i="1715"/>
  <c r="AE15" i="1715"/>
  <c r="AE14" i="1715"/>
  <c r="AE17" i="1715"/>
  <c r="AE21" i="1715"/>
  <c r="AE16" i="1715"/>
  <c r="AE7" i="1715"/>
  <c r="AE8" i="1715"/>
  <c r="AE6" i="1715"/>
  <c r="AE19" i="1715"/>
  <c r="AD20" i="1714"/>
  <c r="AD12" i="1714"/>
  <c r="Q23" i="1714"/>
  <c r="AD8" i="1714"/>
  <c r="AD7" i="1714"/>
  <c r="AD9" i="1714"/>
  <c r="AD19" i="1714"/>
  <c r="AD10" i="1714"/>
  <c r="AD16" i="1714"/>
  <c r="AD15" i="1714"/>
  <c r="AD21" i="1714"/>
  <c r="AD14" i="1714"/>
  <c r="AB6" i="1714"/>
  <c r="O6" i="1714"/>
  <c r="P11" i="1714"/>
  <c r="AC11" i="1714" s="1"/>
  <c r="AD11" i="1714" s="1"/>
  <c r="O18" i="1714"/>
  <c r="AB22" i="1714"/>
  <c r="AD22" i="1714" s="1"/>
  <c r="L23" i="1714"/>
  <c r="O23" i="1714" s="1"/>
  <c r="K23" i="1714"/>
  <c r="P6" i="1714"/>
  <c r="P18" i="1714"/>
  <c r="AC18" i="1714" s="1"/>
  <c r="M18" i="1714"/>
  <c r="M23" i="1714" s="1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1713"/>
  <c r="K20" i="1713"/>
  <c r="L17" i="1713"/>
  <c r="L11" i="1713"/>
  <c r="K9" i="1713"/>
  <c r="L6" i="1713"/>
  <c r="AD18" i="1714" l="1"/>
  <c r="P23" i="1714"/>
  <c r="AC6" i="1714"/>
  <c r="AB23" i="1714"/>
  <c r="K19" i="1713"/>
  <c r="K18" i="1713"/>
  <c r="K17" i="1713"/>
  <c r="K13" i="1713"/>
  <c r="K12" i="1713"/>
  <c r="K11" i="1713"/>
  <c r="K8" i="1713"/>
  <c r="K7" i="1713"/>
  <c r="K6" i="1713"/>
  <c r="A77" i="1713"/>
  <c r="A78" i="1713" s="1"/>
  <c r="A79" i="1713" s="1"/>
  <c r="A80" i="1713" s="1"/>
  <c r="A81" i="1713" s="1"/>
  <c r="A82" i="1713" s="1"/>
  <c r="AF61" i="1713"/>
  <c r="AF60" i="1713"/>
  <c r="AF63" i="1713" s="1"/>
  <c r="AA22" i="1713"/>
  <c r="Z22" i="1713"/>
  <c r="Y22" i="1713"/>
  <c r="X22" i="1713"/>
  <c r="W22" i="1713"/>
  <c r="V22" i="1713"/>
  <c r="U22" i="1713"/>
  <c r="T22" i="1713"/>
  <c r="S22" i="1713"/>
  <c r="R22" i="1713"/>
  <c r="N22" i="1713"/>
  <c r="J22" i="1713"/>
  <c r="I22" i="1713"/>
  <c r="AF21" i="1713"/>
  <c r="AB21" i="1713"/>
  <c r="Q21" i="1713"/>
  <c r="P21" i="1713" s="1"/>
  <c r="AC21" i="1713" s="1"/>
  <c r="O21" i="1713"/>
  <c r="M21" i="1713"/>
  <c r="K21" i="1713"/>
  <c r="AF20" i="1713"/>
  <c r="AB20" i="1713"/>
  <c r="Q20" i="1713"/>
  <c r="P20" i="1713"/>
  <c r="AC20" i="1713" s="1"/>
  <c r="AD20" i="1713" s="1"/>
  <c r="O20" i="1713"/>
  <c r="M20" i="1713"/>
  <c r="AF19" i="1713"/>
  <c r="Q19" i="1713"/>
  <c r="P19" i="1713" s="1"/>
  <c r="AC19" i="1713" s="1"/>
  <c r="O19" i="1713"/>
  <c r="AF18" i="1713"/>
  <c r="AB18" i="1713"/>
  <c r="Q18" i="1713"/>
  <c r="P18" i="1713"/>
  <c r="AC18" i="1713" s="1"/>
  <c r="AD18" i="1713" s="1"/>
  <c r="O18" i="1713"/>
  <c r="M18" i="1713"/>
  <c r="AF17" i="1713"/>
  <c r="AB17" i="1713"/>
  <c r="Q17" i="1713"/>
  <c r="O17" i="1713"/>
  <c r="M17" i="1713"/>
  <c r="P17" i="1713"/>
  <c r="AC17" i="1713" s="1"/>
  <c r="AF16" i="1713"/>
  <c r="AB16" i="1713"/>
  <c r="Q16" i="1713"/>
  <c r="P16" i="1713"/>
  <c r="AC16" i="1713" s="1"/>
  <c r="O16" i="1713"/>
  <c r="M16" i="1713"/>
  <c r="K16" i="1713"/>
  <c r="AF15" i="1713"/>
  <c r="AB15" i="1713"/>
  <c r="Q15" i="1713"/>
  <c r="P15" i="1713"/>
  <c r="AC15" i="1713" s="1"/>
  <c r="AD15" i="1713" s="1"/>
  <c r="O15" i="1713"/>
  <c r="M15" i="1713"/>
  <c r="K15" i="1713"/>
  <c r="AF14" i="1713"/>
  <c r="AB14" i="1713"/>
  <c r="Q14" i="1713"/>
  <c r="P14" i="1713"/>
  <c r="AC14" i="1713" s="1"/>
  <c r="O14" i="1713"/>
  <c r="M14" i="1713"/>
  <c r="K14" i="1713"/>
  <c r="AF13" i="1713"/>
  <c r="AB13" i="1713"/>
  <c r="Q13" i="1713"/>
  <c r="P13" i="1713"/>
  <c r="AC13" i="1713" s="1"/>
  <c r="O13" i="1713"/>
  <c r="M13" i="1713"/>
  <c r="AF12" i="1713"/>
  <c r="AB12" i="1713"/>
  <c r="Q12" i="1713"/>
  <c r="P12" i="1713" s="1"/>
  <c r="AC12" i="1713" s="1"/>
  <c r="O12" i="1713"/>
  <c r="M12" i="1713"/>
  <c r="AF11" i="1713"/>
  <c r="Q11" i="1713"/>
  <c r="M11" i="1713"/>
  <c r="AF10" i="1713"/>
  <c r="AB10" i="1713"/>
  <c r="Q10" i="1713"/>
  <c r="P10" i="1713"/>
  <c r="AC10" i="1713" s="1"/>
  <c r="AD10" i="1713" s="1"/>
  <c r="O10" i="1713"/>
  <c r="M10" i="1713"/>
  <c r="K10" i="1713"/>
  <c r="AF9" i="1713"/>
  <c r="AB9" i="1713"/>
  <c r="Q9" i="1713"/>
  <c r="O9" i="1713"/>
  <c r="M9" i="1713"/>
  <c r="P9" i="1713"/>
  <c r="AC9" i="1713" s="1"/>
  <c r="AF8" i="1713"/>
  <c r="Q8" i="1713"/>
  <c r="AB8" i="1713"/>
  <c r="AF7" i="1713"/>
  <c r="Q7" i="1713"/>
  <c r="P7" i="1713"/>
  <c r="AC7" i="1713" s="1"/>
  <c r="O7" i="1713"/>
  <c r="AF6" i="1713"/>
  <c r="Q6" i="1713"/>
  <c r="P6" i="1713"/>
  <c r="AC6" i="1713" s="1"/>
  <c r="O6" i="1713"/>
  <c r="AB6" i="1713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19" i="1712"/>
  <c r="L18" i="1712"/>
  <c r="L17" i="1712"/>
  <c r="P17" i="1712" s="1"/>
  <c r="AC17" i="1712" s="1"/>
  <c r="L13" i="1712"/>
  <c r="K13" i="1712"/>
  <c r="L12" i="1712"/>
  <c r="K12" i="1712" s="1"/>
  <c r="L11" i="1712"/>
  <c r="L9" i="1712"/>
  <c r="K9" i="1712" s="1"/>
  <c r="L8" i="1712"/>
  <c r="O8" i="1712" s="1"/>
  <c r="L7" i="1712"/>
  <c r="P7" i="1712" s="1"/>
  <c r="AC7" i="1712" s="1"/>
  <c r="L6" i="1712"/>
  <c r="M6" i="1712" s="1"/>
  <c r="K21" i="1712"/>
  <c r="K20" i="1712"/>
  <c r="K19" i="1712"/>
  <c r="K18" i="1712"/>
  <c r="K17" i="1712"/>
  <c r="K15" i="1712"/>
  <c r="K11" i="1712"/>
  <c r="A77" i="1712"/>
  <c r="A78" i="1712" s="1"/>
  <c r="A79" i="1712" s="1"/>
  <c r="A80" i="1712" s="1"/>
  <c r="A81" i="1712" s="1"/>
  <c r="A82" i="1712" s="1"/>
  <c r="AF63" i="1712"/>
  <c r="AF61" i="1712"/>
  <c r="AF60" i="1712"/>
  <c r="AA22" i="1712"/>
  <c r="Z22" i="1712"/>
  <c r="Y22" i="1712"/>
  <c r="X22" i="1712"/>
  <c r="W22" i="1712"/>
  <c r="V22" i="1712"/>
  <c r="U22" i="1712"/>
  <c r="T22" i="1712"/>
  <c r="S22" i="1712"/>
  <c r="R22" i="1712"/>
  <c r="N22" i="1712"/>
  <c r="J22" i="1712"/>
  <c r="I22" i="1712"/>
  <c r="AF21" i="1712"/>
  <c r="Q21" i="1712"/>
  <c r="P21" i="1712"/>
  <c r="AC21" i="1712" s="1"/>
  <c r="O21" i="1712"/>
  <c r="AB21" i="1712"/>
  <c r="AF20" i="1712"/>
  <c r="AB20" i="1712"/>
  <c r="Q20" i="1712"/>
  <c r="P20" i="1712"/>
  <c r="AC20" i="1712" s="1"/>
  <c r="AD20" i="1712" s="1"/>
  <c r="O20" i="1712"/>
  <c r="M20" i="1712"/>
  <c r="AF19" i="1712"/>
  <c r="Q19" i="1712"/>
  <c r="M19" i="1712"/>
  <c r="AF18" i="1712"/>
  <c r="Q18" i="1712"/>
  <c r="AB18" i="1712"/>
  <c r="AF17" i="1712"/>
  <c r="Q17" i="1712"/>
  <c r="AB17" i="1712"/>
  <c r="AF16" i="1712"/>
  <c r="AB16" i="1712"/>
  <c r="Q16" i="1712"/>
  <c r="P16" i="1712"/>
  <c r="AC16" i="1712" s="1"/>
  <c r="O16" i="1712"/>
  <c r="M16" i="1712"/>
  <c r="K16" i="1712"/>
  <c r="AF15" i="1712"/>
  <c r="Q15" i="1712"/>
  <c r="AB15" i="1712"/>
  <c r="AF14" i="1712"/>
  <c r="AB14" i="1712"/>
  <c r="Q14" i="1712"/>
  <c r="P14" i="1712"/>
  <c r="AC14" i="1712" s="1"/>
  <c r="O14" i="1712"/>
  <c r="M14" i="1712"/>
  <c r="K14" i="1712"/>
  <c r="AF13" i="1712"/>
  <c r="AB13" i="1712"/>
  <c r="Q13" i="1712"/>
  <c r="M13" i="1712"/>
  <c r="O13" i="1712"/>
  <c r="AF12" i="1712"/>
  <c r="Q12" i="1712"/>
  <c r="AB12" i="1712"/>
  <c r="AF11" i="1712"/>
  <c r="Q11" i="1712"/>
  <c r="AB11" i="1712"/>
  <c r="AF10" i="1712"/>
  <c r="AB10" i="1712"/>
  <c r="Q10" i="1712"/>
  <c r="P10" i="1712"/>
  <c r="AC10" i="1712" s="1"/>
  <c r="AD10" i="1712" s="1"/>
  <c r="O10" i="1712"/>
  <c r="M10" i="1712"/>
  <c r="K10" i="1712"/>
  <c r="AF9" i="1712"/>
  <c r="Q9" i="1712"/>
  <c r="AF8" i="1712"/>
  <c r="Q8" i="1712"/>
  <c r="P8" i="1712"/>
  <c r="AC8" i="1712" s="1"/>
  <c r="AF7" i="1712"/>
  <c r="AB7" i="1712"/>
  <c r="Q7" i="1712"/>
  <c r="O7" i="1712"/>
  <c r="M7" i="1712"/>
  <c r="AF6" i="1712"/>
  <c r="Q6" i="1712"/>
  <c r="O6" i="1712"/>
  <c r="AC23" i="1714" l="1"/>
  <c r="AD6" i="1714"/>
  <c r="AD23" i="1714" s="1"/>
  <c r="AE13" i="1714" s="1"/>
  <c r="AD21" i="1713"/>
  <c r="AD12" i="1713"/>
  <c r="AD9" i="1713"/>
  <c r="Q22" i="1713"/>
  <c r="AD13" i="1713"/>
  <c r="AD16" i="1713"/>
  <c r="AD17" i="1713"/>
  <c r="AD14" i="1713"/>
  <c r="AD6" i="1713"/>
  <c r="M8" i="1713"/>
  <c r="M7" i="1713"/>
  <c r="AB7" i="1713"/>
  <c r="AD7" i="1713" s="1"/>
  <c r="O8" i="1713"/>
  <c r="O11" i="1713"/>
  <c r="M19" i="1713"/>
  <c r="AB19" i="1713"/>
  <c r="L22" i="1713"/>
  <c r="O22" i="1713" s="1"/>
  <c r="AB11" i="1713"/>
  <c r="M6" i="1713"/>
  <c r="K22" i="1713"/>
  <c r="P8" i="1713"/>
  <c r="AC8" i="1713" s="1"/>
  <c r="P11" i="1713"/>
  <c r="AC11" i="1713" s="1"/>
  <c r="P19" i="1712"/>
  <c r="AC19" i="1712" s="1"/>
  <c r="AB19" i="1712"/>
  <c r="O17" i="1712"/>
  <c r="Q22" i="1712"/>
  <c r="P11" i="1712"/>
  <c r="AC11" i="1712" s="1"/>
  <c r="O11" i="1712"/>
  <c r="P9" i="1712"/>
  <c r="AC9" i="1712" s="1"/>
  <c r="K8" i="1712"/>
  <c r="AB8" i="1712"/>
  <c r="AD8" i="1712" s="1"/>
  <c r="AD7" i="1712"/>
  <c r="K7" i="1712"/>
  <c r="K6" i="1712"/>
  <c r="AD11" i="1712"/>
  <c r="AD16" i="1712"/>
  <c r="AD14" i="1712"/>
  <c r="AD17" i="1712"/>
  <c r="AD21" i="1712"/>
  <c r="M9" i="1712"/>
  <c r="AB9" i="1712"/>
  <c r="AD9" i="1712" s="1"/>
  <c r="M18" i="1712"/>
  <c r="O19" i="1712"/>
  <c r="P6" i="1712"/>
  <c r="M8" i="1712"/>
  <c r="O9" i="1712"/>
  <c r="M11" i="1712"/>
  <c r="O12" i="1712"/>
  <c r="P13" i="1712"/>
  <c r="AC13" i="1712" s="1"/>
  <c r="AD13" i="1712" s="1"/>
  <c r="O15" i="1712"/>
  <c r="M17" i="1712"/>
  <c r="O18" i="1712"/>
  <c r="M21" i="1712"/>
  <c r="L22" i="1712"/>
  <c r="O22" i="1712" s="1"/>
  <c r="P12" i="1712"/>
  <c r="AC12" i="1712" s="1"/>
  <c r="P15" i="1712"/>
  <c r="AC15" i="1712" s="1"/>
  <c r="AD15" i="1712" s="1"/>
  <c r="P18" i="1712"/>
  <c r="AC18" i="1712" s="1"/>
  <c r="AB6" i="1712"/>
  <c r="M12" i="1712"/>
  <c r="M15" i="1712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711"/>
  <c r="O21" i="1711" s="1"/>
  <c r="L20" i="1711"/>
  <c r="M20" i="1711" s="1"/>
  <c r="AF20" i="1711"/>
  <c r="AB20" i="1711"/>
  <c r="Q20" i="1711"/>
  <c r="P20" i="1711" s="1"/>
  <c r="AC20" i="1711" s="1"/>
  <c r="O20" i="1711"/>
  <c r="K20" i="1711"/>
  <c r="L19" i="1711"/>
  <c r="K19" i="1711" s="1"/>
  <c r="L18" i="1711"/>
  <c r="O18" i="1711" s="1"/>
  <c r="AF18" i="1711"/>
  <c r="AB18" i="1711"/>
  <c r="Q18" i="1711"/>
  <c r="P18" i="1711" s="1"/>
  <c r="AC18" i="1711" s="1"/>
  <c r="M18" i="1711"/>
  <c r="L17" i="1711"/>
  <c r="K17" i="1711" s="1"/>
  <c r="L15" i="1711"/>
  <c r="K15" i="1711" s="1"/>
  <c r="L13" i="1711"/>
  <c r="AB13" i="1711" s="1"/>
  <c r="L12" i="1711"/>
  <c r="L11" i="1711"/>
  <c r="AB11" i="1711" s="1"/>
  <c r="L9" i="1711"/>
  <c r="L8" i="1711"/>
  <c r="L7" i="1711"/>
  <c r="L6" i="1711"/>
  <c r="AB6" i="1711" s="1"/>
  <c r="K12" i="1711"/>
  <c r="K11" i="1711"/>
  <c r="K9" i="1711"/>
  <c r="K7" i="1711"/>
  <c r="A77" i="1711"/>
  <c r="A78" i="1711" s="1"/>
  <c r="A79" i="1711" s="1"/>
  <c r="A80" i="1711" s="1"/>
  <c r="A81" i="1711" s="1"/>
  <c r="A82" i="1711" s="1"/>
  <c r="AF61" i="1711"/>
  <c r="AF60" i="1711"/>
  <c r="AA22" i="1711"/>
  <c r="Z22" i="1711"/>
  <c r="Y22" i="1711"/>
  <c r="X22" i="1711"/>
  <c r="W22" i="1711"/>
  <c r="V22" i="1711"/>
  <c r="U22" i="1711"/>
  <c r="T22" i="1711"/>
  <c r="S22" i="1711"/>
  <c r="R22" i="1711"/>
  <c r="N22" i="1711"/>
  <c r="J22" i="1711"/>
  <c r="I22" i="1711"/>
  <c r="AF21" i="1711"/>
  <c r="Q21" i="1711"/>
  <c r="AF19" i="1711"/>
  <c r="Q19" i="1711"/>
  <c r="AF17" i="1711"/>
  <c r="Q17" i="1711"/>
  <c r="P17" i="1711" s="1"/>
  <c r="AC17" i="1711" s="1"/>
  <c r="M17" i="1711"/>
  <c r="AF16" i="1711"/>
  <c r="AB16" i="1711"/>
  <c r="Q16" i="1711"/>
  <c r="P16" i="1711"/>
  <c r="AC16" i="1711" s="1"/>
  <c r="O16" i="1711"/>
  <c r="M16" i="1711"/>
  <c r="K16" i="1711"/>
  <c r="AF15" i="1711"/>
  <c r="Q15" i="1711"/>
  <c r="AF14" i="1711"/>
  <c r="AB14" i="1711"/>
  <c r="Q14" i="1711"/>
  <c r="P14" i="1711"/>
  <c r="AC14" i="1711" s="1"/>
  <c r="O14" i="1711"/>
  <c r="M14" i="1711"/>
  <c r="K14" i="1711"/>
  <c r="AF13" i="1711"/>
  <c r="Q13" i="1711"/>
  <c r="AF12" i="1711"/>
  <c r="Q12" i="1711"/>
  <c r="P12" i="1711" s="1"/>
  <c r="AC12" i="1711" s="1"/>
  <c r="AF11" i="1711"/>
  <c r="Q11" i="1711"/>
  <c r="O11" i="1711"/>
  <c r="AF10" i="1711"/>
  <c r="AB10" i="1711"/>
  <c r="Q10" i="1711"/>
  <c r="P10" i="1711"/>
  <c r="AC10" i="1711" s="1"/>
  <c r="O10" i="1711"/>
  <c r="M10" i="1711"/>
  <c r="K10" i="1711"/>
  <c r="AF9" i="1711"/>
  <c r="Q9" i="1711"/>
  <c r="AF8" i="1711"/>
  <c r="Q8" i="1711"/>
  <c r="AF7" i="1711"/>
  <c r="AB7" i="1711"/>
  <c r="Q7" i="1711"/>
  <c r="P7" i="1711" s="1"/>
  <c r="AC7" i="1711" s="1"/>
  <c r="O7" i="1711"/>
  <c r="M7" i="1711"/>
  <c r="AF6" i="1711"/>
  <c r="Q6" i="1711"/>
  <c r="M6" i="1711"/>
  <c r="AE22" i="1714" l="1"/>
  <c r="AE17" i="1714"/>
  <c r="AE15" i="1714"/>
  <c r="AE12" i="1714"/>
  <c r="AE18" i="1714"/>
  <c r="AE16" i="1714"/>
  <c r="AE14" i="1714"/>
  <c r="AE11" i="1714"/>
  <c r="AE10" i="1714"/>
  <c r="AE21" i="1714"/>
  <c r="AE19" i="1714"/>
  <c r="AE9" i="1714"/>
  <c r="AE7" i="1714"/>
  <c r="AE20" i="1714"/>
  <c r="AE8" i="1714"/>
  <c r="AE6" i="1714"/>
  <c r="AC22" i="1713"/>
  <c r="AB22" i="1713"/>
  <c r="AD11" i="1713"/>
  <c r="AD19" i="1713"/>
  <c r="M22" i="1713"/>
  <c r="AD8" i="1713"/>
  <c r="P22" i="1713"/>
  <c r="AD19" i="1712"/>
  <c r="M22" i="1712"/>
  <c r="AB22" i="1712"/>
  <c r="P22" i="1712"/>
  <c r="AC6" i="1712"/>
  <c r="AD18" i="1712"/>
  <c r="AD12" i="1712"/>
  <c r="K22" i="1712"/>
  <c r="P21" i="1711"/>
  <c r="AC21" i="1711" s="1"/>
  <c r="K21" i="1711"/>
  <c r="P9" i="1711"/>
  <c r="AC9" i="1711" s="1"/>
  <c r="P11" i="1711"/>
  <c r="AC11" i="1711" s="1"/>
  <c r="AB17" i="1711"/>
  <c r="K6" i="1711"/>
  <c r="K18" i="1711"/>
  <c r="AF63" i="1711"/>
  <c r="AD20" i="1711"/>
  <c r="K13" i="1711"/>
  <c r="O19" i="1711"/>
  <c r="AD18" i="1711"/>
  <c r="P8" i="1711"/>
  <c r="AC8" i="1711" s="1"/>
  <c r="AD16" i="1711"/>
  <c r="P15" i="1711"/>
  <c r="AC15" i="1711" s="1"/>
  <c r="M13" i="1711"/>
  <c r="Q22" i="1711"/>
  <c r="AD11" i="1711"/>
  <c r="M11" i="1711"/>
  <c r="M8" i="1711"/>
  <c r="AB8" i="1711"/>
  <c r="O8" i="1711"/>
  <c r="K8" i="1711"/>
  <c r="P6" i="1711"/>
  <c r="AD14" i="1711"/>
  <c r="AD7" i="1711"/>
  <c r="AD10" i="1711"/>
  <c r="AC6" i="1711"/>
  <c r="O6" i="1711"/>
  <c r="M9" i="1711"/>
  <c r="AB9" i="1711"/>
  <c r="M12" i="1711"/>
  <c r="AB12" i="1711"/>
  <c r="O13" i="1711"/>
  <c r="M15" i="1711"/>
  <c r="AB15" i="1711"/>
  <c r="P19" i="1711"/>
  <c r="AC19" i="1711" s="1"/>
  <c r="M21" i="1711"/>
  <c r="AB21" i="1711"/>
  <c r="AD21" i="1711" s="1"/>
  <c r="L22" i="1711"/>
  <c r="O22" i="1711" s="1"/>
  <c r="O9" i="1711"/>
  <c r="O12" i="1711"/>
  <c r="P13" i="1711"/>
  <c r="AC13" i="1711" s="1"/>
  <c r="O15" i="1711"/>
  <c r="O17" i="1711"/>
  <c r="AD17" i="1711" s="1"/>
  <c r="M19" i="1711"/>
  <c r="AB19" i="1711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1" i="1710"/>
  <c r="L20" i="1710"/>
  <c r="K20" i="1710" s="1"/>
  <c r="L19" i="1710"/>
  <c r="K18" i="1710"/>
  <c r="AD22" i="1713" l="1"/>
  <c r="AE21" i="1713" s="1"/>
  <c r="AC22" i="1712"/>
  <c r="AD6" i="1712"/>
  <c r="AD22" i="1712" s="1"/>
  <c r="AD19" i="1711"/>
  <c r="AD12" i="1711"/>
  <c r="AD8" i="1711"/>
  <c r="AD13" i="1711"/>
  <c r="AD15" i="1711"/>
  <c r="AD9" i="1711"/>
  <c r="M22" i="1711"/>
  <c r="K22" i="1711"/>
  <c r="AC22" i="1711"/>
  <c r="AD6" i="1711"/>
  <c r="AB22" i="1711"/>
  <c r="P22" i="1711"/>
  <c r="L17" i="1710"/>
  <c r="K17" i="1710" s="1"/>
  <c r="L15" i="1710"/>
  <c r="K15" i="1710"/>
  <c r="L13" i="1710"/>
  <c r="L12" i="1710"/>
  <c r="M12" i="1710" s="1"/>
  <c r="L11" i="1710"/>
  <c r="L9" i="1710"/>
  <c r="L8" i="1710"/>
  <c r="K8" i="1710" s="1"/>
  <c r="L7" i="1710"/>
  <c r="K7" i="1710" s="1"/>
  <c r="L6" i="1710"/>
  <c r="K21" i="1710"/>
  <c r="K19" i="1710"/>
  <c r="K10" i="1710"/>
  <c r="K9" i="1710"/>
  <c r="A77" i="1710"/>
  <c r="A78" i="1710" s="1"/>
  <c r="A79" i="1710" s="1"/>
  <c r="A80" i="1710" s="1"/>
  <c r="A81" i="1710" s="1"/>
  <c r="A82" i="1710" s="1"/>
  <c r="AF61" i="1710"/>
  <c r="AF63" i="1710" s="1"/>
  <c r="AF60" i="1710"/>
  <c r="AA22" i="1710"/>
  <c r="Z22" i="1710"/>
  <c r="Y22" i="1710"/>
  <c r="X22" i="1710"/>
  <c r="W22" i="1710"/>
  <c r="V22" i="1710"/>
  <c r="U22" i="1710"/>
  <c r="T22" i="1710"/>
  <c r="S22" i="1710"/>
  <c r="R22" i="1710"/>
  <c r="N22" i="1710"/>
  <c r="J22" i="1710"/>
  <c r="I22" i="1710"/>
  <c r="AF21" i="1710"/>
  <c r="AB21" i="1710"/>
  <c r="Q21" i="1710"/>
  <c r="P21" i="1710"/>
  <c r="AC21" i="1710" s="1"/>
  <c r="O21" i="1710"/>
  <c r="M21" i="1710"/>
  <c r="AF20" i="1710"/>
  <c r="Q20" i="1710"/>
  <c r="P20" i="1710" s="1"/>
  <c r="AC20" i="1710" s="1"/>
  <c r="AF19" i="1710"/>
  <c r="Q19" i="1710"/>
  <c r="P19" i="1710" s="1"/>
  <c r="AC19" i="1710" s="1"/>
  <c r="O19" i="1710"/>
  <c r="AF18" i="1710"/>
  <c r="Q18" i="1710"/>
  <c r="P18" i="1710"/>
  <c r="AC18" i="1710" s="1"/>
  <c r="O18" i="1710"/>
  <c r="AB18" i="1710"/>
  <c r="AF17" i="1710"/>
  <c r="Q17" i="1710"/>
  <c r="P17" i="1710" s="1"/>
  <c r="AC17" i="1710" s="1"/>
  <c r="AF16" i="1710"/>
  <c r="AB16" i="1710"/>
  <c r="Q16" i="1710"/>
  <c r="P16" i="1710"/>
  <c r="AC16" i="1710" s="1"/>
  <c r="O16" i="1710"/>
  <c r="M16" i="1710"/>
  <c r="K16" i="1710"/>
  <c r="AF15" i="1710"/>
  <c r="AB15" i="1710"/>
  <c r="Q15" i="1710"/>
  <c r="M15" i="1710"/>
  <c r="AF14" i="1710"/>
  <c r="AB14" i="1710"/>
  <c r="Q14" i="1710"/>
  <c r="P14" i="1710"/>
  <c r="AC14" i="1710" s="1"/>
  <c r="O14" i="1710"/>
  <c r="M14" i="1710"/>
  <c r="K14" i="1710"/>
  <c r="AF13" i="1710"/>
  <c r="AB13" i="1710"/>
  <c r="Q13" i="1710"/>
  <c r="O13" i="1710"/>
  <c r="M13" i="1710"/>
  <c r="AF12" i="1710"/>
  <c r="Q12" i="1710"/>
  <c r="O12" i="1710"/>
  <c r="AF11" i="1710"/>
  <c r="Q11" i="1710"/>
  <c r="AF10" i="1710"/>
  <c r="AB10" i="1710"/>
  <c r="Q10" i="1710"/>
  <c r="P10" i="1710"/>
  <c r="AC10" i="1710" s="1"/>
  <c r="O10" i="1710"/>
  <c r="M10" i="1710"/>
  <c r="AF9" i="1710"/>
  <c r="AB9" i="1710"/>
  <c r="Q9" i="1710"/>
  <c r="P9" i="1710" s="1"/>
  <c r="AC9" i="1710" s="1"/>
  <c r="O9" i="1710"/>
  <c r="M9" i="1710"/>
  <c r="AF8" i="1710"/>
  <c r="Q8" i="1710"/>
  <c r="P8" i="1710"/>
  <c r="AC8" i="1710" s="1"/>
  <c r="O8" i="1710"/>
  <c r="AF7" i="1710"/>
  <c r="AB7" i="1710"/>
  <c r="Q7" i="1710"/>
  <c r="P7" i="1710"/>
  <c r="AC7" i="1710" s="1"/>
  <c r="O7" i="1710"/>
  <c r="M7" i="1710"/>
  <c r="AF6" i="1710"/>
  <c r="AB6" i="1710"/>
  <c r="Q6" i="1710"/>
  <c r="O6" i="1710"/>
  <c r="M6" i="1710"/>
  <c r="K6" i="1710"/>
  <c r="AE8" i="1713" l="1"/>
  <c r="AE14" i="1713"/>
  <c r="AE13" i="1713"/>
  <c r="AE18" i="1713"/>
  <c r="AE7" i="1713"/>
  <c r="AE10" i="1713"/>
  <c r="AE9" i="1713"/>
  <c r="AE15" i="1713"/>
  <c r="AE12" i="1713"/>
  <c r="AE20" i="1713"/>
  <c r="AE16" i="1713"/>
  <c r="AE19" i="1713"/>
  <c r="AE6" i="1713"/>
  <c r="AE11" i="1713"/>
  <c r="AE17" i="1713"/>
  <c r="AE21" i="1712"/>
  <c r="AE14" i="1712"/>
  <c r="AE11" i="1712"/>
  <c r="AE8" i="1712"/>
  <c r="AE12" i="1712"/>
  <c r="AE18" i="1712"/>
  <c r="AE15" i="1712"/>
  <c r="AE19" i="1712"/>
  <c r="AE13" i="1712"/>
  <c r="AE6" i="1712"/>
  <c r="AE20" i="1712"/>
  <c r="AE16" i="1712"/>
  <c r="AE10" i="1712"/>
  <c r="AE7" i="1712"/>
  <c r="AE17" i="1712"/>
  <c r="AE9" i="1712"/>
  <c r="AD22" i="1711"/>
  <c r="AE20" i="1711" s="1"/>
  <c r="M17" i="1710"/>
  <c r="AB17" i="1710"/>
  <c r="AD17" i="1710" s="1"/>
  <c r="O17" i="1710"/>
  <c r="P15" i="1710"/>
  <c r="AC15" i="1710" s="1"/>
  <c r="O15" i="1710"/>
  <c r="P13" i="1710"/>
  <c r="AC13" i="1710" s="1"/>
  <c r="AD13" i="1710" s="1"/>
  <c r="Q22" i="1710"/>
  <c r="K13" i="1710"/>
  <c r="K12" i="1710"/>
  <c r="P12" i="1710"/>
  <c r="AC12" i="1710" s="1"/>
  <c r="AB12" i="1710"/>
  <c r="AD12" i="1710" s="1"/>
  <c r="P11" i="1710"/>
  <c r="AC11" i="1710" s="1"/>
  <c r="K11" i="1710"/>
  <c r="K22" i="1710" s="1"/>
  <c r="AD9" i="1710"/>
  <c r="P6" i="1710"/>
  <c r="AC6" i="1710" s="1"/>
  <c r="AD6" i="1710" s="1"/>
  <c r="AD16" i="1710"/>
  <c r="AD7" i="1710"/>
  <c r="AD21" i="1710"/>
  <c r="AD14" i="1710"/>
  <c r="AD10" i="1710"/>
  <c r="AD18" i="1710"/>
  <c r="L22" i="1710"/>
  <c r="O22" i="1710" s="1"/>
  <c r="M11" i="1710"/>
  <c r="AB11" i="1710"/>
  <c r="M20" i="1710"/>
  <c r="AB20" i="1710"/>
  <c r="M8" i="1710"/>
  <c r="AB8" i="1710"/>
  <c r="AD8" i="1710" s="1"/>
  <c r="O11" i="1710"/>
  <c r="M19" i="1710"/>
  <c r="AB19" i="1710"/>
  <c r="AD19" i="1710" s="1"/>
  <c r="O20" i="1710"/>
  <c r="M18" i="1710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709"/>
  <c r="P21" i="1709" s="1"/>
  <c r="AC21" i="1709" s="1"/>
  <c r="L20" i="1709"/>
  <c r="O20" i="1709" s="1"/>
  <c r="L19" i="1709"/>
  <c r="AB19" i="1709" s="1"/>
  <c r="L18" i="1709"/>
  <c r="L17" i="1709"/>
  <c r="O17" i="1709" s="1"/>
  <c r="K17" i="1709"/>
  <c r="L13" i="1709"/>
  <c r="L12" i="1709"/>
  <c r="L11" i="1709"/>
  <c r="O11" i="1709" s="1"/>
  <c r="M9" i="1709"/>
  <c r="L8" i="1709"/>
  <c r="L7" i="1709"/>
  <c r="K21" i="1709"/>
  <c r="K18" i="1709"/>
  <c r="K12" i="1709"/>
  <c r="K10" i="1709"/>
  <c r="K8" i="1709"/>
  <c r="A78" i="1709"/>
  <c r="A79" i="1709" s="1"/>
  <c r="A80" i="1709" s="1"/>
  <c r="A81" i="1709" s="1"/>
  <c r="A82" i="1709" s="1"/>
  <c r="A77" i="1709"/>
  <c r="AF61" i="1709"/>
  <c r="AF60" i="1709"/>
  <c r="AF63" i="1709" s="1"/>
  <c r="AA22" i="1709"/>
  <c r="Z22" i="1709"/>
  <c r="Y22" i="1709"/>
  <c r="X22" i="1709"/>
  <c r="W22" i="1709"/>
  <c r="V22" i="1709"/>
  <c r="U22" i="1709"/>
  <c r="T22" i="1709"/>
  <c r="S22" i="1709"/>
  <c r="R22" i="1709"/>
  <c r="N22" i="1709"/>
  <c r="J22" i="1709"/>
  <c r="I22" i="1709"/>
  <c r="AF21" i="1709"/>
  <c r="Q21" i="1709"/>
  <c r="O21" i="1709"/>
  <c r="AF20" i="1709"/>
  <c r="Q20" i="1709"/>
  <c r="P20" i="1709" s="1"/>
  <c r="AC20" i="1709" s="1"/>
  <c r="AF19" i="1709"/>
  <c r="Q19" i="1709"/>
  <c r="AF18" i="1709"/>
  <c r="Q18" i="1709"/>
  <c r="O18" i="1709"/>
  <c r="AF17" i="1709"/>
  <c r="AB17" i="1709"/>
  <c r="Q17" i="1709"/>
  <c r="P17" i="1709" s="1"/>
  <c r="AC17" i="1709" s="1"/>
  <c r="AF16" i="1709"/>
  <c r="AB16" i="1709"/>
  <c r="Q16" i="1709"/>
  <c r="P16" i="1709"/>
  <c r="AC16" i="1709" s="1"/>
  <c r="O16" i="1709"/>
  <c r="M16" i="1709"/>
  <c r="K16" i="1709"/>
  <c r="AF15" i="1709"/>
  <c r="AB15" i="1709"/>
  <c r="Q15" i="1709"/>
  <c r="P15" i="1709"/>
  <c r="AC15" i="1709" s="1"/>
  <c r="O15" i="1709"/>
  <c r="M15" i="1709"/>
  <c r="K15" i="1709"/>
  <c r="AF14" i="1709"/>
  <c r="AB14" i="1709"/>
  <c r="Q14" i="1709"/>
  <c r="P14" i="1709"/>
  <c r="AC14" i="1709" s="1"/>
  <c r="O14" i="1709"/>
  <c r="M14" i="1709"/>
  <c r="K14" i="1709"/>
  <c r="AF13" i="1709"/>
  <c r="Q13" i="1709"/>
  <c r="AF12" i="1709"/>
  <c r="Q12" i="1709"/>
  <c r="P12" i="1709" s="1"/>
  <c r="AC12" i="1709" s="1"/>
  <c r="O12" i="1709"/>
  <c r="AB12" i="1709"/>
  <c r="AF11" i="1709"/>
  <c r="Q11" i="1709"/>
  <c r="AF10" i="1709"/>
  <c r="Q10" i="1709"/>
  <c r="AB10" i="1709"/>
  <c r="AF9" i="1709"/>
  <c r="Q9" i="1709"/>
  <c r="P9" i="1709" s="1"/>
  <c r="AC9" i="1709" s="1"/>
  <c r="AF8" i="1709"/>
  <c r="Q8" i="1709"/>
  <c r="P8" i="1709"/>
  <c r="AC8" i="1709" s="1"/>
  <c r="O8" i="1709"/>
  <c r="AB8" i="1709"/>
  <c r="AF7" i="1709"/>
  <c r="AB7" i="1709"/>
  <c r="Q7" i="1709"/>
  <c r="O7" i="1709"/>
  <c r="M7" i="1709"/>
  <c r="AF6" i="1709"/>
  <c r="AB6" i="1709"/>
  <c r="Q6" i="1709"/>
  <c r="P6" i="1709"/>
  <c r="AC6" i="1709" s="1"/>
  <c r="O6" i="1709"/>
  <c r="M6" i="1709"/>
  <c r="K6" i="1709"/>
  <c r="AE21" i="1711" l="1"/>
  <c r="AE18" i="1711"/>
  <c r="AE8" i="1711"/>
  <c r="AE17" i="1711"/>
  <c r="AE9" i="1711"/>
  <c r="AE16" i="1711"/>
  <c r="AE19" i="1711"/>
  <c r="AE12" i="1711"/>
  <c r="AE11" i="1711"/>
  <c r="AE7" i="1711"/>
  <c r="AE6" i="1711"/>
  <c r="AE15" i="1711"/>
  <c r="AE14" i="1711"/>
  <c r="AE10" i="1711"/>
  <c r="AE13" i="1711"/>
  <c r="AD20" i="1710"/>
  <c r="AD15" i="1710"/>
  <c r="P22" i="1710"/>
  <c r="AC22" i="1710"/>
  <c r="AB22" i="1710"/>
  <c r="M22" i="1710"/>
  <c r="AD11" i="1710"/>
  <c r="AD22" i="1710"/>
  <c r="M20" i="1709"/>
  <c r="AB20" i="1709"/>
  <c r="AD20" i="1709" s="1"/>
  <c r="K20" i="1709"/>
  <c r="AD16" i="1709"/>
  <c r="M17" i="1709"/>
  <c r="AD15" i="1709"/>
  <c r="K19" i="1709"/>
  <c r="P19" i="1709"/>
  <c r="AC19" i="1709" s="1"/>
  <c r="P13" i="1709"/>
  <c r="AC13" i="1709" s="1"/>
  <c r="AB13" i="1709"/>
  <c r="K13" i="1709"/>
  <c r="AB11" i="1709"/>
  <c r="K11" i="1709"/>
  <c r="P11" i="1709"/>
  <c r="AC11" i="1709" s="1"/>
  <c r="M11" i="1709"/>
  <c r="K9" i="1709"/>
  <c r="L22" i="1709"/>
  <c r="O22" i="1709" s="1"/>
  <c r="Q22" i="1709"/>
  <c r="K7" i="1709"/>
  <c r="P7" i="1709"/>
  <c r="AC7" i="1709" s="1"/>
  <c r="AD7" i="1709" s="1"/>
  <c r="AD14" i="1709"/>
  <c r="AD17" i="1709"/>
  <c r="AD12" i="1709"/>
  <c r="AD8" i="1709"/>
  <c r="AB9" i="1709"/>
  <c r="O10" i="1709"/>
  <c r="AD6" i="1709"/>
  <c r="M8" i="1709"/>
  <c r="O9" i="1709"/>
  <c r="P10" i="1709"/>
  <c r="AC10" i="1709" s="1"/>
  <c r="M12" i="1709"/>
  <c r="O13" i="1709"/>
  <c r="P18" i="1709"/>
  <c r="AC18" i="1709" s="1"/>
  <c r="O19" i="1709"/>
  <c r="M21" i="1709"/>
  <c r="AB21" i="1709"/>
  <c r="AD21" i="1709" s="1"/>
  <c r="M10" i="1709"/>
  <c r="M18" i="1709"/>
  <c r="AB18" i="1709"/>
  <c r="M13" i="1709"/>
  <c r="M19" i="1709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2" i="1708"/>
  <c r="K19" i="1708"/>
  <c r="AF19" i="1708"/>
  <c r="Q19" i="1708"/>
  <c r="P19" i="1708" s="1"/>
  <c r="AC19" i="1708" s="1"/>
  <c r="O19" i="1708"/>
  <c r="AB19" i="1708"/>
  <c r="L20" i="1708"/>
  <c r="L18" i="1708"/>
  <c r="K18" i="1708" s="1"/>
  <c r="L13" i="1708"/>
  <c r="L12" i="1708"/>
  <c r="L11" i="1708"/>
  <c r="K11" i="1708" s="1"/>
  <c r="L10" i="1708"/>
  <c r="L9" i="1708"/>
  <c r="L8" i="1708"/>
  <c r="K8" i="1708" s="1"/>
  <c r="L7" i="1708"/>
  <c r="K7" i="1708" s="1"/>
  <c r="K22" i="1708"/>
  <c r="K21" i="1708"/>
  <c r="K20" i="1708"/>
  <c r="K12" i="1708"/>
  <c r="K9" i="1708"/>
  <c r="K6" i="1708"/>
  <c r="A78" i="1708"/>
  <c r="A79" i="1708" s="1"/>
  <c r="A80" i="1708" s="1"/>
  <c r="A81" i="1708" s="1"/>
  <c r="A82" i="1708" s="1"/>
  <c r="A83" i="1708" s="1"/>
  <c r="AF62" i="1708"/>
  <c r="AF61" i="1708"/>
  <c r="AA23" i="1708"/>
  <c r="Z23" i="1708"/>
  <c r="Y23" i="1708"/>
  <c r="X23" i="1708"/>
  <c r="W23" i="1708"/>
  <c r="V23" i="1708"/>
  <c r="U23" i="1708"/>
  <c r="T23" i="1708"/>
  <c r="S23" i="1708"/>
  <c r="R23" i="1708"/>
  <c r="N23" i="1708"/>
  <c r="J23" i="1708"/>
  <c r="I23" i="1708"/>
  <c r="AF22" i="1708"/>
  <c r="Q22" i="1708"/>
  <c r="P22" i="1708"/>
  <c r="AC22" i="1708" s="1"/>
  <c r="O22" i="1708"/>
  <c r="AF21" i="1708"/>
  <c r="AB21" i="1708"/>
  <c r="Q21" i="1708"/>
  <c r="P21" i="1708"/>
  <c r="AC21" i="1708" s="1"/>
  <c r="O21" i="1708"/>
  <c r="M21" i="1708"/>
  <c r="AF20" i="1708"/>
  <c r="Q20" i="1708"/>
  <c r="P20" i="1708" s="1"/>
  <c r="AC20" i="1708" s="1"/>
  <c r="AF18" i="1708"/>
  <c r="AB18" i="1708"/>
  <c r="Q18" i="1708"/>
  <c r="O18" i="1708"/>
  <c r="M18" i="1708"/>
  <c r="AF17" i="1708"/>
  <c r="AB17" i="1708"/>
  <c r="Q17" i="1708"/>
  <c r="P17" i="1708"/>
  <c r="AC17" i="1708" s="1"/>
  <c r="O17" i="1708"/>
  <c r="M17" i="1708"/>
  <c r="K17" i="1708"/>
  <c r="AF16" i="1708"/>
  <c r="AB16" i="1708"/>
  <c r="Q16" i="1708"/>
  <c r="P16" i="1708"/>
  <c r="AC16" i="1708" s="1"/>
  <c r="O16" i="1708"/>
  <c r="M16" i="1708"/>
  <c r="K16" i="1708"/>
  <c r="AF15" i="1708"/>
  <c r="AC15" i="1708"/>
  <c r="AB15" i="1708"/>
  <c r="Q15" i="1708"/>
  <c r="P15" i="1708"/>
  <c r="O15" i="1708"/>
  <c r="M15" i="1708"/>
  <c r="K15" i="1708"/>
  <c r="AF14" i="1708"/>
  <c r="AB14" i="1708"/>
  <c r="Q14" i="1708"/>
  <c r="P14" i="1708"/>
  <c r="AC14" i="1708" s="1"/>
  <c r="O14" i="1708"/>
  <c r="M14" i="1708"/>
  <c r="K14" i="1708"/>
  <c r="AF13" i="1708"/>
  <c r="AB13" i="1708"/>
  <c r="Q13" i="1708"/>
  <c r="P13" i="1708"/>
  <c r="AC13" i="1708" s="1"/>
  <c r="O13" i="1708"/>
  <c r="M13" i="1708"/>
  <c r="K13" i="1708"/>
  <c r="AF12" i="1708"/>
  <c r="Q12" i="1708"/>
  <c r="P12" i="1708" s="1"/>
  <c r="AC12" i="1708" s="1"/>
  <c r="AF11" i="1708"/>
  <c r="AB11" i="1708"/>
  <c r="Q11" i="1708"/>
  <c r="P11" i="1708" s="1"/>
  <c r="AC11" i="1708" s="1"/>
  <c r="O11" i="1708"/>
  <c r="M11" i="1708"/>
  <c r="AF10" i="1708"/>
  <c r="Q10" i="1708"/>
  <c r="AF9" i="1708"/>
  <c r="Q9" i="1708"/>
  <c r="P9" i="1708" s="1"/>
  <c r="AC9" i="1708" s="1"/>
  <c r="O9" i="1708"/>
  <c r="AB9" i="1708"/>
  <c r="AF8" i="1708"/>
  <c r="Q8" i="1708"/>
  <c r="O8" i="1708"/>
  <c r="M8" i="1708"/>
  <c r="AF7" i="1708"/>
  <c r="AB7" i="1708"/>
  <c r="Q7" i="1708"/>
  <c r="P7" i="1708" s="1"/>
  <c r="AC7" i="1708" s="1"/>
  <c r="O7" i="1708"/>
  <c r="M7" i="1708"/>
  <c r="AF6" i="1708"/>
  <c r="AB6" i="1708"/>
  <c r="Q6" i="1708"/>
  <c r="M6" i="1708"/>
  <c r="P6" i="1708"/>
  <c r="AE21" i="1710" l="1"/>
  <c r="AE17" i="1710"/>
  <c r="AE12" i="1710"/>
  <c r="AE9" i="1710"/>
  <c r="AE6" i="1710"/>
  <c r="AE16" i="1710"/>
  <c r="AE18" i="1710"/>
  <c r="AE15" i="1710"/>
  <c r="AE13" i="1710"/>
  <c r="AE7" i="1710"/>
  <c r="AE19" i="1710"/>
  <c r="AE10" i="1710"/>
  <c r="AE8" i="1710"/>
  <c r="AE20" i="1710"/>
  <c r="AE14" i="1710"/>
  <c r="AE11" i="1710"/>
  <c r="K22" i="1709"/>
  <c r="AD19" i="1709"/>
  <c r="AD11" i="1709"/>
  <c r="AD13" i="1709"/>
  <c r="AD9" i="1709"/>
  <c r="M22" i="1709"/>
  <c r="P22" i="1709"/>
  <c r="AB22" i="1709"/>
  <c r="AD18" i="1709"/>
  <c r="AD10" i="1709"/>
  <c r="AC22" i="1709"/>
  <c r="AD19" i="1708"/>
  <c r="AD17" i="1708"/>
  <c r="M19" i="1708"/>
  <c r="P18" i="1708"/>
  <c r="AC18" i="1708" s="1"/>
  <c r="AD18" i="1708" s="1"/>
  <c r="P8" i="1708"/>
  <c r="AC8" i="1708" s="1"/>
  <c r="AB8" i="1708"/>
  <c r="AD21" i="1708"/>
  <c r="AF64" i="1708"/>
  <c r="P10" i="1708"/>
  <c r="AC10" i="1708" s="1"/>
  <c r="K10" i="1708"/>
  <c r="AD8" i="1708"/>
  <c r="AD11" i="1708"/>
  <c r="AD14" i="1708"/>
  <c r="Q23" i="1708"/>
  <c r="AD13" i="1708"/>
  <c r="AD7" i="1708"/>
  <c r="AD15" i="1708"/>
  <c r="AD16" i="1708"/>
  <c r="AC6" i="1708"/>
  <c r="AD9" i="1708"/>
  <c r="AB20" i="1708"/>
  <c r="O6" i="1708"/>
  <c r="M10" i="1708"/>
  <c r="AB10" i="1708"/>
  <c r="M12" i="1708"/>
  <c r="AB12" i="1708"/>
  <c r="O20" i="1708"/>
  <c r="M22" i="1708"/>
  <c r="AB22" i="1708"/>
  <c r="AD22" i="1708" s="1"/>
  <c r="L23" i="1708"/>
  <c r="O23" i="1708" s="1"/>
  <c r="M20" i="1708"/>
  <c r="M9" i="1708"/>
  <c r="O10" i="1708"/>
  <c r="O12" i="1708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3" i="1707"/>
  <c r="K22" i="1707"/>
  <c r="L21" i="1707"/>
  <c r="L14" i="1707"/>
  <c r="K13" i="1707"/>
  <c r="AF13" i="1707"/>
  <c r="Q13" i="1707"/>
  <c r="P13" i="1707"/>
  <c r="AC13" i="1707" s="1"/>
  <c r="O13" i="1707"/>
  <c r="AB13" i="1707"/>
  <c r="L12" i="1707"/>
  <c r="L11" i="1707"/>
  <c r="K11" i="1707"/>
  <c r="L10" i="1707"/>
  <c r="L24" i="1707" s="1"/>
  <c r="K10" i="1707"/>
  <c r="L9" i="1707"/>
  <c r="AF8" i="1707"/>
  <c r="AB8" i="1707"/>
  <c r="Q8" i="1707"/>
  <c r="P8" i="1707" s="1"/>
  <c r="AC8" i="1707" s="1"/>
  <c r="O8" i="1707"/>
  <c r="M8" i="1707"/>
  <c r="K8" i="1707"/>
  <c r="K7" i="1707"/>
  <c r="L6" i="1707"/>
  <c r="K21" i="1707"/>
  <c r="K19" i="1707"/>
  <c r="K15" i="1707"/>
  <c r="K14" i="1707"/>
  <c r="K12" i="1707"/>
  <c r="K9" i="1707"/>
  <c r="K6" i="1707"/>
  <c r="A80" i="1707"/>
  <c r="A81" i="1707" s="1"/>
  <c r="A82" i="1707" s="1"/>
  <c r="A83" i="1707" s="1"/>
  <c r="A84" i="1707" s="1"/>
  <c r="A79" i="1707"/>
  <c r="AF63" i="1707"/>
  <c r="AF62" i="1707"/>
  <c r="AF65" i="1707" s="1"/>
  <c r="AA24" i="1707"/>
  <c r="Z24" i="1707"/>
  <c r="Y24" i="1707"/>
  <c r="X24" i="1707"/>
  <c r="W24" i="1707"/>
  <c r="V24" i="1707"/>
  <c r="U24" i="1707"/>
  <c r="T24" i="1707"/>
  <c r="S24" i="1707"/>
  <c r="R24" i="1707"/>
  <c r="N24" i="1707"/>
  <c r="J24" i="1707"/>
  <c r="I24" i="1707"/>
  <c r="AF23" i="1707"/>
  <c r="AB23" i="1707"/>
  <c r="Q23" i="1707"/>
  <c r="P23" i="1707"/>
  <c r="AC23" i="1707" s="1"/>
  <c r="O23" i="1707"/>
  <c r="M23" i="1707"/>
  <c r="K23" i="1707"/>
  <c r="AF22" i="1707"/>
  <c r="Q22" i="1707"/>
  <c r="O22" i="1707"/>
  <c r="AF21" i="1707"/>
  <c r="Q21" i="1707"/>
  <c r="P21" i="1707" s="1"/>
  <c r="AC21" i="1707" s="1"/>
  <c r="AB21" i="1707"/>
  <c r="AF20" i="1707"/>
  <c r="AB20" i="1707"/>
  <c r="Q20" i="1707"/>
  <c r="P20" i="1707"/>
  <c r="AC20" i="1707" s="1"/>
  <c r="O20" i="1707"/>
  <c r="M20" i="1707"/>
  <c r="K20" i="1707"/>
  <c r="AF19" i="1707"/>
  <c r="Q19" i="1707"/>
  <c r="O19" i="1707"/>
  <c r="AF18" i="1707"/>
  <c r="AB18" i="1707"/>
  <c r="Q18" i="1707"/>
  <c r="P18" i="1707"/>
  <c r="AC18" i="1707" s="1"/>
  <c r="O18" i="1707"/>
  <c r="M18" i="1707"/>
  <c r="K18" i="1707"/>
  <c r="AF17" i="1707"/>
  <c r="AB17" i="1707"/>
  <c r="Q17" i="1707"/>
  <c r="P17" i="1707"/>
  <c r="AC17" i="1707" s="1"/>
  <c r="O17" i="1707"/>
  <c r="M17" i="1707"/>
  <c r="K17" i="1707"/>
  <c r="AF16" i="1707"/>
  <c r="AB16" i="1707"/>
  <c r="Q16" i="1707"/>
  <c r="P16" i="1707"/>
  <c r="AC16" i="1707" s="1"/>
  <c r="O16" i="1707"/>
  <c r="M16" i="1707"/>
  <c r="K16" i="1707"/>
  <c r="AF15" i="1707"/>
  <c r="AB15" i="1707"/>
  <c r="Q15" i="1707"/>
  <c r="P15" i="1707"/>
  <c r="AC15" i="1707" s="1"/>
  <c r="O15" i="1707"/>
  <c r="M15" i="1707"/>
  <c r="AF14" i="1707"/>
  <c r="Q14" i="1707"/>
  <c r="O14" i="1707"/>
  <c r="AF12" i="1707"/>
  <c r="Q12" i="1707"/>
  <c r="P12" i="1707" s="1"/>
  <c r="AC12" i="1707" s="1"/>
  <c r="AB12" i="1707"/>
  <c r="AF11" i="1707"/>
  <c r="Q11" i="1707"/>
  <c r="P11" i="1707"/>
  <c r="AC11" i="1707" s="1"/>
  <c r="O11" i="1707"/>
  <c r="AB11" i="1707"/>
  <c r="AF10" i="1707"/>
  <c r="AB10" i="1707"/>
  <c r="Q10" i="1707"/>
  <c r="M10" i="1707"/>
  <c r="AF9" i="1707"/>
  <c r="Q9" i="1707"/>
  <c r="AB9" i="1707"/>
  <c r="AF7" i="1707"/>
  <c r="AB7" i="1707"/>
  <c r="Q7" i="1707"/>
  <c r="P7" i="1707" s="1"/>
  <c r="AC7" i="1707" s="1"/>
  <c r="O7" i="1707"/>
  <c r="M7" i="1707"/>
  <c r="AF6" i="1707"/>
  <c r="AB6" i="1707"/>
  <c r="Q6" i="1707"/>
  <c r="O6" i="1707"/>
  <c r="M6" i="1707"/>
  <c r="AD22" i="1709" l="1"/>
  <c r="AE21" i="1709" s="1"/>
  <c r="P23" i="1708"/>
  <c r="AD12" i="1708"/>
  <c r="AD20" i="1708"/>
  <c r="AD10" i="1708"/>
  <c r="AB23" i="1708"/>
  <c r="M23" i="1708"/>
  <c r="K23" i="1708"/>
  <c r="AC23" i="1708"/>
  <c r="AD6" i="1708"/>
  <c r="AD13" i="1707"/>
  <c r="O24" i="1707"/>
  <c r="M13" i="1707"/>
  <c r="P10" i="1707"/>
  <c r="AC10" i="1707" s="1"/>
  <c r="O10" i="1707"/>
  <c r="AD8" i="1707"/>
  <c r="AD23" i="1707"/>
  <c r="AD17" i="1707"/>
  <c r="Q24" i="1707"/>
  <c r="P6" i="1707"/>
  <c r="AC6" i="1707" s="1"/>
  <c r="AD6" i="1707" s="1"/>
  <c r="AD15" i="1707"/>
  <c r="AD18" i="1707"/>
  <c r="AD7" i="1707"/>
  <c r="AD16" i="1707"/>
  <c r="AD20" i="1707"/>
  <c r="AD11" i="1707"/>
  <c r="O9" i="1707"/>
  <c r="M12" i="1707"/>
  <c r="K24" i="1707"/>
  <c r="P9" i="1707"/>
  <c r="AC9" i="1707" s="1"/>
  <c r="M11" i="1707"/>
  <c r="O12" i="1707"/>
  <c r="AD12" i="1707" s="1"/>
  <c r="P14" i="1707"/>
  <c r="AC14" i="1707" s="1"/>
  <c r="P19" i="1707"/>
  <c r="AC19" i="1707" s="1"/>
  <c r="O21" i="1707"/>
  <c r="AD21" i="1707" s="1"/>
  <c r="P22" i="1707"/>
  <c r="AC22" i="1707" s="1"/>
  <c r="M9" i="1707"/>
  <c r="M14" i="1707"/>
  <c r="AB14" i="1707"/>
  <c r="M19" i="1707"/>
  <c r="AB19" i="1707"/>
  <c r="AB24" i="1707" s="1"/>
  <c r="M22" i="1707"/>
  <c r="AB22" i="1707"/>
  <c r="M21" i="1707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1706"/>
  <c r="K20" i="1706" s="1"/>
  <c r="L19" i="1706"/>
  <c r="O19" i="1706" s="1"/>
  <c r="L17" i="1706"/>
  <c r="K17" i="1706" s="1"/>
  <c r="L13" i="1706"/>
  <c r="L12" i="1706"/>
  <c r="M12" i="1706" s="1"/>
  <c r="L11" i="1706"/>
  <c r="K11" i="1706" s="1"/>
  <c r="L10" i="1706"/>
  <c r="O10" i="1706" s="1"/>
  <c r="L9" i="1706"/>
  <c r="K9" i="1706"/>
  <c r="L8" i="1706"/>
  <c r="L6" i="1706"/>
  <c r="K21" i="1706"/>
  <c r="K19" i="1706"/>
  <c r="K13" i="1706"/>
  <c r="K12" i="1706"/>
  <c r="K10" i="1706"/>
  <c r="K8" i="1706"/>
  <c r="K6" i="1706"/>
  <c r="A77" i="1706"/>
  <c r="A78" i="1706" s="1"/>
  <c r="A79" i="1706" s="1"/>
  <c r="A80" i="1706" s="1"/>
  <c r="A81" i="1706" s="1"/>
  <c r="A82" i="1706" s="1"/>
  <c r="AF61" i="1706"/>
  <c r="AF63" i="1706" s="1"/>
  <c r="AF60" i="1706"/>
  <c r="AA22" i="1706"/>
  <c r="Z22" i="1706"/>
  <c r="Y22" i="1706"/>
  <c r="X22" i="1706"/>
  <c r="W22" i="1706"/>
  <c r="V22" i="1706"/>
  <c r="U22" i="1706"/>
  <c r="T22" i="1706"/>
  <c r="S22" i="1706"/>
  <c r="R22" i="1706"/>
  <c r="N22" i="1706"/>
  <c r="J22" i="1706"/>
  <c r="I22" i="1706"/>
  <c r="AF21" i="1706"/>
  <c r="AB21" i="1706"/>
  <c r="Q21" i="1706"/>
  <c r="P21" i="1706"/>
  <c r="AC21" i="1706" s="1"/>
  <c r="O21" i="1706"/>
  <c r="M21" i="1706"/>
  <c r="AF20" i="1706"/>
  <c r="Q20" i="1706"/>
  <c r="AF19" i="1706"/>
  <c r="Q19" i="1706"/>
  <c r="P19" i="1706"/>
  <c r="AC19" i="1706" s="1"/>
  <c r="M19" i="1706"/>
  <c r="AF18" i="1706"/>
  <c r="AB18" i="1706"/>
  <c r="Q18" i="1706"/>
  <c r="P18" i="1706"/>
  <c r="AC18" i="1706" s="1"/>
  <c r="AD18" i="1706" s="1"/>
  <c r="O18" i="1706"/>
  <c r="M18" i="1706"/>
  <c r="K18" i="1706"/>
  <c r="AF17" i="1706"/>
  <c r="Q17" i="1706"/>
  <c r="O17" i="1706"/>
  <c r="AF16" i="1706"/>
  <c r="AC16" i="1706"/>
  <c r="AB16" i="1706"/>
  <c r="Q16" i="1706"/>
  <c r="P16" i="1706"/>
  <c r="O16" i="1706"/>
  <c r="M16" i="1706"/>
  <c r="K16" i="1706"/>
  <c r="AF15" i="1706"/>
  <c r="AC15" i="1706"/>
  <c r="AB15" i="1706"/>
  <c r="Q15" i="1706"/>
  <c r="P15" i="1706"/>
  <c r="O15" i="1706"/>
  <c r="M15" i="1706"/>
  <c r="K15" i="1706"/>
  <c r="AF14" i="1706"/>
  <c r="AC14" i="1706"/>
  <c r="AB14" i="1706"/>
  <c r="Q14" i="1706"/>
  <c r="P14" i="1706"/>
  <c r="O14" i="1706"/>
  <c r="M14" i="1706"/>
  <c r="K14" i="1706"/>
  <c r="AF13" i="1706"/>
  <c r="Q13" i="1706"/>
  <c r="AF12" i="1706"/>
  <c r="AB12" i="1706"/>
  <c r="Q12" i="1706"/>
  <c r="P12" i="1706"/>
  <c r="AC12" i="1706" s="1"/>
  <c r="AD12" i="1706" s="1"/>
  <c r="O12" i="1706"/>
  <c r="AF11" i="1706"/>
  <c r="Q11" i="1706"/>
  <c r="O11" i="1706"/>
  <c r="AF10" i="1706"/>
  <c r="AB10" i="1706"/>
  <c r="Q10" i="1706"/>
  <c r="P10" i="1706" s="1"/>
  <c r="AC10" i="1706" s="1"/>
  <c r="M10" i="1706"/>
  <c r="AF9" i="1706"/>
  <c r="Q9" i="1706"/>
  <c r="P9" i="1706" s="1"/>
  <c r="AC9" i="1706" s="1"/>
  <c r="AF8" i="1706"/>
  <c r="AB8" i="1706"/>
  <c r="Q8" i="1706"/>
  <c r="P8" i="1706" s="1"/>
  <c r="AC8" i="1706" s="1"/>
  <c r="M8" i="1706"/>
  <c r="O8" i="1706"/>
  <c r="AF7" i="1706"/>
  <c r="AB7" i="1706"/>
  <c r="Q7" i="1706"/>
  <c r="P7" i="1706"/>
  <c r="AC7" i="1706" s="1"/>
  <c r="O7" i="1706"/>
  <c r="M7" i="1706"/>
  <c r="K7" i="1706"/>
  <c r="AF6" i="1706"/>
  <c r="Q6" i="1706"/>
  <c r="P6" i="1706"/>
  <c r="AE11" i="1709" l="1"/>
  <c r="AE14" i="1709"/>
  <c r="AE13" i="1709"/>
  <c r="AE7" i="1709"/>
  <c r="AE10" i="1709"/>
  <c r="AE6" i="1709"/>
  <c r="AE8" i="1709"/>
  <c r="AE20" i="1709"/>
  <c r="AE17" i="1709"/>
  <c r="AE19" i="1709"/>
  <c r="AE12" i="1709"/>
  <c r="AE16" i="1709"/>
  <c r="AE9" i="1709"/>
  <c r="AE18" i="1709"/>
  <c r="AE15" i="1709"/>
  <c r="AD23" i="1708"/>
  <c r="AD22" i="1707"/>
  <c r="AD10" i="1707"/>
  <c r="M24" i="1707"/>
  <c r="AC24" i="1707"/>
  <c r="AD19" i="1707"/>
  <c r="P24" i="1707"/>
  <c r="AD14" i="1707"/>
  <c r="AD9" i="1707"/>
  <c r="P20" i="1706"/>
  <c r="AC20" i="1706" s="1"/>
  <c r="AD21" i="1706"/>
  <c r="P13" i="1706"/>
  <c r="AC13" i="1706" s="1"/>
  <c r="Q22" i="1706"/>
  <c r="AB11" i="1706"/>
  <c r="M17" i="1706"/>
  <c r="P17" i="1706"/>
  <c r="AC17" i="1706" s="1"/>
  <c r="AD7" i="1706"/>
  <c r="AD14" i="1706"/>
  <c r="AD15" i="1706"/>
  <c r="AD16" i="1706"/>
  <c r="AD10" i="1706"/>
  <c r="AC6" i="1706"/>
  <c r="AD8" i="1706"/>
  <c r="M6" i="1706"/>
  <c r="AB6" i="1706"/>
  <c r="M9" i="1706"/>
  <c r="AB9" i="1706"/>
  <c r="P11" i="1706"/>
  <c r="AC11" i="1706" s="1"/>
  <c r="M13" i="1706"/>
  <c r="AB13" i="1706"/>
  <c r="M20" i="1706"/>
  <c r="AB20" i="1706"/>
  <c r="L22" i="1706"/>
  <c r="O22" i="1706" s="1"/>
  <c r="O13" i="1706"/>
  <c r="AB17" i="1706"/>
  <c r="AB19" i="1706"/>
  <c r="AD19" i="1706" s="1"/>
  <c r="O20" i="1706"/>
  <c r="O6" i="1706"/>
  <c r="O9" i="1706"/>
  <c r="K22" i="1706"/>
  <c r="M11" i="170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2" i="1705"/>
  <c r="L21" i="1705"/>
  <c r="K21" i="1705" s="1"/>
  <c r="L20" i="1705"/>
  <c r="K20" i="1705"/>
  <c r="L19" i="1705"/>
  <c r="K19" i="1705"/>
  <c r="AF19" i="1705"/>
  <c r="AB19" i="1705"/>
  <c r="Q19" i="1705"/>
  <c r="P19" i="1705" s="1"/>
  <c r="AC19" i="1705" s="1"/>
  <c r="O19" i="1705"/>
  <c r="M19" i="1705"/>
  <c r="L17" i="1705"/>
  <c r="K17" i="1705" s="1"/>
  <c r="L13" i="1705"/>
  <c r="L12" i="1705"/>
  <c r="L11" i="1705"/>
  <c r="L10" i="1705"/>
  <c r="K10" i="1705" s="1"/>
  <c r="L9" i="1705"/>
  <c r="L8" i="1705"/>
  <c r="L6" i="1705"/>
  <c r="K6" i="1705" s="1"/>
  <c r="K22" i="1705"/>
  <c r="K15" i="1705"/>
  <c r="K13" i="1705"/>
  <c r="K12" i="1705"/>
  <c r="K11" i="1705"/>
  <c r="K9" i="1705"/>
  <c r="K8" i="1705"/>
  <c r="A78" i="1705"/>
  <c r="A79" i="1705" s="1"/>
  <c r="A80" i="1705" s="1"/>
  <c r="A81" i="1705" s="1"/>
  <c r="A82" i="1705" s="1"/>
  <c r="A83" i="1705" s="1"/>
  <c r="AF62" i="1705"/>
  <c r="AF61" i="1705"/>
  <c r="AF64" i="1705" s="1"/>
  <c r="AA23" i="1705"/>
  <c r="Z23" i="1705"/>
  <c r="Y23" i="1705"/>
  <c r="X23" i="1705"/>
  <c r="W23" i="1705"/>
  <c r="V23" i="1705"/>
  <c r="U23" i="1705"/>
  <c r="T23" i="1705"/>
  <c r="S23" i="1705"/>
  <c r="R23" i="1705"/>
  <c r="N23" i="1705"/>
  <c r="J23" i="1705"/>
  <c r="I23" i="1705"/>
  <c r="AF22" i="1705"/>
  <c r="Q22" i="1705"/>
  <c r="P22" i="1705"/>
  <c r="AC22" i="1705" s="1"/>
  <c r="O22" i="1705"/>
  <c r="AF21" i="1705"/>
  <c r="Q21" i="1705"/>
  <c r="AF20" i="1705"/>
  <c r="AB20" i="1705"/>
  <c r="Q20" i="1705"/>
  <c r="P20" i="1705" s="1"/>
  <c r="AC20" i="1705" s="1"/>
  <c r="O20" i="1705"/>
  <c r="M20" i="1705"/>
  <c r="AF18" i="1705"/>
  <c r="AB18" i="1705"/>
  <c r="Q18" i="1705"/>
  <c r="P18" i="1705"/>
  <c r="AC18" i="1705" s="1"/>
  <c r="AD18" i="1705" s="1"/>
  <c r="O18" i="1705"/>
  <c r="M18" i="1705"/>
  <c r="K18" i="1705"/>
  <c r="AF17" i="1705"/>
  <c r="Q17" i="1705"/>
  <c r="AF16" i="1705"/>
  <c r="AB16" i="1705"/>
  <c r="Q16" i="1705"/>
  <c r="P16" i="1705"/>
  <c r="AC16" i="1705" s="1"/>
  <c r="O16" i="1705"/>
  <c r="M16" i="1705"/>
  <c r="K16" i="1705"/>
  <c r="AF15" i="1705"/>
  <c r="AB15" i="1705"/>
  <c r="Q15" i="1705"/>
  <c r="O15" i="1705"/>
  <c r="M15" i="1705"/>
  <c r="P15" i="1705"/>
  <c r="AC15" i="1705" s="1"/>
  <c r="AF14" i="1705"/>
  <c r="AB14" i="1705"/>
  <c r="Q14" i="1705"/>
  <c r="P14" i="1705"/>
  <c r="AC14" i="1705" s="1"/>
  <c r="O14" i="1705"/>
  <c r="M14" i="1705"/>
  <c r="K14" i="1705"/>
  <c r="AF13" i="1705"/>
  <c r="AB13" i="1705"/>
  <c r="Q13" i="1705"/>
  <c r="P13" i="1705" s="1"/>
  <c r="AC13" i="1705" s="1"/>
  <c r="O13" i="1705"/>
  <c r="M13" i="1705"/>
  <c r="AF12" i="1705"/>
  <c r="AB12" i="1705"/>
  <c r="Q12" i="1705"/>
  <c r="P12" i="1705" s="1"/>
  <c r="AC12" i="1705" s="1"/>
  <c r="O12" i="1705"/>
  <c r="M12" i="1705"/>
  <c r="AF11" i="1705"/>
  <c r="Q11" i="1705"/>
  <c r="AB11" i="1705"/>
  <c r="AF10" i="1705"/>
  <c r="AB10" i="1705"/>
  <c r="Q10" i="1705"/>
  <c r="M10" i="1705"/>
  <c r="AF9" i="1705"/>
  <c r="AB9" i="1705"/>
  <c r="Q9" i="1705"/>
  <c r="P9" i="1705" s="1"/>
  <c r="AC9" i="1705" s="1"/>
  <c r="O9" i="1705"/>
  <c r="M9" i="1705"/>
  <c r="AF8" i="1705"/>
  <c r="Q8" i="1705"/>
  <c r="AB8" i="1705"/>
  <c r="AF7" i="1705"/>
  <c r="AB7" i="1705"/>
  <c r="Q7" i="1705"/>
  <c r="P7" i="1705"/>
  <c r="AC7" i="1705" s="1"/>
  <c r="O7" i="1705"/>
  <c r="M7" i="1705"/>
  <c r="K7" i="1705"/>
  <c r="AF6" i="1705"/>
  <c r="AB6" i="1705"/>
  <c r="Q6" i="1705"/>
  <c r="M6" i="1705"/>
  <c r="AE20" i="1708" l="1"/>
  <c r="AE19" i="1708"/>
  <c r="AE9" i="1708"/>
  <c r="AE18" i="1708"/>
  <c r="AE22" i="1708"/>
  <c r="AE8" i="1708"/>
  <c r="AE11" i="1708"/>
  <c r="AE13" i="1708"/>
  <c r="AE16" i="1708"/>
  <c r="AE21" i="1708"/>
  <c r="AE17" i="1708"/>
  <c r="AE10" i="1708"/>
  <c r="AE12" i="1708"/>
  <c r="AE7" i="1708"/>
  <c r="AE14" i="1708"/>
  <c r="AE15" i="1708"/>
  <c r="AE6" i="1708"/>
  <c r="AD24" i="1707"/>
  <c r="AD20" i="1706"/>
  <c r="AD11" i="1706"/>
  <c r="AD17" i="1706"/>
  <c r="AD9" i="1706"/>
  <c r="AD13" i="1706"/>
  <c r="AB22" i="1706"/>
  <c r="P22" i="1706"/>
  <c r="M22" i="1706"/>
  <c r="AD6" i="1706"/>
  <c r="AC22" i="1706"/>
  <c r="M21" i="1705"/>
  <c r="O21" i="1705"/>
  <c r="AB21" i="1705"/>
  <c r="P21" i="1705"/>
  <c r="AC21" i="1705" s="1"/>
  <c r="AD21" i="1705" s="1"/>
  <c r="AD20" i="1705"/>
  <c r="AD19" i="1705"/>
  <c r="AD7" i="1705"/>
  <c r="AD15" i="1705"/>
  <c r="AB17" i="1705"/>
  <c r="AD13" i="1705"/>
  <c r="AD12" i="1705"/>
  <c r="O10" i="1705"/>
  <c r="P10" i="1705"/>
  <c r="AC10" i="1705" s="1"/>
  <c r="Q23" i="1705"/>
  <c r="O6" i="1705"/>
  <c r="P6" i="1705"/>
  <c r="AC6" i="1705" s="1"/>
  <c r="AD14" i="1705"/>
  <c r="AD16" i="1705"/>
  <c r="AD9" i="1705"/>
  <c r="AD10" i="1705"/>
  <c r="AD6" i="1705"/>
  <c r="O17" i="1705"/>
  <c r="M22" i="1705"/>
  <c r="AB22" i="1705"/>
  <c r="AD22" i="1705" s="1"/>
  <c r="L23" i="1705"/>
  <c r="O23" i="1705" s="1"/>
  <c r="O8" i="1705"/>
  <c r="O11" i="1705"/>
  <c r="K23" i="1705"/>
  <c r="P8" i="1705"/>
  <c r="AC8" i="1705" s="1"/>
  <c r="P11" i="1705"/>
  <c r="AC11" i="1705" s="1"/>
  <c r="P17" i="1705"/>
  <c r="AC17" i="1705" s="1"/>
  <c r="M8" i="1705"/>
  <c r="M11" i="1705"/>
  <c r="M17" i="1705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704"/>
  <c r="K20" i="1704"/>
  <c r="AF17" i="1704"/>
  <c r="Q17" i="1704"/>
  <c r="L17" i="1704"/>
  <c r="AB17" i="1704" s="1"/>
  <c r="K16" i="1704"/>
  <c r="L15" i="1704"/>
  <c r="L13" i="1704"/>
  <c r="L12" i="1704"/>
  <c r="K12" i="1704" s="1"/>
  <c r="L11" i="1704"/>
  <c r="K11" i="1704" s="1"/>
  <c r="L9" i="1704"/>
  <c r="K9" i="1704" s="1"/>
  <c r="L8" i="1704"/>
  <c r="O8" i="1704" s="1"/>
  <c r="K21" i="1704"/>
  <c r="K19" i="1704"/>
  <c r="K15" i="1704"/>
  <c r="K13" i="1704"/>
  <c r="K10" i="1704"/>
  <c r="A77" i="1704"/>
  <c r="A78" i="1704" s="1"/>
  <c r="A79" i="1704" s="1"/>
  <c r="A80" i="1704" s="1"/>
  <c r="A81" i="1704" s="1"/>
  <c r="A82" i="1704" s="1"/>
  <c r="AF61" i="1704"/>
  <c r="AF60" i="1704"/>
  <c r="AA22" i="1704"/>
  <c r="Z22" i="1704"/>
  <c r="Y22" i="1704"/>
  <c r="X22" i="1704"/>
  <c r="W22" i="1704"/>
  <c r="V22" i="1704"/>
  <c r="U22" i="1704"/>
  <c r="T22" i="1704"/>
  <c r="S22" i="1704"/>
  <c r="R22" i="1704"/>
  <c r="N22" i="1704"/>
  <c r="J22" i="1704"/>
  <c r="AF21" i="1704"/>
  <c r="Q21" i="1704"/>
  <c r="P21" i="1704"/>
  <c r="AC21" i="1704" s="1"/>
  <c r="O21" i="1704"/>
  <c r="AF20" i="1704"/>
  <c r="Q20" i="1704"/>
  <c r="P20" i="1704" s="1"/>
  <c r="AC20" i="1704" s="1"/>
  <c r="O20" i="1704"/>
  <c r="AB20" i="1704"/>
  <c r="AF19" i="1704"/>
  <c r="Q19" i="1704"/>
  <c r="AB19" i="1704"/>
  <c r="AF18" i="1704"/>
  <c r="AB18" i="1704"/>
  <c r="Q18" i="1704"/>
  <c r="P18" i="1704"/>
  <c r="AC18" i="1704" s="1"/>
  <c r="O18" i="1704"/>
  <c r="M18" i="1704"/>
  <c r="K18" i="1704"/>
  <c r="AF16" i="1704"/>
  <c r="AB16" i="1704"/>
  <c r="Q16" i="1704"/>
  <c r="P16" i="1704" s="1"/>
  <c r="AC16" i="1704" s="1"/>
  <c r="O16" i="1704"/>
  <c r="M16" i="1704"/>
  <c r="I22" i="1704"/>
  <c r="AF15" i="1704"/>
  <c r="AB15" i="1704"/>
  <c r="Q15" i="1704"/>
  <c r="P15" i="1704" s="1"/>
  <c r="AC15" i="1704" s="1"/>
  <c r="O15" i="1704"/>
  <c r="M15" i="1704"/>
  <c r="AF14" i="1704"/>
  <c r="AB14" i="1704"/>
  <c r="Q14" i="1704"/>
  <c r="P14" i="1704"/>
  <c r="AC14" i="1704" s="1"/>
  <c r="O14" i="1704"/>
  <c r="M14" i="1704"/>
  <c r="K14" i="1704"/>
  <c r="AF13" i="1704"/>
  <c r="Q13" i="1704"/>
  <c r="AB13" i="1704"/>
  <c r="AF12" i="1704"/>
  <c r="AB12" i="1704"/>
  <c r="Q12" i="1704"/>
  <c r="O12" i="1704"/>
  <c r="AF11" i="1704"/>
  <c r="Q11" i="1704"/>
  <c r="AF10" i="1704"/>
  <c r="AB10" i="1704"/>
  <c r="Q10" i="1704"/>
  <c r="P10" i="1704"/>
  <c r="AC10" i="1704" s="1"/>
  <c r="O10" i="1704"/>
  <c r="M10" i="1704"/>
  <c r="AF9" i="1704"/>
  <c r="AB9" i="1704"/>
  <c r="Q9" i="1704"/>
  <c r="M9" i="1704"/>
  <c r="AF8" i="1704"/>
  <c r="Q8" i="1704"/>
  <c r="M8" i="1704"/>
  <c r="AF7" i="1704"/>
  <c r="AB7" i="1704"/>
  <c r="Q7" i="1704"/>
  <c r="P7" i="1704"/>
  <c r="AC7" i="1704" s="1"/>
  <c r="O7" i="1704"/>
  <c r="M7" i="1704"/>
  <c r="K7" i="1704"/>
  <c r="AF6" i="1704"/>
  <c r="AB6" i="1704"/>
  <c r="Q6" i="1704"/>
  <c r="P6" i="1704"/>
  <c r="AC6" i="1704" s="1"/>
  <c r="AD6" i="1704" s="1"/>
  <c r="O6" i="1704"/>
  <c r="M6" i="1704"/>
  <c r="K6" i="1704"/>
  <c r="AE12" i="1707" l="1"/>
  <c r="AE13" i="1707"/>
  <c r="AE7" i="1707"/>
  <c r="AE14" i="1707"/>
  <c r="AE6" i="1707"/>
  <c r="AE10" i="1707"/>
  <c r="AE22" i="1707"/>
  <c r="AE19" i="1707"/>
  <c r="AE15" i="1707"/>
  <c r="AE23" i="1707"/>
  <c r="AE8" i="1707"/>
  <c r="AE18" i="1707"/>
  <c r="AE21" i="1707"/>
  <c r="AE11" i="1707"/>
  <c r="AE17" i="1707"/>
  <c r="AE9" i="1707"/>
  <c r="AE20" i="1707"/>
  <c r="AE16" i="1707"/>
  <c r="AD22" i="1706"/>
  <c r="AE21" i="1706" s="1"/>
  <c r="AB23" i="1705"/>
  <c r="AD11" i="1705"/>
  <c r="M23" i="1705"/>
  <c r="AC23" i="1705"/>
  <c r="AD17" i="1705"/>
  <c r="AD8" i="1705"/>
  <c r="P23" i="1705"/>
  <c r="AB8" i="1704"/>
  <c r="AB11" i="1704"/>
  <c r="M12" i="1704"/>
  <c r="K8" i="1704"/>
  <c r="AD7" i="1704"/>
  <c r="AF63" i="1704"/>
  <c r="O17" i="1704"/>
  <c r="K17" i="1704"/>
  <c r="K22" i="1704" s="1"/>
  <c r="P17" i="1704"/>
  <c r="AC17" i="1704" s="1"/>
  <c r="AD17" i="1704" s="1"/>
  <c r="M17" i="1704"/>
  <c r="AD15" i="1704"/>
  <c r="AD16" i="1704"/>
  <c r="AD18" i="1704"/>
  <c r="O9" i="1704"/>
  <c r="P9" i="1704"/>
  <c r="AC9" i="1704" s="1"/>
  <c r="Q22" i="1704"/>
  <c r="AD9" i="1704"/>
  <c r="AD14" i="1704"/>
  <c r="AD10" i="1704"/>
  <c r="AD20" i="1704"/>
  <c r="P8" i="1704"/>
  <c r="AC8" i="1704" s="1"/>
  <c r="O11" i="1704"/>
  <c r="P12" i="1704"/>
  <c r="AC12" i="1704" s="1"/>
  <c r="AD12" i="1704" s="1"/>
  <c r="O13" i="1704"/>
  <c r="O19" i="1704"/>
  <c r="M21" i="1704"/>
  <c r="AB21" i="1704"/>
  <c r="AD21" i="1704" s="1"/>
  <c r="L22" i="1704"/>
  <c r="O22" i="1704" s="1"/>
  <c r="P11" i="1704"/>
  <c r="AC11" i="1704" s="1"/>
  <c r="P13" i="1704"/>
  <c r="AC13" i="1704" s="1"/>
  <c r="P19" i="1704"/>
  <c r="AC19" i="1704" s="1"/>
  <c r="M20" i="1704"/>
  <c r="M11" i="1704"/>
  <c r="M13" i="1704"/>
  <c r="M19" i="1704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3" i="1703"/>
  <c r="L22" i="1703"/>
  <c r="P22" i="1703" s="1"/>
  <c r="AC22" i="1703" s="1"/>
  <c r="L21" i="1703"/>
  <c r="AF20" i="1703"/>
  <c r="AC20" i="1703"/>
  <c r="Q20" i="1703"/>
  <c r="P20" i="1703"/>
  <c r="O20" i="1703"/>
  <c r="L20" i="1703"/>
  <c r="AB20" i="1703" s="1"/>
  <c r="K20" i="1703"/>
  <c r="K21" i="1703"/>
  <c r="L18" i="1703"/>
  <c r="L16" i="1703"/>
  <c r="L14" i="1703"/>
  <c r="AF13" i="1703"/>
  <c r="Q13" i="1703"/>
  <c r="O13" i="1703"/>
  <c r="AB13" i="1703"/>
  <c r="L12" i="1703"/>
  <c r="K12" i="1703"/>
  <c r="L11" i="1703"/>
  <c r="L10" i="1703"/>
  <c r="L9" i="1703"/>
  <c r="L8" i="1703"/>
  <c r="K23" i="1703"/>
  <c r="K19" i="1703"/>
  <c r="K14" i="1703"/>
  <c r="K11" i="1703"/>
  <c r="K9" i="1703"/>
  <c r="K8" i="1703"/>
  <c r="K6" i="1703"/>
  <c r="A79" i="1703"/>
  <c r="A80" i="1703" s="1"/>
  <c r="A81" i="1703" s="1"/>
  <c r="A82" i="1703" s="1"/>
  <c r="A83" i="1703" s="1"/>
  <c r="A84" i="1703" s="1"/>
  <c r="AF63" i="1703"/>
  <c r="AF65" i="1703" s="1"/>
  <c r="AF62" i="1703"/>
  <c r="AA24" i="1703"/>
  <c r="Z24" i="1703"/>
  <c r="Y24" i="1703"/>
  <c r="X24" i="1703"/>
  <c r="W24" i="1703"/>
  <c r="V24" i="1703"/>
  <c r="U24" i="1703"/>
  <c r="T24" i="1703"/>
  <c r="S24" i="1703"/>
  <c r="R24" i="1703"/>
  <c r="N24" i="1703"/>
  <c r="J24" i="1703"/>
  <c r="AF23" i="1703"/>
  <c r="AB23" i="1703"/>
  <c r="Q23" i="1703"/>
  <c r="P23" i="1703" s="1"/>
  <c r="AC23" i="1703" s="1"/>
  <c r="M23" i="1703"/>
  <c r="O23" i="1703"/>
  <c r="AF22" i="1703"/>
  <c r="Q22" i="1703"/>
  <c r="AF21" i="1703"/>
  <c r="AB21" i="1703"/>
  <c r="Q21" i="1703"/>
  <c r="P21" i="1703" s="1"/>
  <c r="AC21" i="1703" s="1"/>
  <c r="O21" i="1703"/>
  <c r="M21" i="1703"/>
  <c r="AF19" i="1703"/>
  <c r="AB19" i="1703"/>
  <c r="Q19" i="1703"/>
  <c r="M19" i="1703"/>
  <c r="P19" i="1703"/>
  <c r="AC19" i="1703" s="1"/>
  <c r="AF18" i="1703"/>
  <c r="Q18" i="1703"/>
  <c r="AF17" i="1703"/>
  <c r="AB17" i="1703"/>
  <c r="Q17" i="1703"/>
  <c r="P17" i="1703"/>
  <c r="AC17" i="1703" s="1"/>
  <c r="O17" i="1703"/>
  <c r="M17" i="1703"/>
  <c r="K17" i="1703"/>
  <c r="I17" i="1703"/>
  <c r="I24" i="1703" s="1"/>
  <c r="AF16" i="1703"/>
  <c r="AB16" i="1703"/>
  <c r="Q16" i="1703"/>
  <c r="P16" i="1703" s="1"/>
  <c r="AC16" i="1703" s="1"/>
  <c r="O16" i="1703"/>
  <c r="M16" i="1703"/>
  <c r="K16" i="1703"/>
  <c r="AF15" i="1703"/>
  <c r="AB15" i="1703"/>
  <c r="Q15" i="1703"/>
  <c r="P15" i="1703"/>
  <c r="AC15" i="1703" s="1"/>
  <c r="O15" i="1703"/>
  <c r="M15" i="1703"/>
  <c r="K15" i="1703"/>
  <c r="AF14" i="1703"/>
  <c r="AB14" i="1703"/>
  <c r="Q14" i="1703"/>
  <c r="P14" i="1703" s="1"/>
  <c r="AC14" i="1703" s="1"/>
  <c r="O14" i="1703"/>
  <c r="M14" i="1703"/>
  <c r="AF12" i="1703"/>
  <c r="AB12" i="1703"/>
  <c r="Q12" i="1703"/>
  <c r="P12" i="1703" s="1"/>
  <c r="AC12" i="1703" s="1"/>
  <c r="M12" i="1703"/>
  <c r="AF11" i="1703"/>
  <c r="Q11" i="1703"/>
  <c r="P11" i="1703" s="1"/>
  <c r="AC11" i="1703" s="1"/>
  <c r="AF10" i="1703"/>
  <c r="AB10" i="1703"/>
  <c r="Q10" i="1703"/>
  <c r="P10" i="1703" s="1"/>
  <c r="AC10" i="1703" s="1"/>
  <c r="O10" i="1703"/>
  <c r="M10" i="1703"/>
  <c r="K10" i="1703"/>
  <c r="AF9" i="1703"/>
  <c r="AB9" i="1703"/>
  <c r="Q9" i="1703"/>
  <c r="P9" i="1703" s="1"/>
  <c r="AC9" i="1703" s="1"/>
  <c r="M9" i="1703"/>
  <c r="AF8" i="1703"/>
  <c r="Q8" i="1703"/>
  <c r="P8" i="1703" s="1"/>
  <c r="AC8" i="1703" s="1"/>
  <c r="AF7" i="1703"/>
  <c r="AB7" i="1703"/>
  <c r="Q7" i="1703"/>
  <c r="P7" i="1703"/>
  <c r="AC7" i="1703" s="1"/>
  <c r="O7" i="1703"/>
  <c r="M7" i="1703"/>
  <c r="K7" i="1703"/>
  <c r="AF6" i="1703"/>
  <c r="AB6" i="1703"/>
  <c r="Q6" i="1703"/>
  <c r="M6" i="1703"/>
  <c r="P6" i="1703"/>
  <c r="AE9" i="1706" l="1"/>
  <c r="AE10" i="1706"/>
  <c r="AE19" i="1706"/>
  <c r="AE16" i="1706"/>
  <c r="AE20" i="1706"/>
  <c r="AE17" i="1706"/>
  <c r="AE11" i="1706"/>
  <c r="AE8" i="1706"/>
  <c r="AE13" i="1706"/>
  <c r="AE15" i="1706"/>
  <c r="AE18" i="1706"/>
  <c r="AE6" i="1706"/>
  <c r="AE12" i="1706"/>
  <c r="AE14" i="1706"/>
  <c r="AE7" i="1706"/>
  <c r="AD23" i="1705"/>
  <c r="AE19" i="1705" s="1"/>
  <c r="AB22" i="1704"/>
  <c r="AD11" i="1704"/>
  <c r="AD8" i="1704"/>
  <c r="M22" i="1704"/>
  <c r="AD19" i="1704"/>
  <c r="AC22" i="1704"/>
  <c r="AD13" i="1704"/>
  <c r="AD22" i="1704" s="1"/>
  <c r="AE17" i="1704" s="1"/>
  <c r="P22" i="1704"/>
  <c r="K22" i="1703"/>
  <c r="AD20" i="1703"/>
  <c r="P18" i="1703"/>
  <c r="AC18" i="1703" s="1"/>
  <c r="M20" i="1703"/>
  <c r="K18" i="1703"/>
  <c r="K13" i="1703"/>
  <c r="P13" i="1703"/>
  <c r="AC13" i="1703" s="1"/>
  <c r="AD13" i="1703" s="1"/>
  <c r="AD14" i="1703"/>
  <c r="M13" i="1703"/>
  <c r="Q24" i="1703"/>
  <c r="AD10" i="1703"/>
  <c r="AD7" i="1703"/>
  <c r="AD21" i="1703"/>
  <c r="AD16" i="1703"/>
  <c r="AD15" i="1703"/>
  <c r="AD17" i="1703"/>
  <c r="AD23" i="1703"/>
  <c r="AC6" i="1703"/>
  <c r="AB8" i="1703"/>
  <c r="O9" i="1703"/>
  <c r="AD9" i="1703" s="1"/>
  <c r="M11" i="1703"/>
  <c r="AB11" i="1703"/>
  <c r="O12" i="1703"/>
  <c r="AD12" i="1703" s="1"/>
  <c r="M18" i="1703"/>
  <c r="AB18" i="1703"/>
  <c r="O19" i="1703"/>
  <c r="AD19" i="1703" s="1"/>
  <c r="M22" i="1703"/>
  <c r="AB22" i="1703"/>
  <c r="L24" i="1703"/>
  <c r="O24" i="1703" s="1"/>
  <c r="O6" i="1703"/>
  <c r="M8" i="1703"/>
  <c r="O8" i="1703"/>
  <c r="O11" i="1703"/>
  <c r="O18" i="1703"/>
  <c r="O22" i="1703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1702"/>
  <c r="L20" i="1702"/>
  <c r="L18" i="1702"/>
  <c r="K18" i="1702"/>
  <c r="L17" i="1702"/>
  <c r="K15" i="1702"/>
  <c r="L13" i="1702"/>
  <c r="L12" i="1702"/>
  <c r="AB12" i="1702" s="1"/>
  <c r="L11" i="1702"/>
  <c r="K10" i="1702"/>
  <c r="L9" i="1702"/>
  <c r="K9" i="1702" s="1"/>
  <c r="L8" i="1702"/>
  <c r="L6" i="1702"/>
  <c r="K6" i="1702" s="1"/>
  <c r="K20" i="1702"/>
  <c r="K19" i="1702"/>
  <c r="K17" i="1702"/>
  <c r="K13" i="1702"/>
  <c r="K12" i="1702"/>
  <c r="K11" i="1702"/>
  <c r="K8" i="1702"/>
  <c r="A77" i="1702"/>
  <c r="A78" i="1702" s="1"/>
  <c r="A79" i="1702" s="1"/>
  <c r="A80" i="1702" s="1"/>
  <c r="A81" i="1702" s="1"/>
  <c r="A82" i="1702" s="1"/>
  <c r="AF63" i="1702"/>
  <c r="AF61" i="1702"/>
  <c r="AF60" i="1702"/>
  <c r="AA22" i="1702"/>
  <c r="Z22" i="1702"/>
  <c r="Y22" i="1702"/>
  <c r="X22" i="1702"/>
  <c r="W22" i="1702"/>
  <c r="V22" i="1702"/>
  <c r="U22" i="1702"/>
  <c r="T22" i="1702"/>
  <c r="S22" i="1702"/>
  <c r="R22" i="1702"/>
  <c r="N22" i="1702"/>
  <c r="J22" i="1702"/>
  <c r="I22" i="1702"/>
  <c r="AF21" i="1702"/>
  <c r="AB21" i="1702"/>
  <c r="Q21" i="1702"/>
  <c r="P21" i="1702" s="1"/>
  <c r="AC21" i="1702" s="1"/>
  <c r="O21" i="1702"/>
  <c r="M21" i="1702"/>
  <c r="K21" i="1702"/>
  <c r="AF20" i="1702"/>
  <c r="Q20" i="1702"/>
  <c r="O20" i="1702"/>
  <c r="AF19" i="1702"/>
  <c r="Q19" i="1702"/>
  <c r="P19" i="1702"/>
  <c r="AC19" i="1702" s="1"/>
  <c r="AB19" i="1702"/>
  <c r="AF18" i="1702"/>
  <c r="AB18" i="1702"/>
  <c r="Q18" i="1702"/>
  <c r="P18" i="1702" s="1"/>
  <c r="AC18" i="1702" s="1"/>
  <c r="O18" i="1702"/>
  <c r="M18" i="1702"/>
  <c r="AF17" i="1702"/>
  <c r="AB17" i="1702"/>
  <c r="Q17" i="1702"/>
  <c r="O17" i="1702"/>
  <c r="M17" i="1702"/>
  <c r="P17" i="1702"/>
  <c r="AC17" i="1702" s="1"/>
  <c r="AF16" i="1702"/>
  <c r="AB16" i="1702"/>
  <c r="Q16" i="1702"/>
  <c r="P16" i="1702"/>
  <c r="AC16" i="1702" s="1"/>
  <c r="AD16" i="1702" s="1"/>
  <c r="O16" i="1702"/>
  <c r="M16" i="1702"/>
  <c r="K16" i="1702"/>
  <c r="I16" i="1702"/>
  <c r="AF15" i="1702"/>
  <c r="Q15" i="1702"/>
  <c r="P15" i="1702"/>
  <c r="AC15" i="1702" s="1"/>
  <c r="AB15" i="1702"/>
  <c r="AF14" i="1702"/>
  <c r="AC14" i="1702"/>
  <c r="AB14" i="1702"/>
  <c r="Q14" i="1702"/>
  <c r="P14" i="1702"/>
  <c r="O14" i="1702"/>
  <c r="M14" i="1702"/>
  <c r="K14" i="1702"/>
  <c r="AF13" i="1702"/>
  <c r="Q13" i="1702"/>
  <c r="O13" i="1702"/>
  <c r="AF12" i="1702"/>
  <c r="Q12" i="1702"/>
  <c r="P12" i="1702" s="1"/>
  <c r="AC12" i="1702" s="1"/>
  <c r="AF11" i="1702"/>
  <c r="Q11" i="1702"/>
  <c r="P11" i="1702"/>
  <c r="AC11" i="1702" s="1"/>
  <c r="O11" i="1702"/>
  <c r="AB11" i="1702"/>
  <c r="AF10" i="1702"/>
  <c r="AB10" i="1702"/>
  <c r="Q10" i="1702"/>
  <c r="P10" i="1702"/>
  <c r="AC10" i="1702" s="1"/>
  <c r="O10" i="1702"/>
  <c r="M10" i="1702"/>
  <c r="AF9" i="1702"/>
  <c r="Q9" i="1702"/>
  <c r="AB9" i="1702"/>
  <c r="AF8" i="1702"/>
  <c r="Q8" i="1702"/>
  <c r="P8" i="1702" s="1"/>
  <c r="AC8" i="1702" s="1"/>
  <c r="O8" i="1702"/>
  <c r="AB8" i="1702"/>
  <c r="AF7" i="1702"/>
  <c r="AB7" i="1702"/>
  <c r="Q7" i="1702"/>
  <c r="P7" i="1702"/>
  <c r="AC7" i="1702" s="1"/>
  <c r="AD7" i="1702" s="1"/>
  <c r="O7" i="1702"/>
  <c r="M7" i="1702"/>
  <c r="K7" i="1702"/>
  <c r="AF6" i="1702"/>
  <c r="Q6" i="1702"/>
  <c r="M6" i="1702"/>
  <c r="AE21" i="1705" l="1"/>
  <c r="AE15" i="1705"/>
  <c r="AE6" i="1705"/>
  <c r="AE13" i="1705"/>
  <c r="AE9" i="1705"/>
  <c r="AE14" i="1705"/>
  <c r="AE11" i="1705"/>
  <c r="AE18" i="1705"/>
  <c r="AE12" i="1705"/>
  <c r="AE17" i="1705"/>
  <c r="AE7" i="1705"/>
  <c r="AE10" i="1705"/>
  <c r="AE16" i="1705"/>
  <c r="AE8" i="1705"/>
  <c r="AE20" i="1705"/>
  <c r="AE22" i="1705"/>
  <c r="AE21" i="1704"/>
  <c r="AE18" i="1704"/>
  <c r="AE15" i="1704"/>
  <c r="AE10" i="1704"/>
  <c r="AE13" i="1704"/>
  <c r="AE19" i="1704"/>
  <c r="AE16" i="1704"/>
  <c r="AE12" i="1704"/>
  <c r="AE8" i="1704"/>
  <c r="AE11" i="1704"/>
  <c r="AE7" i="1704"/>
  <c r="AE20" i="1704"/>
  <c r="AE14" i="1704"/>
  <c r="AE9" i="1704"/>
  <c r="AE6" i="1704"/>
  <c r="P24" i="1703"/>
  <c r="AD18" i="1703"/>
  <c r="AD22" i="1703"/>
  <c r="M24" i="1703"/>
  <c r="AB24" i="1703"/>
  <c r="AD11" i="1703"/>
  <c r="AD8" i="1703"/>
  <c r="AD6" i="1703"/>
  <c r="AC24" i="1703"/>
  <c r="K24" i="1703"/>
  <c r="AD21" i="1702"/>
  <c r="AD18" i="1702"/>
  <c r="AD17" i="1702"/>
  <c r="P9" i="1702"/>
  <c r="AC9" i="1702" s="1"/>
  <c r="Q22" i="1702"/>
  <c r="P6" i="1702"/>
  <c r="AD10" i="1702"/>
  <c r="AD14" i="1702"/>
  <c r="AD8" i="1702"/>
  <c r="AD11" i="1702"/>
  <c r="K22" i="1702"/>
  <c r="M13" i="1702"/>
  <c r="M20" i="1702"/>
  <c r="AB6" i="1702"/>
  <c r="O6" i="1702"/>
  <c r="AC6" i="1702"/>
  <c r="M8" i="1702"/>
  <c r="O9" i="1702"/>
  <c r="M11" i="1702"/>
  <c r="O12" i="1702"/>
  <c r="AD12" i="1702" s="1"/>
  <c r="P13" i="1702"/>
  <c r="AC13" i="1702" s="1"/>
  <c r="O15" i="1702"/>
  <c r="AD15" i="1702" s="1"/>
  <c r="O19" i="1702"/>
  <c r="AD19" i="1702" s="1"/>
  <c r="P20" i="1702"/>
  <c r="AC20" i="1702" s="1"/>
  <c r="AD20" i="1702" s="1"/>
  <c r="L22" i="1702"/>
  <c r="O22" i="1702" s="1"/>
  <c r="AB13" i="1702"/>
  <c r="AB20" i="1702"/>
  <c r="M9" i="1702"/>
  <c r="M12" i="1702"/>
  <c r="M15" i="1702"/>
  <c r="M19" i="1702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0" i="1701"/>
  <c r="L19" i="1701"/>
  <c r="L18" i="1701"/>
  <c r="K18" i="1701" s="1"/>
  <c r="L17" i="1701"/>
  <c r="L15" i="1701"/>
  <c r="L13" i="1701"/>
  <c r="K13" i="1701" s="1"/>
  <c r="L12" i="1701"/>
  <c r="L11" i="1701"/>
  <c r="L9" i="1701"/>
  <c r="K9" i="1701"/>
  <c r="L8" i="1701"/>
  <c r="K8" i="1701"/>
  <c r="L6" i="1701"/>
  <c r="K6" i="1701" s="1"/>
  <c r="K21" i="1701"/>
  <c r="K20" i="1701"/>
  <c r="K19" i="1701"/>
  <c r="K17" i="1701"/>
  <c r="K15" i="1701"/>
  <c r="K12" i="1701"/>
  <c r="K11" i="1701"/>
  <c r="K10" i="1701"/>
  <c r="K7" i="1701"/>
  <c r="A78" i="1701"/>
  <c r="A79" i="1701" s="1"/>
  <c r="A80" i="1701" s="1"/>
  <c r="A81" i="1701" s="1"/>
  <c r="A82" i="1701" s="1"/>
  <c r="A77" i="1701"/>
  <c r="AF61" i="1701"/>
  <c r="AF60" i="1701"/>
  <c r="AF63" i="1701" s="1"/>
  <c r="AA22" i="1701"/>
  <c r="Z22" i="1701"/>
  <c r="Y22" i="1701"/>
  <c r="X22" i="1701"/>
  <c r="W22" i="1701"/>
  <c r="V22" i="1701"/>
  <c r="U22" i="1701"/>
  <c r="T22" i="1701"/>
  <c r="S22" i="1701"/>
  <c r="R22" i="1701"/>
  <c r="N22" i="1701"/>
  <c r="J22" i="1701"/>
  <c r="AF21" i="1701"/>
  <c r="Q21" i="1701"/>
  <c r="P21" i="1701"/>
  <c r="AC21" i="1701" s="1"/>
  <c r="AF20" i="1701"/>
  <c r="Q20" i="1701"/>
  <c r="P20" i="1701"/>
  <c r="AC20" i="1701" s="1"/>
  <c r="O20" i="1701"/>
  <c r="AF19" i="1701"/>
  <c r="Q19" i="1701"/>
  <c r="P19" i="1701"/>
  <c r="AC19" i="1701" s="1"/>
  <c r="O19" i="1701"/>
  <c r="AB19" i="1701"/>
  <c r="AF18" i="1701"/>
  <c r="AB18" i="1701"/>
  <c r="Q18" i="1701"/>
  <c r="P18" i="1701" s="1"/>
  <c r="AC18" i="1701" s="1"/>
  <c r="O18" i="1701"/>
  <c r="M18" i="1701"/>
  <c r="AF17" i="1701"/>
  <c r="Q17" i="1701"/>
  <c r="P17" i="1701"/>
  <c r="AC17" i="1701" s="1"/>
  <c r="O17" i="1701"/>
  <c r="AF16" i="1701"/>
  <c r="AB16" i="1701"/>
  <c r="Q16" i="1701"/>
  <c r="P16" i="1701"/>
  <c r="AC16" i="1701" s="1"/>
  <c r="O16" i="1701"/>
  <c r="M16" i="1701"/>
  <c r="K16" i="1701"/>
  <c r="I16" i="1701"/>
  <c r="I22" i="1701" s="1"/>
  <c r="AF15" i="1701"/>
  <c r="AB15" i="1701"/>
  <c r="Q15" i="1701"/>
  <c r="O15" i="1701"/>
  <c r="M15" i="1701"/>
  <c r="P15" i="1701"/>
  <c r="AC15" i="1701" s="1"/>
  <c r="AD15" i="1701" s="1"/>
  <c r="AF14" i="1701"/>
  <c r="AB14" i="1701"/>
  <c r="Q14" i="1701"/>
  <c r="P14" i="1701"/>
  <c r="AC14" i="1701" s="1"/>
  <c r="O14" i="1701"/>
  <c r="M14" i="1701"/>
  <c r="K14" i="1701"/>
  <c r="AF13" i="1701"/>
  <c r="Q13" i="1701"/>
  <c r="O13" i="1701"/>
  <c r="AB13" i="1701"/>
  <c r="AF12" i="1701"/>
  <c r="AB12" i="1701"/>
  <c r="Q12" i="1701"/>
  <c r="P12" i="1701" s="1"/>
  <c r="AC12" i="1701" s="1"/>
  <c r="O12" i="1701"/>
  <c r="M12" i="1701"/>
  <c r="AF11" i="1701"/>
  <c r="Q11" i="1701"/>
  <c r="P11" i="1701" s="1"/>
  <c r="AC11" i="1701" s="1"/>
  <c r="M11" i="1701"/>
  <c r="AF10" i="1701"/>
  <c r="Q10" i="1701"/>
  <c r="P10" i="1701"/>
  <c r="AC10" i="1701" s="1"/>
  <c r="AF9" i="1701"/>
  <c r="Q9" i="1701"/>
  <c r="P9" i="1701" s="1"/>
  <c r="AC9" i="1701" s="1"/>
  <c r="O9" i="1701"/>
  <c r="M9" i="1701"/>
  <c r="AB9" i="1701"/>
  <c r="AF8" i="1701"/>
  <c r="AB8" i="1701"/>
  <c r="Q8" i="1701"/>
  <c r="P8" i="1701" s="1"/>
  <c r="AC8" i="1701" s="1"/>
  <c r="AD8" i="1701" s="1"/>
  <c r="O8" i="1701"/>
  <c r="M8" i="1701"/>
  <c r="AF7" i="1701"/>
  <c r="AB7" i="1701"/>
  <c r="Q7" i="1701"/>
  <c r="P7" i="1701" s="1"/>
  <c r="AC7" i="1701" s="1"/>
  <c r="O7" i="1701"/>
  <c r="M7" i="1701"/>
  <c r="AF6" i="1701"/>
  <c r="AB6" i="1701"/>
  <c r="Q6" i="1701"/>
  <c r="O6" i="1701"/>
  <c r="M6" i="1701"/>
  <c r="AD24" i="1703" l="1"/>
  <c r="AE20" i="1703" s="1"/>
  <c r="AD13" i="1702"/>
  <c r="AD9" i="1702"/>
  <c r="M22" i="1702"/>
  <c r="AB22" i="1702"/>
  <c r="AD6" i="1702"/>
  <c r="AD22" i="1702" s="1"/>
  <c r="AC22" i="1702"/>
  <c r="P22" i="1702"/>
  <c r="P13" i="1701"/>
  <c r="AC13" i="1701" s="1"/>
  <c r="AD12" i="1701"/>
  <c r="Q22" i="1701"/>
  <c r="P6" i="1701"/>
  <c r="AC6" i="1701" s="1"/>
  <c r="AD13" i="1701"/>
  <c r="AD16" i="1701"/>
  <c r="AD7" i="1701"/>
  <c r="AD9" i="1701"/>
  <c r="AD14" i="1701"/>
  <c r="AD18" i="1701"/>
  <c r="AD6" i="1701"/>
  <c r="AD19" i="1701"/>
  <c r="AB11" i="1701"/>
  <c r="M21" i="1701"/>
  <c r="AB21" i="1701"/>
  <c r="AD21" i="1701" s="1"/>
  <c r="L22" i="1701"/>
  <c r="O22" i="1701" s="1"/>
  <c r="K22" i="1701"/>
  <c r="M10" i="1701"/>
  <c r="AB10" i="1701"/>
  <c r="AD10" i="1701" s="1"/>
  <c r="O11" i="1701"/>
  <c r="M17" i="1701"/>
  <c r="AB17" i="1701"/>
  <c r="AD17" i="1701" s="1"/>
  <c r="M20" i="1701"/>
  <c r="AB20" i="1701"/>
  <c r="AD20" i="1701" s="1"/>
  <c r="O21" i="1701"/>
  <c r="O10" i="1701"/>
  <c r="M13" i="1701"/>
  <c r="M19" i="1701"/>
  <c r="AE23" i="1703" l="1"/>
  <c r="AE13" i="1703"/>
  <c r="AE8" i="1703"/>
  <c r="AE17" i="1703"/>
  <c r="AE7" i="1703"/>
  <c r="AE9" i="1703"/>
  <c r="AE18" i="1703"/>
  <c r="AE22" i="1703"/>
  <c r="AE19" i="1703"/>
  <c r="AE21" i="1703"/>
  <c r="AE14" i="1703"/>
  <c r="AE12" i="1703"/>
  <c r="AE11" i="1703"/>
  <c r="AE16" i="1703"/>
  <c r="AE10" i="1703"/>
  <c r="AE15" i="1703"/>
  <c r="AE6" i="1703"/>
  <c r="AE21" i="1702"/>
  <c r="AE18" i="1702"/>
  <c r="AE14" i="1702"/>
  <c r="AE11" i="1702"/>
  <c r="AE8" i="1702"/>
  <c r="AE19" i="1702"/>
  <c r="AE15" i="1702"/>
  <c r="AE12" i="1702"/>
  <c r="AE16" i="1702"/>
  <c r="AE17" i="1702"/>
  <c r="AE10" i="1702"/>
  <c r="AE7" i="1702"/>
  <c r="AE9" i="1702"/>
  <c r="AE6" i="1702"/>
  <c r="AE20" i="1702"/>
  <c r="AE13" i="1702"/>
  <c r="AC22" i="1701"/>
  <c r="P22" i="1701"/>
  <c r="AB22" i="1701"/>
  <c r="M22" i="1701"/>
  <c r="AD11" i="1701"/>
  <c r="AD22" i="1701" s="1"/>
  <c r="AE21" i="1701" l="1"/>
  <c r="AE14" i="1701"/>
  <c r="AE11" i="1701"/>
  <c r="AE7" i="1701"/>
  <c r="AE18" i="1701"/>
  <c r="AE15" i="1701"/>
  <c r="AE12" i="1701"/>
  <c r="AE8" i="1701"/>
  <c r="AE19" i="1701"/>
  <c r="AE16" i="1701"/>
  <c r="AE13" i="1701"/>
  <c r="AE9" i="1701"/>
  <c r="AE6" i="1701"/>
  <c r="AE20" i="1701"/>
  <c r="AE17" i="1701"/>
  <c r="AE10" i="1701"/>
  <c r="D19" i="16" l="1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1700"/>
  <c r="L20" i="1700"/>
  <c r="L19" i="1700"/>
  <c r="K18" i="1700"/>
  <c r="L17" i="1700"/>
  <c r="L15" i="1700"/>
  <c r="L13" i="1700"/>
  <c r="L12" i="1700"/>
  <c r="L11" i="1700"/>
  <c r="K11" i="1700"/>
  <c r="L10" i="1700"/>
  <c r="K10" i="1700" s="1"/>
  <c r="L9" i="1700"/>
  <c r="K9" i="1700"/>
  <c r="L8" i="1700"/>
  <c r="K21" i="1700" l="1"/>
  <c r="K20" i="1700"/>
  <c r="K19" i="1700"/>
  <c r="K17" i="1700"/>
  <c r="K15" i="1700"/>
  <c r="K13" i="1700"/>
  <c r="K12" i="1700"/>
  <c r="K8" i="1700"/>
  <c r="K7" i="1700"/>
  <c r="K6" i="1700"/>
  <c r="A77" i="1700"/>
  <c r="A78" i="1700" s="1"/>
  <c r="A79" i="1700" s="1"/>
  <c r="A80" i="1700" s="1"/>
  <c r="A81" i="1700" s="1"/>
  <c r="A82" i="1700" s="1"/>
  <c r="AF61" i="1700"/>
  <c r="AF63" i="1700" s="1"/>
  <c r="AF60" i="1700"/>
  <c r="AA22" i="1700"/>
  <c r="Z22" i="1700"/>
  <c r="Y22" i="1700"/>
  <c r="X22" i="1700"/>
  <c r="W22" i="1700"/>
  <c r="V22" i="1700"/>
  <c r="U22" i="1700"/>
  <c r="T22" i="1700"/>
  <c r="S22" i="1700"/>
  <c r="R22" i="1700"/>
  <c r="N22" i="1700"/>
  <c r="J22" i="1700"/>
  <c r="AF21" i="1700"/>
  <c r="AB21" i="1700"/>
  <c r="Q21" i="1700"/>
  <c r="P21" i="1700"/>
  <c r="AC21" i="1700" s="1"/>
  <c r="O21" i="1700"/>
  <c r="M21" i="1700"/>
  <c r="AF20" i="1700"/>
  <c r="AB20" i="1700"/>
  <c r="Q20" i="1700"/>
  <c r="M20" i="1700"/>
  <c r="P20" i="1700"/>
  <c r="AC20" i="1700" s="1"/>
  <c r="AF19" i="1700"/>
  <c r="Q19" i="1700"/>
  <c r="O19" i="1700"/>
  <c r="AF18" i="1700"/>
  <c r="AB18" i="1700"/>
  <c r="Q18" i="1700"/>
  <c r="P18" i="1700" s="1"/>
  <c r="AC18" i="1700" s="1"/>
  <c r="O18" i="1700"/>
  <c r="M18" i="1700"/>
  <c r="AF17" i="1700"/>
  <c r="Q17" i="1700"/>
  <c r="P17" i="1700"/>
  <c r="AC17" i="1700" s="1"/>
  <c r="O17" i="1700"/>
  <c r="AB17" i="1700"/>
  <c r="AF16" i="1700"/>
  <c r="AC16" i="1700"/>
  <c r="AB16" i="1700"/>
  <c r="Q16" i="1700"/>
  <c r="P16" i="1700"/>
  <c r="O16" i="1700"/>
  <c r="M16" i="1700"/>
  <c r="K16" i="1700"/>
  <c r="I16" i="1700"/>
  <c r="I22" i="1700" s="1"/>
  <c r="AF15" i="1700"/>
  <c r="AB15" i="1700"/>
  <c r="Q15" i="1700"/>
  <c r="M15" i="1700"/>
  <c r="P15" i="1700"/>
  <c r="AC15" i="1700" s="1"/>
  <c r="AF14" i="1700"/>
  <c r="AB14" i="1700"/>
  <c r="Q14" i="1700"/>
  <c r="P14" i="1700"/>
  <c r="AC14" i="1700" s="1"/>
  <c r="O14" i="1700"/>
  <c r="M14" i="1700"/>
  <c r="K14" i="1700"/>
  <c r="AF13" i="1700"/>
  <c r="AB13" i="1700"/>
  <c r="Q13" i="1700"/>
  <c r="P13" i="1700" s="1"/>
  <c r="AC13" i="1700" s="1"/>
  <c r="O13" i="1700"/>
  <c r="M13" i="1700"/>
  <c r="AF12" i="1700"/>
  <c r="AB12" i="1700"/>
  <c r="Q12" i="1700"/>
  <c r="P12" i="1700" s="1"/>
  <c r="AC12" i="1700" s="1"/>
  <c r="M12" i="1700"/>
  <c r="AF11" i="1700"/>
  <c r="Q11" i="1700"/>
  <c r="O11" i="1700"/>
  <c r="AF10" i="1700"/>
  <c r="Q10" i="1700"/>
  <c r="P10" i="1700" s="1"/>
  <c r="AC10" i="1700" s="1"/>
  <c r="O10" i="1700"/>
  <c r="AB10" i="1700"/>
  <c r="AF9" i="1700"/>
  <c r="AB9" i="1700"/>
  <c r="Q9" i="1700"/>
  <c r="P9" i="1700" s="1"/>
  <c r="AC9" i="1700" s="1"/>
  <c r="AD9" i="1700" s="1"/>
  <c r="O9" i="1700"/>
  <c r="M9" i="1700"/>
  <c r="AF8" i="1700"/>
  <c r="Q8" i="1700"/>
  <c r="O8" i="1700"/>
  <c r="AF7" i="1700"/>
  <c r="Q7" i="1700"/>
  <c r="P7" i="1700" s="1"/>
  <c r="AC7" i="1700" s="1"/>
  <c r="O7" i="1700"/>
  <c r="AB7" i="1700"/>
  <c r="AF6" i="1700"/>
  <c r="AB6" i="1700"/>
  <c r="Q6" i="1700"/>
  <c r="P6" i="1700"/>
  <c r="AC6" i="1700" s="1"/>
  <c r="O6" i="1700"/>
  <c r="M6" i="1700"/>
  <c r="L22" i="1700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2" i="1699"/>
  <c r="L21" i="1699"/>
  <c r="L20" i="1699"/>
  <c r="AB20" i="1699" s="1"/>
  <c r="K20" i="1699"/>
  <c r="AF20" i="1699"/>
  <c r="Q20" i="1699"/>
  <c r="O20" i="1699"/>
  <c r="M20" i="1699"/>
  <c r="K18" i="1699"/>
  <c r="L17" i="1699"/>
  <c r="L15" i="1699"/>
  <c r="K15" i="1699"/>
  <c r="L13" i="1699"/>
  <c r="L12" i="1699"/>
  <c r="L11" i="1699"/>
  <c r="K11" i="1699"/>
  <c r="L10" i="1699"/>
  <c r="L8" i="1699"/>
  <c r="L7" i="1699"/>
  <c r="L6" i="1699"/>
  <c r="K6" i="1699"/>
  <c r="O22" i="1700" l="1"/>
  <c r="AD14" i="1700"/>
  <c r="AD13" i="1700"/>
  <c r="AD21" i="1700"/>
  <c r="Q22" i="1700"/>
  <c r="AD16" i="1700"/>
  <c r="AD18" i="1700"/>
  <c r="AD7" i="1700"/>
  <c r="AD10" i="1700"/>
  <c r="AD17" i="1700"/>
  <c r="K22" i="1700"/>
  <c r="P8" i="1700"/>
  <c r="AC8" i="1700" s="1"/>
  <c r="P11" i="1700"/>
  <c r="AC11" i="1700" s="1"/>
  <c r="P19" i="1700"/>
  <c r="AC19" i="1700" s="1"/>
  <c r="AD6" i="1700"/>
  <c r="M8" i="1700"/>
  <c r="AB8" i="1700"/>
  <c r="M11" i="1700"/>
  <c r="AB11" i="1700"/>
  <c r="O12" i="1700"/>
  <c r="AD12" i="1700" s="1"/>
  <c r="O15" i="1700"/>
  <c r="AD15" i="1700" s="1"/>
  <c r="M19" i="1700"/>
  <c r="AB19" i="1700"/>
  <c r="O20" i="1700"/>
  <c r="AD20" i="1700" s="1"/>
  <c r="M7" i="1700"/>
  <c r="M10" i="1700"/>
  <c r="M17" i="1700"/>
  <c r="P20" i="1699"/>
  <c r="AC20" i="1699" s="1"/>
  <c r="AD20" i="1699" s="1"/>
  <c r="AD19" i="1700" l="1"/>
  <c r="AD11" i="1700"/>
  <c r="AB22" i="1700"/>
  <c r="AD8" i="1700"/>
  <c r="AD22" i="1700" s="1"/>
  <c r="M22" i="1700"/>
  <c r="P22" i="1700"/>
  <c r="AC22" i="1700"/>
  <c r="AE21" i="1700" l="1"/>
  <c r="AE16" i="1700"/>
  <c r="AE13" i="1700"/>
  <c r="AE9" i="1700"/>
  <c r="AE6" i="1700"/>
  <c r="AE7" i="1700"/>
  <c r="AE17" i="1700"/>
  <c r="AE10" i="1700"/>
  <c r="AE14" i="1700"/>
  <c r="AE11" i="1700"/>
  <c r="AE8" i="1700"/>
  <c r="AE20" i="1700"/>
  <c r="AE18" i="1700"/>
  <c r="AE15" i="1700"/>
  <c r="AE12" i="1700"/>
  <c r="AE19" i="1700"/>
  <c r="K22" i="1699" l="1"/>
  <c r="K21" i="1699"/>
  <c r="K19" i="1699"/>
  <c r="K17" i="1699"/>
  <c r="K14" i="1699"/>
  <c r="K13" i="1699"/>
  <c r="K12" i="1699"/>
  <c r="K10" i="1699"/>
  <c r="K9" i="1699"/>
  <c r="K8" i="1699"/>
  <c r="K7" i="1699"/>
  <c r="A78" i="1699"/>
  <c r="A79" i="1699" s="1"/>
  <c r="A80" i="1699" s="1"/>
  <c r="A81" i="1699" s="1"/>
  <c r="A82" i="1699" s="1"/>
  <c r="A83" i="1699" s="1"/>
  <c r="AF62" i="1699"/>
  <c r="AF61" i="1699"/>
  <c r="AA23" i="1699"/>
  <c r="Z23" i="1699"/>
  <c r="Y23" i="1699"/>
  <c r="X23" i="1699"/>
  <c r="W23" i="1699"/>
  <c r="V23" i="1699"/>
  <c r="U23" i="1699"/>
  <c r="T23" i="1699"/>
  <c r="S23" i="1699"/>
  <c r="R23" i="1699"/>
  <c r="N23" i="1699"/>
  <c r="J23" i="1699"/>
  <c r="AF22" i="1699"/>
  <c r="AB22" i="1699"/>
  <c r="Q22" i="1699"/>
  <c r="P22" i="1699"/>
  <c r="AC22" i="1699" s="1"/>
  <c r="O22" i="1699"/>
  <c r="M22" i="1699"/>
  <c r="AF21" i="1699"/>
  <c r="Q21" i="1699"/>
  <c r="P21" i="1699"/>
  <c r="AC21" i="1699" s="1"/>
  <c r="AF19" i="1699"/>
  <c r="Q19" i="1699"/>
  <c r="P19" i="1699" s="1"/>
  <c r="AC19" i="1699" s="1"/>
  <c r="M19" i="1699"/>
  <c r="O19" i="1699"/>
  <c r="AF18" i="1699"/>
  <c r="Q18" i="1699"/>
  <c r="P18" i="1699"/>
  <c r="AC18" i="1699" s="1"/>
  <c r="AF17" i="1699"/>
  <c r="Q17" i="1699"/>
  <c r="P17" i="1699" s="1"/>
  <c r="AC17" i="1699" s="1"/>
  <c r="M17" i="1699"/>
  <c r="O17" i="1699"/>
  <c r="AF16" i="1699"/>
  <c r="AB16" i="1699"/>
  <c r="Q16" i="1699"/>
  <c r="P16" i="1699"/>
  <c r="AC16" i="1699" s="1"/>
  <c r="O16" i="1699"/>
  <c r="M16" i="1699"/>
  <c r="K16" i="1699"/>
  <c r="I16" i="1699"/>
  <c r="I23" i="1699" s="1"/>
  <c r="AF15" i="1699"/>
  <c r="AB15" i="1699"/>
  <c r="Q15" i="1699"/>
  <c r="P15" i="1699" s="1"/>
  <c r="AC15" i="1699" s="1"/>
  <c r="O15" i="1699"/>
  <c r="M15" i="1699"/>
  <c r="AF14" i="1699"/>
  <c r="AB14" i="1699"/>
  <c r="Q14" i="1699"/>
  <c r="P14" i="1699"/>
  <c r="AC14" i="1699" s="1"/>
  <c r="O14" i="1699"/>
  <c r="M14" i="1699"/>
  <c r="AF13" i="1699"/>
  <c r="AB13" i="1699"/>
  <c r="Q13" i="1699"/>
  <c r="P13" i="1699" s="1"/>
  <c r="AC13" i="1699" s="1"/>
  <c r="O13" i="1699"/>
  <c r="M13" i="1699"/>
  <c r="AF12" i="1699"/>
  <c r="Q12" i="1699"/>
  <c r="P12" i="1699" s="1"/>
  <c r="AC12" i="1699" s="1"/>
  <c r="AF11" i="1699"/>
  <c r="Q11" i="1699"/>
  <c r="P11" i="1699" s="1"/>
  <c r="AC11" i="1699" s="1"/>
  <c r="O11" i="1699"/>
  <c r="AB11" i="1699"/>
  <c r="AF10" i="1699"/>
  <c r="AB10" i="1699"/>
  <c r="Q10" i="1699"/>
  <c r="P10" i="1699"/>
  <c r="AC10" i="1699" s="1"/>
  <c r="O10" i="1699"/>
  <c r="M10" i="1699"/>
  <c r="AF9" i="1699"/>
  <c r="Q9" i="1699"/>
  <c r="P9" i="1699" s="1"/>
  <c r="AC9" i="1699" s="1"/>
  <c r="AF8" i="1699"/>
  <c r="Q8" i="1699"/>
  <c r="P8" i="1699"/>
  <c r="AC8" i="1699" s="1"/>
  <c r="O8" i="1699"/>
  <c r="AF7" i="1699"/>
  <c r="Q7" i="1699"/>
  <c r="P7" i="1699" s="1"/>
  <c r="AC7" i="1699" s="1"/>
  <c r="O7" i="1699"/>
  <c r="AB7" i="1699"/>
  <c r="AF6" i="1699"/>
  <c r="AB6" i="1699"/>
  <c r="Q6" i="1699"/>
  <c r="O6" i="1699"/>
  <c r="M6" i="1699"/>
  <c r="AF64" i="1699" l="1"/>
  <c r="AD15" i="1699"/>
  <c r="Q23" i="1699"/>
  <c r="AD7" i="1699"/>
  <c r="P6" i="1699"/>
  <c r="AC6" i="1699" s="1"/>
  <c r="AC23" i="1699" s="1"/>
  <c r="AD22" i="1699"/>
  <c r="AD14" i="1699"/>
  <c r="AD16" i="1699"/>
  <c r="AD10" i="1699"/>
  <c r="AD13" i="1699"/>
  <c r="AD11" i="1699"/>
  <c r="M18" i="1699"/>
  <c r="AB18" i="1699"/>
  <c r="M21" i="1699"/>
  <c r="AB21" i="1699"/>
  <c r="P23" i="1699"/>
  <c r="M9" i="1699"/>
  <c r="M12" i="1699"/>
  <c r="M8" i="1699"/>
  <c r="O9" i="1699"/>
  <c r="O12" i="1699"/>
  <c r="AB17" i="1699"/>
  <c r="AD17" i="1699" s="1"/>
  <c r="O18" i="1699"/>
  <c r="AB19" i="1699"/>
  <c r="AD19" i="1699" s="1"/>
  <c r="O21" i="1699"/>
  <c r="L23" i="1699"/>
  <c r="O23" i="1699" s="1"/>
  <c r="AB9" i="1699"/>
  <c r="AB12" i="1699"/>
  <c r="AB8" i="1699"/>
  <c r="AD8" i="1699" s="1"/>
  <c r="M7" i="1699"/>
  <c r="K23" i="1699"/>
  <c r="M11" i="1699"/>
  <c r="B19" i="16"/>
  <c r="B18" i="16"/>
  <c r="B17" i="16"/>
  <c r="B16" i="16"/>
  <c r="AG16" i="16" s="1"/>
  <c r="AG19" i="16"/>
  <c r="AG18" i="16"/>
  <c r="B15" i="16"/>
  <c r="B14" i="16"/>
  <c r="AG14" i="16" s="1"/>
  <c r="B13" i="16"/>
  <c r="B12" i="16"/>
  <c r="B11" i="16"/>
  <c r="B10" i="16"/>
  <c r="AG10" i="16" s="1"/>
  <c r="B9" i="16"/>
  <c r="AG9" i="16" s="1"/>
  <c r="B8" i="16"/>
  <c r="B7" i="16"/>
  <c r="B6" i="16"/>
  <c r="B5" i="16"/>
  <c r="AG5" i="16" s="1"/>
  <c r="B4" i="16"/>
  <c r="B3" i="16"/>
  <c r="AG3" i="16" s="1"/>
  <c r="AG17" i="16"/>
  <c r="AG15" i="16"/>
  <c r="AG13" i="16"/>
  <c r="AG12" i="16"/>
  <c r="AG11" i="16"/>
  <c r="AG8" i="16"/>
  <c r="AG7" i="16"/>
  <c r="AG6" i="16"/>
  <c r="AG4" i="16"/>
  <c r="L23" i="1698"/>
  <c r="K23" i="1698" s="1"/>
  <c r="L22" i="1698"/>
  <c r="L21" i="1698"/>
  <c r="AF20" i="1698"/>
  <c r="Q20" i="1698"/>
  <c r="P20" i="1698"/>
  <c r="AC20" i="1698" s="1"/>
  <c r="O20" i="1698"/>
  <c r="M20" i="1698"/>
  <c r="AB20" i="1698"/>
  <c r="K20" i="1698"/>
  <c r="L19" i="1698"/>
  <c r="K19" i="1698"/>
  <c r="L18" i="1698"/>
  <c r="K15" i="1698"/>
  <c r="L14" i="1698"/>
  <c r="L13" i="1698"/>
  <c r="K13" i="1698" s="1"/>
  <c r="L12" i="1698"/>
  <c r="K12" i="1698" s="1"/>
  <c r="L11" i="1698"/>
  <c r="L10" i="1698"/>
  <c r="K10" i="1698" s="1"/>
  <c r="L9" i="1698"/>
  <c r="K9" i="1698"/>
  <c r="L8" i="1698"/>
  <c r="L7" i="1698"/>
  <c r="K7" i="1698" s="1"/>
  <c r="K6" i="1698"/>
  <c r="K22" i="1698"/>
  <c r="K21" i="1698"/>
  <c r="K18" i="1698"/>
  <c r="K16" i="1698"/>
  <c r="K14" i="1698"/>
  <c r="K11" i="1698"/>
  <c r="K8" i="1698"/>
  <c r="AD21" i="1699" l="1"/>
  <c r="AD6" i="1699"/>
  <c r="AD18" i="1699"/>
  <c r="M23" i="1699"/>
  <c r="AB23" i="1699"/>
  <c r="AD12" i="1699"/>
  <c r="AD9" i="1699"/>
  <c r="AD20" i="1698"/>
  <c r="AF13" i="1698"/>
  <c r="Q13" i="1698"/>
  <c r="O13" i="1698"/>
  <c r="AB13" i="1698"/>
  <c r="A79" i="1698"/>
  <c r="A80" i="1698" s="1"/>
  <c r="A81" i="1698" s="1"/>
  <c r="A82" i="1698" s="1"/>
  <c r="A83" i="1698" s="1"/>
  <c r="A84" i="1698" s="1"/>
  <c r="AF63" i="1698"/>
  <c r="AF62" i="1698"/>
  <c r="AA24" i="1698"/>
  <c r="Z24" i="1698"/>
  <c r="Y24" i="1698"/>
  <c r="X24" i="1698"/>
  <c r="W24" i="1698"/>
  <c r="V24" i="1698"/>
  <c r="U24" i="1698"/>
  <c r="T24" i="1698"/>
  <c r="S24" i="1698"/>
  <c r="R24" i="1698"/>
  <c r="N24" i="1698"/>
  <c r="J24" i="1698"/>
  <c r="AF23" i="1698"/>
  <c r="Q23" i="1698"/>
  <c r="P23" i="1698"/>
  <c r="AC23" i="1698" s="1"/>
  <c r="AF22" i="1698"/>
  <c r="Q22" i="1698"/>
  <c r="P22" i="1698"/>
  <c r="AC22" i="1698" s="1"/>
  <c r="O22" i="1698"/>
  <c r="AF21" i="1698"/>
  <c r="Q21" i="1698"/>
  <c r="P21" i="1698"/>
  <c r="AC21" i="1698" s="1"/>
  <c r="O21" i="1698"/>
  <c r="AB21" i="1698"/>
  <c r="AF19" i="1698"/>
  <c r="AB19" i="1698"/>
  <c r="Q19" i="1698"/>
  <c r="P19" i="1698" s="1"/>
  <c r="AC19" i="1698" s="1"/>
  <c r="O19" i="1698"/>
  <c r="M19" i="1698"/>
  <c r="AF18" i="1698"/>
  <c r="Q18" i="1698"/>
  <c r="P18" i="1698" s="1"/>
  <c r="AC18" i="1698" s="1"/>
  <c r="AF17" i="1698"/>
  <c r="AB17" i="1698"/>
  <c r="Q17" i="1698"/>
  <c r="P17" i="1698"/>
  <c r="AC17" i="1698" s="1"/>
  <c r="O17" i="1698"/>
  <c r="M17" i="1698"/>
  <c r="K17" i="1698"/>
  <c r="I17" i="1698"/>
  <c r="I24" i="1698" s="1"/>
  <c r="AF16" i="1698"/>
  <c r="AB16" i="1698"/>
  <c r="Q16" i="1698"/>
  <c r="P16" i="1698"/>
  <c r="AC16" i="1698" s="1"/>
  <c r="O16" i="1698"/>
  <c r="M16" i="1698"/>
  <c r="AF15" i="1698"/>
  <c r="Q15" i="1698"/>
  <c r="P15" i="1698" s="1"/>
  <c r="AC15" i="1698" s="1"/>
  <c r="AF14" i="1698"/>
  <c r="Q14" i="1698"/>
  <c r="P14" i="1698" s="1"/>
  <c r="AC14" i="1698" s="1"/>
  <c r="O14" i="1698"/>
  <c r="AB14" i="1698"/>
  <c r="AF12" i="1698"/>
  <c r="AB12" i="1698"/>
  <c r="Q12" i="1698"/>
  <c r="P12" i="1698" s="1"/>
  <c r="AC12" i="1698" s="1"/>
  <c r="O12" i="1698"/>
  <c r="M12" i="1698"/>
  <c r="AF11" i="1698"/>
  <c r="AB11" i="1698"/>
  <c r="Q11" i="1698"/>
  <c r="P11" i="1698" s="1"/>
  <c r="AC11" i="1698" s="1"/>
  <c r="M11" i="1698"/>
  <c r="AF10" i="1698"/>
  <c r="Q10" i="1698"/>
  <c r="AF9" i="1698"/>
  <c r="AB9" i="1698"/>
  <c r="Q9" i="1698"/>
  <c r="P9" i="1698" s="1"/>
  <c r="AC9" i="1698" s="1"/>
  <c r="O9" i="1698"/>
  <c r="M9" i="1698"/>
  <c r="AF8" i="1698"/>
  <c r="Q8" i="1698"/>
  <c r="AF7" i="1698"/>
  <c r="AB7" i="1698"/>
  <c r="Q7" i="1698"/>
  <c r="P7" i="1698" s="1"/>
  <c r="AC7" i="1698" s="1"/>
  <c r="O7" i="1698"/>
  <c r="M7" i="1698"/>
  <c r="AF6" i="1698"/>
  <c r="AB6" i="1698"/>
  <c r="Q6" i="1698"/>
  <c r="O6" i="1698"/>
  <c r="M6" i="1698"/>
  <c r="AD23" i="1699" l="1"/>
  <c r="AF65" i="1698"/>
  <c r="K24" i="1698"/>
  <c r="P13" i="1698"/>
  <c r="AC13" i="1698" s="1"/>
  <c r="AD13" i="1698" s="1"/>
  <c r="M13" i="1698"/>
  <c r="P10" i="1698"/>
  <c r="AC10" i="1698" s="1"/>
  <c r="M8" i="1698"/>
  <c r="AB8" i="1698"/>
  <c r="P8" i="1698"/>
  <c r="AC8" i="1698" s="1"/>
  <c r="Q24" i="1698"/>
  <c r="AD12" i="1698"/>
  <c r="AD16" i="1698"/>
  <c r="AD19" i="1698"/>
  <c r="AD7" i="1698"/>
  <c r="P6" i="1698"/>
  <c r="AC6" i="1698" s="1"/>
  <c r="AD6" i="1698" s="1"/>
  <c r="AD17" i="1698"/>
  <c r="AD9" i="1698"/>
  <c r="AD14" i="1698"/>
  <c r="AD21" i="1698"/>
  <c r="AB10" i="1698"/>
  <c r="O11" i="1698"/>
  <c r="AD11" i="1698" s="1"/>
  <c r="M15" i="1698"/>
  <c r="AB15" i="1698"/>
  <c r="M18" i="1698"/>
  <c r="AB18" i="1698"/>
  <c r="M23" i="1698"/>
  <c r="AB23" i="1698"/>
  <c r="L24" i="1698"/>
  <c r="O24" i="1698" s="1"/>
  <c r="O8" i="1698"/>
  <c r="M10" i="1698"/>
  <c r="O10" i="1698"/>
  <c r="M14" i="1698"/>
  <c r="O15" i="1698"/>
  <c r="O18" i="1698"/>
  <c r="M22" i="1698"/>
  <c r="AB22" i="1698"/>
  <c r="AD22" i="1698" s="1"/>
  <c r="O23" i="1698"/>
  <c r="M21" i="1698"/>
  <c r="AE22" i="1699" l="1"/>
  <c r="AE20" i="1699"/>
  <c r="AE8" i="1699"/>
  <c r="AE16" i="1699"/>
  <c r="AE19" i="1699"/>
  <c r="AE12" i="1699"/>
  <c r="AE18" i="1699"/>
  <c r="AE11" i="1699"/>
  <c r="AE6" i="1699"/>
  <c r="AE10" i="1699"/>
  <c r="AE13" i="1699"/>
  <c r="AE21" i="1699"/>
  <c r="AE17" i="1699"/>
  <c r="AE7" i="1699"/>
  <c r="AE9" i="1699"/>
  <c r="AE14" i="1699"/>
  <c r="AE15" i="1699"/>
  <c r="AD18" i="1698"/>
  <c r="P24" i="1698"/>
  <c r="AC24" i="1698"/>
  <c r="AD8" i="1698"/>
  <c r="AD23" i="1698"/>
  <c r="AD15" i="1698"/>
  <c r="M24" i="1698"/>
  <c r="AB24" i="1698"/>
  <c r="AD10" i="1698"/>
  <c r="AD24" i="1698" l="1"/>
  <c r="AE20" i="1698" l="1"/>
  <c r="AE13" i="1698"/>
  <c r="AE9" i="1698"/>
  <c r="AE14" i="1698"/>
  <c r="AE12" i="1698"/>
  <c r="AE10" i="1698"/>
  <c r="AE8" i="1698"/>
  <c r="AE6" i="1698"/>
  <c r="AE18" i="1698"/>
  <c r="AE7" i="1698"/>
  <c r="AE17" i="1698"/>
  <c r="AE16" i="1698"/>
  <c r="AE11" i="1698"/>
  <c r="AE15" i="1698"/>
  <c r="AE22" i="1698"/>
  <c r="AE21" i="1698"/>
  <c r="AE19" i="1698"/>
  <c r="AE23" i="1698"/>
</calcChain>
</file>

<file path=xl/sharedStrings.xml><?xml version="1.0" encoding="utf-8"?>
<sst xmlns="http://schemas.openxmlformats.org/spreadsheetml/2006/main" count="6324" uniqueCount="628">
  <si>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</si>
  <si>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</si>
  <si>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</si>
  <si>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</si>
  <si>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</si>
  <si>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</si>
  <si>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</si>
  <si>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</si>
  <si>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</si>
  <si>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</si>
  <si>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</si>
  <si>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</si>
  <si>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</si>
  <si>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</si>
  <si>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</si>
  <si>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</si>
  <si>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</si>
  <si>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</si>
  <si>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</si>
  <si>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</si>
  <si>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</si>
  <si>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</si>
  <si>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</si>
  <si>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</si>
  <si>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</si>
  <si>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</si>
  <si>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</si>
  <si>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</si>
  <si>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</si>
  <si>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</si>
  <si>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</si>
  <si>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</si>
  <si>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</si>
  <si>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</si>
  <si>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</si>
  <si>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</si>
  <si>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</si>
  <si>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</si>
  <si>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</si>
  <si>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</si>
  <si>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</si>
  <si>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</si>
  <si>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</si>
  <si>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</si>
  <si>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</si>
  <si>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</si>
  <si>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</si>
  <si>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</si>
  <si>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</si>
  <si>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</si>
  <si>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</si>
  <si>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</si>
  <si>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</si>
  <si>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</si>
  <si>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</si>
  <si>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</si>
  <si>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</si>
  <si>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</si>
  <si>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</si>
  <si>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</si>
  <si>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</si>
  <si>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</si>
  <si>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</si>
  <si>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</si>
  <si>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</si>
  <si>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</si>
  <si>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</si>
  <si>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</si>
  <si>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</si>
  <si>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</si>
  <si>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</si>
  <si>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</si>
  <si>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</si>
  <si>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</si>
  <si>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</si>
  <si>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</si>
  <si>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</si>
  <si>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</si>
  <si>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</si>
  <si>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</si>
  <si>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</si>
  <si>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</si>
  <si>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</si>
  <si>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</si>
  <si>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</si>
  <si>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</si>
  <si>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</si>
  <si>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</si>
  <si>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</si>
  <si>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</si>
  <si>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</si>
  <si>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</si>
  <si>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</si>
  <si>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</si>
  <si>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</si>
  <si>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</si>
  <si>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</si>
  <si>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</si>
  <si>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</si>
  <si>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</si>
  <si>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</si>
  <si>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</si>
  <si>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</si>
  <si>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</si>
  <si>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</si>
  <si>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</si>
  <si>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</si>
  <si>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</si>
  <si>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</si>
  <si>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</si>
  <si>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</si>
  <si>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</si>
  <si>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</si>
  <si>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</si>
  <si>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</si>
  <si>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</si>
  <si>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</si>
  <si>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</si>
  <si>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</si>
  <si>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</si>
  <si>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</si>
  <si>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</si>
  <si>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</si>
  <si>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</si>
  <si>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SGF2030</t>
    <phoneticPr fontId="2" type="noConversion"/>
  </si>
  <si>
    <t>SGF2041</t>
    <phoneticPr fontId="2" type="noConversion"/>
  </si>
  <si>
    <t>STOPPER</t>
    <phoneticPr fontId="2" type="noConversion"/>
  </si>
  <si>
    <t>COVER</t>
    <phoneticPr fontId="2" type="noConversion"/>
  </si>
  <si>
    <t>SGF2030 N/P</t>
    <phoneticPr fontId="2" type="noConversion"/>
  </si>
  <si>
    <t>SHAFT</t>
    <phoneticPr fontId="2" type="noConversion"/>
  </si>
  <si>
    <t>JCL3030</t>
    <phoneticPr fontId="2" type="noConversion"/>
  </si>
  <si>
    <t>2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</si>
  <si>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</si>
  <si>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</si>
  <si>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</si>
  <si>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4</t>
    <phoneticPr fontId="2" type="noConversion"/>
  </si>
  <si>
    <t>SF2255 I/V</t>
    <phoneticPr fontId="2" type="noConversion"/>
  </si>
  <si>
    <t>SF2255</t>
    <phoneticPr fontId="2" type="noConversion"/>
  </si>
  <si>
    <t>13</t>
    <phoneticPr fontId="2" type="noConversion"/>
  </si>
  <si>
    <t>수리후양산</t>
    <phoneticPr fontId="2" type="noConversion"/>
  </si>
  <si>
    <t>KR6197-D475PA</t>
    <phoneticPr fontId="2" type="noConversion"/>
  </si>
  <si>
    <t>AMB0355A-KAA-R1</t>
    <phoneticPr fontId="2" type="noConversion"/>
  </si>
  <si>
    <t>KR6197-06KA</t>
    <phoneticPr fontId="2" type="noConversion"/>
  </si>
  <si>
    <t>ADAPTER</t>
    <phoneticPr fontId="2" type="noConversion"/>
  </si>
  <si>
    <t>10</t>
    <phoneticPr fontId="2" type="noConversion"/>
  </si>
  <si>
    <t>1</t>
    <phoneticPr fontId="2" type="noConversion"/>
  </si>
  <si>
    <t>AMM0890A-KAD-R1</t>
    <phoneticPr fontId="2" type="noConversion"/>
  </si>
  <si>
    <t>수정</t>
    <phoneticPr fontId="2" type="noConversion"/>
  </si>
  <si>
    <t>9</t>
    <phoneticPr fontId="2" type="noConversion"/>
  </si>
  <si>
    <t>JD4901</t>
    <phoneticPr fontId="2" type="noConversion"/>
  </si>
  <si>
    <t>7301</t>
    <phoneticPr fontId="2" type="noConversion"/>
  </si>
  <si>
    <t>5</t>
    <phoneticPr fontId="2" type="noConversion"/>
  </si>
  <si>
    <t>7</t>
    <phoneticPr fontId="2" type="noConversion"/>
  </si>
  <si>
    <t>이관</t>
    <phoneticPr fontId="2" type="noConversion"/>
  </si>
  <si>
    <t>SGP2030R</t>
    <phoneticPr fontId="2" type="noConversion"/>
  </si>
  <si>
    <t>ACTUATOR</t>
    <phoneticPr fontId="2" type="noConversion"/>
  </si>
  <si>
    <t>AMB1930A-KAA-R2</t>
    <phoneticPr fontId="2" type="noConversion"/>
  </si>
  <si>
    <t>6</t>
    <phoneticPr fontId="2" type="noConversion"/>
  </si>
  <si>
    <t>HDB08-M01A1</t>
    <phoneticPr fontId="2" type="noConversion"/>
  </si>
  <si>
    <t>수정후양산</t>
    <phoneticPr fontId="2" type="noConversion"/>
  </si>
  <si>
    <t>승인후양산</t>
    <phoneticPr fontId="2" type="noConversion"/>
  </si>
  <si>
    <t>HSA08-M03A1</t>
    <phoneticPr fontId="2" type="noConversion"/>
  </si>
  <si>
    <t>22P</t>
    <phoneticPr fontId="2" type="noConversion"/>
  </si>
  <si>
    <t>HSB05-M003B1</t>
    <phoneticPr fontId="2" type="noConversion"/>
  </si>
  <si>
    <t>AMB0172A-KAA-R2</t>
    <phoneticPr fontId="2" type="noConversion"/>
  </si>
  <si>
    <t>S475 N/P</t>
    <phoneticPr fontId="2" type="noConversion"/>
  </si>
  <si>
    <t>HSB05-M01A3</t>
    <phoneticPr fontId="2" type="noConversion"/>
  </si>
  <si>
    <t>KR6185-GM048QA</t>
    <phoneticPr fontId="2" type="noConversion"/>
  </si>
  <si>
    <t>AMB0230A-KAA-R1</t>
    <phoneticPr fontId="2" type="noConversion"/>
  </si>
  <si>
    <t>K-JR01920-C01AWA</t>
    <phoneticPr fontId="2" type="noConversion"/>
  </si>
  <si>
    <t>KR6450-GA436PNA</t>
    <phoneticPr fontId="2" type="noConversion"/>
  </si>
  <si>
    <t>SP-B</t>
    <phoneticPr fontId="2" type="noConversion"/>
  </si>
  <si>
    <t>RJR</t>
    <phoneticPr fontId="2" type="noConversion"/>
  </si>
  <si>
    <t>LID-0084</t>
    <phoneticPr fontId="2" type="noConversion"/>
  </si>
  <si>
    <t>치수확인후양산</t>
    <phoneticPr fontId="2" type="noConversion"/>
  </si>
  <si>
    <t>NP634-194-001#SP-A</t>
    <phoneticPr fontId="2" type="noConversion"/>
  </si>
  <si>
    <r>
      <t>2020년 04월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</si>
  <si>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F/ADAPTER</t>
    <phoneticPr fontId="2" type="noConversion"/>
  </si>
  <si>
    <t>AMB07P8A-KAA-R1</t>
    <phoneticPr fontId="2" type="noConversion"/>
  </si>
  <si>
    <t>KR6408AC480TA</t>
    <phoneticPr fontId="2" type="noConversion"/>
  </si>
  <si>
    <t>KR6166BB299UA</t>
    <phoneticPr fontId="2" type="noConversion"/>
  </si>
  <si>
    <t>04월 호기별 가동현황</t>
    <phoneticPr fontId="2" type="noConversion"/>
  </si>
  <si>
    <t>전일 ISSUE 사항(01일)</t>
    <phoneticPr fontId="2" type="noConversion"/>
  </si>
  <si>
    <t>F/A</t>
    <phoneticPr fontId="2" type="noConversion"/>
  </si>
  <si>
    <t>13</t>
    <phoneticPr fontId="2" type="noConversion"/>
  </si>
  <si>
    <t>KR6166BB299UA</t>
    <phoneticPr fontId="2" type="noConversion"/>
  </si>
  <si>
    <t>원재료변경후양산</t>
    <phoneticPr fontId="2" type="noConversion"/>
  </si>
  <si>
    <t>당일 진행 사항(02일)</t>
    <phoneticPr fontId="2" type="noConversion"/>
  </si>
  <si>
    <t>NP595-352-012#LB</t>
    <phoneticPr fontId="2" type="noConversion"/>
  </si>
  <si>
    <t>AMB0102B-JAA-R2</t>
    <phoneticPr fontId="2" type="noConversion"/>
  </si>
  <si>
    <t>BASE</t>
    <phoneticPr fontId="2" type="noConversion"/>
  </si>
  <si>
    <t>AMB0172A-KAA-R2</t>
    <phoneticPr fontId="2" type="noConversion"/>
  </si>
  <si>
    <t>세척후양산</t>
    <phoneticPr fontId="2" type="noConversion"/>
  </si>
  <si>
    <t>15</t>
    <phoneticPr fontId="2" type="noConversion"/>
  </si>
  <si>
    <t>SAMPLE 진행 사항(01일)</t>
    <phoneticPr fontId="2" type="noConversion"/>
  </si>
  <si>
    <t>KR6185-GM048QA</t>
    <phoneticPr fontId="2" type="noConversion"/>
  </si>
  <si>
    <t>SF2255 I/V</t>
    <phoneticPr fontId="2" type="noConversion"/>
  </si>
  <si>
    <t>KR6152-C357TA</t>
    <phoneticPr fontId="2" type="noConversion"/>
  </si>
  <si>
    <t>JD4907</t>
    <phoneticPr fontId="2" type="noConversion"/>
  </si>
  <si>
    <t>KR6408-C480TA</t>
    <phoneticPr fontId="2" type="noConversion"/>
  </si>
  <si>
    <t>KR6408AC480TA</t>
    <phoneticPr fontId="2" type="noConversion"/>
  </si>
  <si>
    <t>KR6152-B357UA</t>
    <phoneticPr fontId="2" type="noConversion"/>
  </si>
  <si>
    <t>BURR2회진행</t>
    <phoneticPr fontId="2" type="noConversion"/>
  </si>
  <si>
    <t>SST</t>
    <phoneticPr fontId="2" type="noConversion"/>
  </si>
  <si>
    <t>ADAPTER</t>
    <phoneticPr fontId="2" type="noConversion"/>
  </si>
  <si>
    <t>COVER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</si>
  <si>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</si>
  <si>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</si>
  <si>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2020년 04월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</si>
  <si>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SF2250EPR I/V</t>
    <phoneticPr fontId="2" type="noConversion"/>
  </si>
  <si>
    <t>SGP2030R N/P</t>
    <phoneticPr fontId="2" type="noConversion"/>
  </si>
  <si>
    <t>NP595-352-012#IN</t>
    <phoneticPr fontId="2" type="noConversion"/>
  </si>
  <si>
    <t>전일 ISSUE 사항(02일)</t>
    <phoneticPr fontId="2" type="noConversion"/>
  </si>
  <si>
    <t>치수확인후양산-&gt;2회진행</t>
    <phoneticPr fontId="2" type="noConversion"/>
  </si>
  <si>
    <t>세척후양산-&gt;에젝타이상수리</t>
    <phoneticPr fontId="2" type="noConversion"/>
  </si>
  <si>
    <t>14</t>
    <phoneticPr fontId="2" type="noConversion"/>
  </si>
  <si>
    <t>세척후양산-&gt;런너막힘수리</t>
    <phoneticPr fontId="2" type="noConversion"/>
  </si>
  <si>
    <t>당일 진행 사항(03일)</t>
    <phoneticPr fontId="2" type="noConversion"/>
  </si>
  <si>
    <t>AMB1926A-KAA-R3</t>
    <phoneticPr fontId="2" type="noConversion"/>
  </si>
  <si>
    <t>AMB0349A-KAA-R4</t>
    <phoneticPr fontId="2" type="noConversion"/>
  </si>
  <si>
    <t>KR6450-06KA</t>
    <phoneticPr fontId="2" type="noConversion"/>
  </si>
  <si>
    <t>LOWER PLATE B</t>
    <phoneticPr fontId="2" type="noConversion"/>
  </si>
  <si>
    <t>테스트메카</t>
    <phoneticPr fontId="2" type="noConversion"/>
  </si>
  <si>
    <t>AMB0167A-KAA-R3</t>
    <phoneticPr fontId="2" type="noConversion"/>
  </si>
  <si>
    <t>SAMPLE 진행 사항(02일)</t>
    <phoneticPr fontId="2" type="noConversion"/>
  </si>
  <si>
    <t>NP643-631-001#IN-A</t>
    <phoneticPr fontId="2" type="noConversion"/>
  </si>
  <si>
    <t>NP643-631-001#IN-B</t>
    <phoneticPr fontId="2" type="noConversion"/>
  </si>
  <si>
    <t>신작</t>
    <phoneticPr fontId="2" type="noConversion"/>
  </si>
  <si>
    <t>LG35</t>
    <phoneticPr fontId="2" type="noConversion"/>
  </si>
  <si>
    <t>AMM0890A-KAE-R1</t>
    <phoneticPr fontId="2" type="noConversion"/>
  </si>
  <si>
    <t>옵션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</si>
  <si>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</si>
  <si>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</si>
  <si>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04월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</si>
  <si>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SGF2050</t>
    <phoneticPr fontId="2" type="noConversion"/>
  </si>
  <si>
    <t>테스트</t>
    <phoneticPr fontId="2" type="noConversion"/>
  </si>
  <si>
    <t>전일 ISSUE 사항(03일)</t>
    <phoneticPr fontId="2" type="noConversion"/>
  </si>
  <si>
    <t>발주분양산-&gt;오조립수리</t>
    <phoneticPr fontId="2" type="noConversion"/>
  </si>
  <si>
    <t>STOPPER</t>
    <phoneticPr fontId="2" type="noConversion"/>
  </si>
  <si>
    <t>이물제거후양산</t>
    <phoneticPr fontId="2" type="noConversion"/>
  </si>
  <si>
    <t>8</t>
    <phoneticPr fontId="2" type="noConversion"/>
  </si>
  <si>
    <t>HDB08-M01A1</t>
    <phoneticPr fontId="2" type="noConversion"/>
  </si>
  <si>
    <t>발주분양산-&gt;런너막힘수리-&gt;코아파손2회정지</t>
    <phoneticPr fontId="2" type="noConversion"/>
  </si>
  <si>
    <t>당일 진행 사항(06일)</t>
    <phoneticPr fontId="2" type="noConversion"/>
  </si>
  <si>
    <t>LATCH</t>
    <phoneticPr fontId="2" type="noConversion"/>
  </si>
  <si>
    <t>LH-01D2</t>
    <phoneticPr fontId="2" type="noConversion"/>
  </si>
  <si>
    <t>3</t>
    <phoneticPr fontId="2" type="noConversion"/>
  </si>
  <si>
    <t>AMB0178A-KAA-R3</t>
    <phoneticPr fontId="2" type="noConversion"/>
  </si>
  <si>
    <t>AMB0172A-KAA-R2</t>
    <phoneticPr fontId="2" type="noConversion"/>
  </si>
  <si>
    <t>15</t>
    <phoneticPr fontId="2" type="noConversion"/>
  </si>
  <si>
    <t>SAMPLE 진행 사항(03일)</t>
    <phoneticPr fontId="2" type="noConversion"/>
  </si>
  <si>
    <t>K-JR01887-G04AXX</t>
    <phoneticPr fontId="2" type="noConversion"/>
  </si>
  <si>
    <t>SST</t>
    <phoneticPr fontId="2" type="noConversion"/>
  </si>
  <si>
    <t>ADAPTER</t>
    <phoneticPr fontId="2" type="noConversion"/>
  </si>
  <si>
    <t>BLUE</t>
    <phoneticPr fontId="2" type="noConversion"/>
  </si>
  <si>
    <t>신작</t>
    <phoneticPr fontId="2" type="noConversion"/>
  </si>
  <si>
    <t>1</t>
    <phoneticPr fontId="2" type="noConversion"/>
  </si>
  <si>
    <t>AMM0890A-KAE-R1</t>
    <phoneticPr fontId="2" type="noConversion"/>
  </si>
  <si>
    <t>수정</t>
    <phoneticPr fontId="2" type="noConversion"/>
  </si>
  <si>
    <t>9</t>
    <phoneticPr fontId="2" type="noConversion"/>
  </si>
  <si>
    <t>BASE</t>
    <phoneticPr fontId="2" type="noConversion"/>
  </si>
  <si>
    <t>KR6152-A357TA</t>
    <phoneticPr fontId="2" type="noConversion"/>
  </si>
  <si>
    <t>JD4901</t>
    <phoneticPr fontId="2" type="noConversion"/>
  </si>
  <si>
    <t>이관</t>
    <phoneticPr fontId="2" type="noConversion"/>
  </si>
  <si>
    <t>13</t>
    <phoneticPr fontId="2" type="noConversion"/>
  </si>
  <si>
    <t>SLIDER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</si>
  <si>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</si>
  <si>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</si>
  <si>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04월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</si>
  <si>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NEXT</t>
    <phoneticPr fontId="2" type="noConversion"/>
  </si>
  <si>
    <t>F과제</t>
    <phoneticPr fontId="2" type="noConversion"/>
  </si>
  <si>
    <t>8301</t>
    <phoneticPr fontId="2" type="noConversion"/>
  </si>
  <si>
    <t>2*1</t>
    <phoneticPr fontId="2" type="noConversion"/>
  </si>
  <si>
    <t>KR6450-A436YA</t>
    <phoneticPr fontId="2" type="noConversion"/>
  </si>
  <si>
    <t>전일 ISSUE 사항(06일)</t>
    <phoneticPr fontId="2" type="noConversion"/>
  </si>
  <si>
    <t>F과제2종</t>
    <phoneticPr fontId="2" type="noConversion"/>
  </si>
  <si>
    <t>당일 진행 사항(07일)</t>
    <phoneticPr fontId="2" type="noConversion"/>
  </si>
  <si>
    <t>H과제2종</t>
    <phoneticPr fontId="2" type="noConversion"/>
  </si>
  <si>
    <t>BG255-001A1</t>
    <phoneticPr fontId="2" type="noConversion"/>
  </si>
  <si>
    <t>LID-0084(구형)</t>
    <phoneticPr fontId="2" type="noConversion"/>
  </si>
  <si>
    <t>AMB1901D-JAA-R2</t>
    <phoneticPr fontId="2" type="noConversion"/>
  </si>
  <si>
    <t>SAMPLE 진행 사항(06일)</t>
    <phoneticPr fontId="2" type="noConversion"/>
  </si>
  <si>
    <t>AMB20E4A-KAA-R3</t>
    <phoneticPr fontId="2" type="noConversion"/>
  </si>
  <si>
    <t>KR6450-C436TA</t>
    <phoneticPr fontId="2" type="noConversion"/>
  </si>
  <si>
    <t>SP</t>
    <phoneticPr fontId="2" type="noConversion"/>
  </si>
  <si>
    <t>미성형</t>
    <phoneticPr fontId="2" type="noConversion"/>
  </si>
  <si>
    <t>SGF2033,SF2250EPR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</si>
  <si>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</si>
  <si>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</si>
  <si>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04월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</si>
  <si>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H과제</t>
    <phoneticPr fontId="2" type="noConversion"/>
  </si>
  <si>
    <t>NP595-366-004#SP</t>
    <phoneticPr fontId="2" type="noConversion"/>
  </si>
  <si>
    <t>SF2250EPR</t>
    <phoneticPr fontId="2" type="noConversion"/>
  </si>
  <si>
    <t>INPHI</t>
    <phoneticPr fontId="2" type="noConversion"/>
  </si>
  <si>
    <t>KR6450-B804PNA</t>
    <phoneticPr fontId="2" type="noConversion"/>
  </si>
  <si>
    <t>전일 ISSUE 사항(07일)</t>
    <phoneticPr fontId="2" type="noConversion"/>
  </si>
  <si>
    <t>발주분양산-&gt;BURR정지</t>
    <phoneticPr fontId="2" type="noConversion"/>
  </si>
  <si>
    <t>당일 진행 사항(08일)</t>
    <phoneticPr fontId="2" type="noConversion"/>
  </si>
  <si>
    <t>치수확인후양산-&gt;코아파손정지</t>
    <phoneticPr fontId="2" type="noConversion"/>
  </si>
  <si>
    <t>K-JR01928-B01AZE</t>
    <phoneticPr fontId="2" type="noConversion"/>
  </si>
  <si>
    <t>K-JR01928-C01AWB</t>
    <phoneticPr fontId="2" type="noConversion"/>
  </si>
  <si>
    <t>SAMPLE 진행 사항(07일)</t>
    <phoneticPr fontId="2" type="noConversion"/>
  </si>
  <si>
    <t>AMB1930A-KAA-R3</t>
    <phoneticPr fontId="2" type="noConversion"/>
  </si>
  <si>
    <t>KR6450-D804PMA</t>
    <phoneticPr fontId="2" type="noConversion"/>
  </si>
  <si>
    <t>KR6152-D357UA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</si>
  <si>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</si>
  <si>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</si>
  <si>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04월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</si>
  <si>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SGP2020R</t>
    <phoneticPr fontId="2" type="noConversion"/>
  </si>
  <si>
    <t>KR6105BA273TA</t>
    <phoneticPr fontId="2" type="noConversion"/>
  </si>
  <si>
    <t>KR6105-C315TA</t>
    <phoneticPr fontId="2" type="noConversion"/>
  </si>
  <si>
    <t>전일 ISSUE 사항(08일)</t>
    <phoneticPr fontId="2" type="noConversion"/>
  </si>
  <si>
    <t>KR6450-B804PMA</t>
    <phoneticPr fontId="2" type="noConversion"/>
  </si>
  <si>
    <t>코아파손4회정지</t>
    <phoneticPr fontId="2" type="noConversion"/>
  </si>
  <si>
    <t>당일 진행 사항(09일)</t>
    <phoneticPr fontId="2" type="noConversion"/>
  </si>
  <si>
    <t>K-JR01719-H02TA</t>
    <phoneticPr fontId="2" type="noConversion"/>
  </si>
  <si>
    <t>HDB75-M01A3</t>
    <phoneticPr fontId="2" type="noConversion"/>
  </si>
  <si>
    <t>12</t>
    <phoneticPr fontId="2" type="noConversion"/>
  </si>
  <si>
    <t>KR6414-B414UA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</si>
  <si>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</si>
  <si>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</si>
  <si>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</si>
  <si>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04월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</si>
  <si>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RTP</t>
    <phoneticPr fontId="2" type="noConversion"/>
  </si>
  <si>
    <t>전일 ISSUE 사항(09일)</t>
    <phoneticPr fontId="2" type="noConversion"/>
  </si>
  <si>
    <t>코아파손정지</t>
    <phoneticPr fontId="2" type="noConversion"/>
  </si>
  <si>
    <t>코아파손3회정지</t>
    <phoneticPr fontId="2" type="noConversion"/>
  </si>
  <si>
    <t>발주분양산-&gt;오조립정지</t>
    <phoneticPr fontId="2" type="noConversion"/>
  </si>
  <si>
    <t>당일 진행 사항(10일)</t>
    <phoneticPr fontId="2" type="noConversion"/>
  </si>
  <si>
    <t>KR6414-D414PA</t>
    <phoneticPr fontId="2" type="noConversion"/>
  </si>
  <si>
    <t>RIVET</t>
    <phoneticPr fontId="2" type="noConversion"/>
  </si>
  <si>
    <t>RV1.0-1.2HD-1.15A1</t>
    <phoneticPr fontId="2" type="noConversion"/>
  </si>
  <si>
    <t>SAMPLE 진행 사항(09일)</t>
    <phoneticPr fontId="2" type="noConversion"/>
  </si>
  <si>
    <t>KR6182AGE153QA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</si>
  <si>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</si>
  <si>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</si>
  <si>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04월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</si>
  <si>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 xml:space="preserve">SF2255 </t>
    <phoneticPr fontId="2" type="noConversion"/>
  </si>
  <si>
    <t>LEAD GUIDE</t>
    <phoneticPr fontId="2" type="noConversion"/>
  </si>
  <si>
    <t>KR6450-F1152PMA</t>
    <phoneticPr fontId="2" type="noConversion"/>
  </si>
  <si>
    <t>전일 ISSUE 사항(10일)</t>
    <phoneticPr fontId="2" type="noConversion"/>
  </si>
  <si>
    <t>발주분양산-&gt;밀핀파손수리</t>
    <phoneticPr fontId="2" type="noConversion"/>
  </si>
  <si>
    <t>KR6182-D624PA</t>
    <phoneticPr fontId="2" type="noConversion"/>
  </si>
  <si>
    <t>발주분양산-&gt;칼퀴수리</t>
    <phoneticPr fontId="2" type="noConversion"/>
  </si>
  <si>
    <t>코아파손수리</t>
    <phoneticPr fontId="2" type="noConversion"/>
  </si>
  <si>
    <t>발주분양산-&gt;코아파손정지</t>
    <phoneticPr fontId="2" type="noConversion"/>
  </si>
  <si>
    <t>수리후양산-&gt;코아파손-&gt;오조립정지</t>
    <phoneticPr fontId="2" type="noConversion"/>
  </si>
  <si>
    <t>당일 진행 사항(11일)</t>
    <phoneticPr fontId="2" type="noConversion"/>
  </si>
  <si>
    <t>미성형정지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</si>
  <si>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</si>
  <si>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</si>
  <si>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</si>
  <si>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04월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</si>
  <si>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AMB0201A-JAA-R3</t>
    <phoneticPr fontId="2" type="noConversion"/>
  </si>
  <si>
    <t>전일 ISSUE 사항(11일)</t>
    <phoneticPr fontId="2" type="noConversion"/>
  </si>
  <si>
    <t>BURR수리후양산</t>
    <phoneticPr fontId="2" type="noConversion"/>
  </si>
  <si>
    <t>수리후양산-&gt;코아파손정지</t>
    <phoneticPr fontId="2" type="noConversion"/>
  </si>
  <si>
    <t>당일 진행 사항(13일)</t>
    <phoneticPr fontId="2" type="noConversion"/>
  </si>
  <si>
    <t>KR6166BB299YA</t>
    <phoneticPr fontId="2" type="noConversion"/>
  </si>
  <si>
    <t>AMS08155A-KBB-R1</t>
    <phoneticPr fontId="2" type="noConversion"/>
  </si>
  <si>
    <t>M2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</si>
  <si>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</si>
  <si>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</si>
  <si>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</si>
  <si>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t>SF2250EPR N/P</t>
    <phoneticPr fontId="2" type="noConversion"/>
  </si>
  <si>
    <t>KR6182AGE153QB</t>
    <phoneticPr fontId="2" type="noConversion"/>
  </si>
  <si>
    <r>
      <t>2020년 04월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</si>
  <si>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전일 ISSUE 사항(13일)</t>
    <phoneticPr fontId="2" type="noConversion"/>
  </si>
  <si>
    <t>수리후양산-&gt;코아파손수리</t>
    <phoneticPr fontId="2" type="noConversion"/>
  </si>
  <si>
    <t>발주분양산-&gt;코아파손3회정지</t>
    <phoneticPr fontId="2" type="noConversion"/>
  </si>
  <si>
    <t>발주분양산-&gt;상측박힘수리</t>
    <phoneticPr fontId="2" type="noConversion"/>
  </si>
  <si>
    <t>당일 진행 사항(14일)</t>
    <phoneticPr fontId="2" type="noConversion"/>
  </si>
  <si>
    <t>HDB08-M01A1(4C)</t>
    <phoneticPr fontId="2" type="noConversion"/>
  </si>
  <si>
    <t>SAMPLE 진행 사항(13일)</t>
    <phoneticPr fontId="2" type="noConversion"/>
  </si>
  <si>
    <t>AMM0892A-KAA-R1</t>
    <phoneticPr fontId="2" type="noConversion"/>
  </si>
  <si>
    <t>원재료</t>
    <phoneticPr fontId="2" type="noConversion"/>
  </si>
  <si>
    <t>KR6166-GD200QB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</si>
  <si>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</si>
  <si>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</si>
  <si>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2020년 04월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</si>
  <si>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AMM0899A-KAB-R1</t>
    <phoneticPr fontId="2" type="noConversion"/>
  </si>
  <si>
    <t>전일 ISSUE 사항(14일)</t>
    <phoneticPr fontId="2" type="noConversion"/>
  </si>
  <si>
    <t>승인후양산-&gt;코아파손정지</t>
    <phoneticPr fontId="2" type="noConversion"/>
  </si>
  <si>
    <t>HIOCN</t>
    <phoneticPr fontId="2" type="noConversion"/>
  </si>
  <si>
    <t>당일 진행 사항(15일)</t>
    <phoneticPr fontId="2" type="noConversion"/>
  </si>
  <si>
    <t>NP628-1056-001#IN-A</t>
    <phoneticPr fontId="2" type="noConversion"/>
  </si>
  <si>
    <t>SAMPLE 진행 사항(14일)</t>
    <phoneticPr fontId="2" type="noConversion"/>
  </si>
  <si>
    <t>K-JR01887-A221ATA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</si>
  <si>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</si>
  <si>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</si>
  <si>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04월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</si>
  <si>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HSB08-M01A3</t>
    <phoneticPr fontId="2" type="noConversion"/>
  </si>
  <si>
    <t>전일 ISSUE 사항(15일)</t>
    <phoneticPr fontId="2" type="noConversion"/>
  </si>
  <si>
    <t>수리후양산-&gt;코아파손3회정지</t>
    <phoneticPr fontId="2" type="noConversion"/>
  </si>
  <si>
    <t>당일 진행 사항(16일)</t>
    <phoneticPr fontId="2" type="noConversion"/>
  </si>
  <si>
    <t>KR6166-B299YA</t>
    <phoneticPr fontId="2" type="noConversion"/>
  </si>
  <si>
    <t>SAMPLE 진행 사항(15일)</t>
    <phoneticPr fontId="2" type="noConversion"/>
  </si>
  <si>
    <t>치수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</si>
  <si>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</si>
  <si>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</si>
  <si>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04월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</si>
  <si>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AMB07U9A-KAA-R1</t>
    <phoneticPr fontId="2" type="noConversion"/>
  </si>
  <si>
    <t>전일 ISSUE 사항(16일)</t>
    <phoneticPr fontId="2" type="noConversion"/>
  </si>
  <si>
    <t>BURR정지</t>
    <phoneticPr fontId="2" type="noConversion"/>
  </si>
  <si>
    <t>긁힘정지</t>
    <phoneticPr fontId="2" type="noConversion"/>
  </si>
  <si>
    <t>당일 진행 사항(17일)</t>
    <phoneticPr fontId="2" type="noConversion"/>
  </si>
  <si>
    <t>발주분양산-&gt;코아파손수리</t>
    <phoneticPr fontId="2" type="noConversion"/>
  </si>
  <si>
    <t>SAMPLE 진행 사항(16일)</t>
    <phoneticPr fontId="2" type="noConversion"/>
  </si>
  <si>
    <t>K-JR01887-G03ABA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</si>
  <si>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</si>
  <si>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</si>
  <si>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04월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</si>
  <si>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BOTTOM</t>
    <phoneticPr fontId="2" type="noConversion"/>
  </si>
  <si>
    <t>HRCS-00C12A</t>
    <phoneticPr fontId="2" type="noConversion"/>
  </si>
  <si>
    <t>전일 ISSUE 사항(17일)</t>
    <phoneticPr fontId="2" type="noConversion"/>
  </si>
  <si>
    <t>금형이상정지</t>
    <phoneticPr fontId="2" type="noConversion"/>
  </si>
  <si>
    <t>당일 진행 사항(18일)</t>
    <phoneticPr fontId="2" type="noConversion"/>
  </si>
  <si>
    <t>SAMPLE 진행 사항(17일)</t>
    <phoneticPr fontId="2" type="noConversion"/>
  </si>
  <si>
    <t>AMB0201C-JAA-R3</t>
    <phoneticPr fontId="2" type="noConversion"/>
  </si>
  <si>
    <t>요청</t>
    <phoneticPr fontId="2" type="noConversion"/>
  </si>
  <si>
    <t>코아파손2회진행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</si>
  <si>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</si>
  <si>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</si>
  <si>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04월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</si>
  <si>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HDB75-M01A1</t>
    <phoneticPr fontId="2" type="noConversion"/>
  </si>
  <si>
    <t>전일 ISSUE 사항(18일)</t>
    <phoneticPr fontId="2" type="noConversion"/>
  </si>
  <si>
    <t>코아파손2회정지</t>
    <phoneticPr fontId="2" type="noConversion"/>
  </si>
  <si>
    <t>당일 진행 사항(19일)</t>
    <phoneticPr fontId="2" type="noConversion"/>
  </si>
  <si>
    <t>KR6450-GA436PMA</t>
    <phoneticPr fontId="2" type="noConversion"/>
  </si>
  <si>
    <t>ST/HO</t>
    <phoneticPr fontId="2" type="noConversion"/>
  </si>
  <si>
    <t>K-JR01860-D/H</t>
    <phoneticPr fontId="2" type="noConversion"/>
  </si>
  <si>
    <t>SAMPLE 진행 사항(18일)</t>
    <phoneticPr fontId="2" type="noConversion"/>
  </si>
  <si>
    <t>K-JR01887-G04AJA</t>
    <phoneticPr fontId="2" type="noConversion"/>
  </si>
  <si>
    <t>긁힘3회정지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</si>
  <si>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</si>
  <si>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</si>
  <si>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2020년 04월 19일(주간)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</si>
  <si>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2*1</t>
    <phoneticPr fontId="2" type="noConversion"/>
  </si>
  <si>
    <t>KR6070-B180UB</t>
    <phoneticPr fontId="2" type="noConversion"/>
  </si>
  <si>
    <t>전일 ISSUE 사항(19일)</t>
    <phoneticPr fontId="2" type="noConversion"/>
  </si>
  <si>
    <t>15</t>
    <phoneticPr fontId="2" type="noConversion"/>
  </si>
  <si>
    <t>BASE</t>
    <phoneticPr fontId="2" type="noConversion"/>
  </si>
  <si>
    <t>KR6070-B180UB</t>
    <phoneticPr fontId="2" type="noConversion"/>
  </si>
  <si>
    <t>치수확인후양산-&gt;상측박힘2회수리</t>
    <phoneticPr fontId="2" type="noConversion"/>
  </si>
  <si>
    <t>당일 진행 사항(20일)</t>
    <phoneticPr fontId="2" type="noConversion"/>
  </si>
  <si>
    <t>KR6156FA841YA</t>
    <phoneticPr fontId="2" type="noConversion"/>
  </si>
  <si>
    <t>MCS</t>
    <phoneticPr fontId="2" type="noConversion"/>
  </si>
  <si>
    <t>3</t>
    <phoneticPr fontId="2" type="noConversion"/>
  </si>
  <si>
    <t>AMB0178A-KAA-R3</t>
    <phoneticPr fontId="2" type="noConversion"/>
  </si>
  <si>
    <t>세척후양산</t>
    <phoneticPr fontId="2" type="noConversion"/>
  </si>
  <si>
    <t>KR6166-GD200QB</t>
    <phoneticPr fontId="2" type="noConversion"/>
  </si>
  <si>
    <t>1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</si>
  <si>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</si>
  <si>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</si>
  <si>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</si>
  <si>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2020년 04월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</si>
  <si>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NP595-366-004#SP</t>
    <phoneticPr fontId="2" type="noConversion"/>
  </si>
  <si>
    <t>HR032B-194A2</t>
    <phoneticPr fontId="2" type="noConversion"/>
  </si>
  <si>
    <t>전일 ISSUE 사항(20일)</t>
    <phoneticPr fontId="2" type="noConversion"/>
  </si>
  <si>
    <t>노즐수리</t>
    <phoneticPr fontId="2" type="noConversion"/>
  </si>
  <si>
    <t>AYE</t>
    <phoneticPr fontId="2" type="noConversion"/>
  </si>
  <si>
    <t>5</t>
    <phoneticPr fontId="2" type="noConversion"/>
  </si>
  <si>
    <t>수리후양산-&gt;미성형정지</t>
    <phoneticPr fontId="2" type="noConversion"/>
  </si>
  <si>
    <t>HICON</t>
    <phoneticPr fontId="2" type="noConversion"/>
  </si>
  <si>
    <t>7</t>
    <phoneticPr fontId="2" type="noConversion"/>
  </si>
  <si>
    <t>BOTTOM</t>
    <phoneticPr fontId="2" type="noConversion"/>
  </si>
  <si>
    <t>HDB75-M01A1</t>
    <phoneticPr fontId="2" type="noConversion"/>
  </si>
  <si>
    <t>수리후양산</t>
    <phoneticPr fontId="2" type="noConversion"/>
  </si>
  <si>
    <t>8</t>
    <phoneticPr fontId="2" type="noConversion"/>
  </si>
  <si>
    <t>당일 진행 사항(21일)</t>
    <phoneticPr fontId="2" type="noConversion"/>
  </si>
  <si>
    <t>KR6422EB804CA</t>
    <phoneticPr fontId="2" type="noConversion"/>
  </si>
  <si>
    <t>HDB75-M01A3</t>
    <phoneticPr fontId="2" type="noConversion"/>
  </si>
  <si>
    <t>12</t>
    <phoneticPr fontId="2" type="noConversion"/>
  </si>
  <si>
    <t>COVER</t>
    <phoneticPr fontId="2" type="noConversion"/>
  </si>
  <si>
    <t>6</t>
    <phoneticPr fontId="2" type="noConversion"/>
  </si>
  <si>
    <t>HR032B-194A1</t>
    <phoneticPr fontId="2" type="noConversion"/>
  </si>
  <si>
    <t>K-JR01887-G04AXX</t>
    <phoneticPr fontId="2" type="noConversion"/>
  </si>
  <si>
    <t>BLUE</t>
    <phoneticPr fontId="2" type="noConversion"/>
  </si>
  <si>
    <t>수정</t>
    <phoneticPr fontId="2" type="noConversion"/>
  </si>
  <si>
    <t>10</t>
    <phoneticPr fontId="2" type="noConversion"/>
  </si>
  <si>
    <t>2C</t>
    <phoneticPr fontId="2" type="noConversion"/>
  </si>
  <si>
    <t>SST</t>
    <phoneticPr fontId="2" type="noConversion"/>
  </si>
  <si>
    <t>ADAPTER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</si>
  <si>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</si>
  <si>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</si>
  <si>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</si>
  <si>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04월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</si>
  <si>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KR6070CC180TC</t>
    <phoneticPr fontId="2" type="noConversion"/>
  </si>
  <si>
    <t>KR6139-A320TA</t>
    <phoneticPr fontId="2" type="noConversion"/>
  </si>
  <si>
    <t>전일 ISSUE 사항(21일)</t>
    <phoneticPr fontId="2" type="noConversion"/>
  </si>
  <si>
    <t>칼퀴이상정지</t>
    <phoneticPr fontId="2" type="noConversion"/>
  </si>
  <si>
    <t>발주분양산-&gt;리브박힘수리</t>
    <phoneticPr fontId="2" type="noConversion"/>
  </si>
  <si>
    <t>발주분양산-&gt;뜯김수리</t>
    <phoneticPr fontId="2" type="noConversion"/>
  </si>
  <si>
    <t>당일 진행 사항(22일)</t>
    <phoneticPr fontId="2" type="noConversion"/>
  </si>
  <si>
    <t>SAMPLE 진행 사항(21일)</t>
    <phoneticPr fontId="2" type="noConversion"/>
  </si>
  <si>
    <t>K-JR01734-D180UA</t>
    <phoneticPr fontId="2" type="noConversion"/>
  </si>
  <si>
    <t>KR6166-A221TC</t>
    <phoneticPr fontId="2" type="noConversion"/>
  </si>
  <si>
    <t>KR6139-F320UB</t>
    <phoneticPr fontId="2" type="noConversion"/>
  </si>
  <si>
    <t>KR6099AD216UA</t>
    <phoneticPr fontId="2" type="noConversion"/>
  </si>
  <si>
    <t>KR6139-D320PA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</si>
  <si>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</si>
  <si>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</si>
  <si>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04월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</si>
  <si>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KR6150-C106TB</t>
    <phoneticPr fontId="2" type="noConversion"/>
  </si>
  <si>
    <t>전일 ISSUE 사항(22일)</t>
    <phoneticPr fontId="2" type="noConversion"/>
  </si>
  <si>
    <t>수리후양산-&gt;긁힘정지</t>
    <phoneticPr fontId="2" type="noConversion"/>
  </si>
  <si>
    <t>당일 진행 사항(23일)</t>
    <phoneticPr fontId="2" type="noConversion"/>
  </si>
  <si>
    <t>KR6404DA436YA</t>
    <phoneticPr fontId="2" type="noConversion"/>
  </si>
  <si>
    <t>SAMPLE 진행 사항(22일)</t>
    <phoneticPr fontId="2" type="noConversion"/>
  </si>
  <si>
    <t>11</t>
    <phoneticPr fontId="2" type="noConversion"/>
  </si>
  <si>
    <t>KR6150-LA052TB</t>
    <phoneticPr fontId="2" type="noConversion"/>
  </si>
  <si>
    <t>LATCH PLATE</t>
    <phoneticPr fontId="2" type="noConversion"/>
  </si>
  <si>
    <t>K-JR01905-G01BWB</t>
    <phoneticPr fontId="2" type="noConversion"/>
  </si>
  <si>
    <t>PLATE</t>
    <phoneticPr fontId="2" type="noConversion"/>
  </si>
  <si>
    <t>KR6206-D023NA</t>
    <phoneticPr fontId="2" type="noConversion"/>
  </si>
  <si>
    <t>KR6206-E023TA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</si>
  <si>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</si>
  <si>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</si>
  <si>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04월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</si>
  <si>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AMB07U9A-KAA-R2</t>
    <phoneticPr fontId="2" type="noConversion"/>
  </si>
  <si>
    <t>PAD</t>
    <phoneticPr fontId="2" type="noConversion"/>
  </si>
  <si>
    <t>378000-15</t>
    <phoneticPr fontId="2" type="noConversion"/>
  </si>
  <si>
    <t>전일 ISSUE 사항(23일)</t>
    <phoneticPr fontId="2" type="noConversion"/>
  </si>
  <si>
    <t>발주분양산-&gt;코아파손2회정지</t>
    <phoneticPr fontId="2" type="noConversion"/>
  </si>
  <si>
    <t>3078000-15</t>
    <phoneticPr fontId="2" type="noConversion"/>
  </si>
  <si>
    <t>당일 진행 사항(24일)</t>
    <phoneticPr fontId="2" type="noConversion"/>
  </si>
  <si>
    <t>KR6451-KA048PA</t>
    <phoneticPr fontId="2" type="noConversion"/>
  </si>
  <si>
    <t>KR6166CB299YA</t>
    <phoneticPr fontId="2" type="noConversion"/>
  </si>
  <si>
    <t>SAMPLE 진행 사항(23일)</t>
    <phoneticPr fontId="2" type="noConversion"/>
  </si>
  <si>
    <t>AMB20F2A-KAA-R2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</si>
  <si>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</si>
  <si>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</si>
  <si>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04월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</si>
  <si>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SPACER</t>
    <phoneticPr fontId="2" type="noConversion"/>
  </si>
  <si>
    <t>전일 ISSUE 사항(24일)</t>
    <phoneticPr fontId="2" type="noConversion"/>
  </si>
  <si>
    <t>수리후양산-&gt;BURR정지</t>
    <phoneticPr fontId="2" type="noConversion"/>
  </si>
  <si>
    <t>수리후양산-&gt;코아파손2회정지</t>
    <phoneticPr fontId="2" type="noConversion"/>
  </si>
  <si>
    <t>당일 진행 사항(25일)</t>
    <phoneticPr fontId="2" type="noConversion"/>
  </si>
  <si>
    <t>KR6451-F1860LA</t>
    <phoneticPr fontId="2" type="noConversion"/>
  </si>
  <si>
    <t>KR6451-EP01EA</t>
    <phoneticPr fontId="2" type="noConversion"/>
  </si>
  <si>
    <t>NP413-078-043#GP-4</t>
    <phoneticPr fontId="2" type="noConversion"/>
  </si>
  <si>
    <t>NP595-877-014#LB</t>
    <phoneticPr fontId="2" type="noConversion"/>
  </si>
  <si>
    <t>KR6166-GA178QB</t>
    <phoneticPr fontId="2" type="noConversion"/>
  </si>
  <si>
    <t>K-JR01887-G01CBA</t>
    <phoneticPr fontId="2" type="noConversion"/>
  </si>
  <si>
    <t>KR6206-C023TA</t>
    <phoneticPr fontId="2" type="noConversion"/>
  </si>
  <si>
    <t>KR6206-B023UA</t>
    <phoneticPr fontId="2" type="noConversion"/>
  </si>
  <si>
    <t>NP413-77549#IN-B</t>
    <phoneticPr fontId="2" type="noConversion"/>
  </si>
  <si>
    <t>K-JR01905-E02AXX</t>
    <phoneticPr fontId="2" type="noConversion"/>
  </si>
  <si>
    <t>JD4901 B/K,N/P</t>
    <phoneticPr fontId="2" type="noConversion"/>
  </si>
  <si>
    <t>KR6166-E02XX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</si>
  <si>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</si>
  <si>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</si>
  <si>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</si>
  <si>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2020년 04월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</si>
  <si>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JD4901 N/P</t>
    <phoneticPr fontId="2" type="noConversion"/>
  </si>
  <si>
    <t>전일 ISSUE 사항(25일)</t>
    <phoneticPr fontId="2" type="noConversion"/>
  </si>
  <si>
    <t>당일 진행 사항(26일)</t>
    <phoneticPr fontId="2" type="noConversion"/>
  </si>
  <si>
    <t>KR6454-C316TA</t>
    <phoneticPr fontId="2" type="noConversion"/>
  </si>
  <si>
    <t>16</t>
    <phoneticPr fontId="2" type="noConversion"/>
  </si>
  <si>
    <t>28P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</si>
  <si>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</si>
  <si>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</si>
  <si>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</si>
  <si>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2020년 04월 26일(주간)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</si>
  <si>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KR6451-K048PA</t>
    <phoneticPr fontId="2" type="noConversion"/>
  </si>
  <si>
    <t>전일 ISSUE 사항(26일)</t>
    <phoneticPr fontId="2" type="noConversion"/>
  </si>
  <si>
    <t>발주분양산-&gt;런너박힘수리</t>
    <phoneticPr fontId="2" type="noConversion"/>
  </si>
  <si>
    <t>28P(4POST)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</si>
  <si>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</si>
  <si>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</si>
  <si>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</si>
  <si>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</si>
  <si>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2020년 04월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</si>
  <si>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HDB0708-B1</t>
    <phoneticPr fontId="2" type="noConversion"/>
  </si>
  <si>
    <t>H-TOP/BOTTOM</t>
    <phoneticPr fontId="2" type="noConversion"/>
  </si>
  <si>
    <t>전일 ISSUE 사항(27일)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</si>
  <si>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</si>
  <si>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</si>
  <si>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KR6170-GM436QC</t>
    <phoneticPr fontId="2" type="noConversion"/>
  </si>
  <si>
    <t>런너이상정지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</si>
  <si>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</si>
  <si>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</si>
  <si>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04월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</si>
  <si>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AMB20E4A-KAA-R5</t>
    <phoneticPr fontId="2" type="noConversion"/>
  </si>
  <si>
    <t>NP413-77507#IN-A</t>
    <phoneticPr fontId="2" type="noConversion"/>
  </si>
  <si>
    <t>F-TOP/BOTTOM</t>
    <phoneticPr fontId="2" type="noConversion"/>
  </si>
  <si>
    <t>전일 ISSUE 사항(28일)</t>
    <phoneticPr fontId="2" type="noConversion"/>
  </si>
  <si>
    <t>당일 진행 사항(29일)</t>
    <phoneticPr fontId="2" type="noConversion"/>
  </si>
  <si>
    <t>SP-A</t>
    <phoneticPr fontId="2" type="noConversion"/>
  </si>
  <si>
    <t>HRCS-3종</t>
    <phoneticPr fontId="2" type="noConversion"/>
  </si>
  <si>
    <t>SAMPLE 진행 사항(28일)</t>
    <phoneticPr fontId="2" type="noConversion"/>
  </si>
  <si>
    <t>칼퀴이상수리</t>
    <phoneticPr fontId="2" type="noConversion"/>
  </si>
  <si>
    <t>AR3532(4C)</t>
    <phoneticPr fontId="2" type="noConversion"/>
  </si>
  <si>
    <t>AR3533(4C)</t>
    <phoneticPr fontId="2" type="noConversion"/>
  </si>
  <si>
    <t>SGF2033 N/P</t>
    <phoneticPr fontId="2" type="noConversion"/>
  </si>
  <si>
    <t>KR6451-GA1860HA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</si>
  <si>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</si>
  <si>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</si>
  <si>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04월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</si>
  <si>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AMB0467A-KAA-R1</t>
    <phoneticPr fontId="2" type="noConversion"/>
  </si>
  <si>
    <t>SGF2030 B/K</t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</si>
  <si>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</si>
  <si>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</si>
  <si>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</si>
  <si>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HRCS 3종</t>
    <phoneticPr fontId="2" type="noConversion"/>
  </si>
  <si>
    <t>3*1</t>
    <phoneticPr fontId="2" type="noConversion"/>
  </si>
  <si>
    <t>전일 ISSUE 사항(29일)</t>
    <phoneticPr fontId="2" type="noConversion"/>
  </si>
  <si>
    <t>당일 진행 사항(30일)</t>
    <phoneticPr fontId="2" type="noConversion"/>
  </si>
  <si>
    <t>AAM0818D-KAB-R3</t>
    <phoneticPr fontId="2" type="noConversion"/>
  </si>
  <si>
    <t>NP628-1056-001#IN-B</t>
    <phoneticPr fontId="2" type="noConversion"/>
  </si>
  <si>
    <t>K-JR01905-C01ATA</t>
    <phoneticPr fontId="2" type="noConversion"/>
  </si>
  <si>
    <t>SAMPLE 진행 사항(29일)</t>
    <phoneticPr fontId="2" type="noConversion"/>
  </si>
  <si>
    <t>KR6166-GN200QA</t>
    <phoneticPr fontId="2" type="noConversion"/>
  </si>
  <si>
    <t>AR3534(4C)</t>
    <phoneticPr fontId="2" type="noConversion"/>
  </si>
  <si>
    <t>런너이상3회진행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</si>
  <si>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</si>
  <si>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</si>
  <si>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2020년 04월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</si>
  <si>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PA9T</t>
    <phoneticPr fontId="2" type="noConversion"/>
  </si>
  <si>
    <t>SGP230R</t>
    <phoneticPr fontId="2" type="noConversion"/>
  </si>
  <si>
    <t>전일 ISSUE 사항(30일)</t>
    <phoneticPr fontId="2" type="noConversion"/>
  </si>
  <si>
    <t>뜯김정지</t>
    <phoneticPr fontId="2" type="noConversion"/>
  </si>
  <si>
    <t>K-JR1905-C01ATA</t>
    <phoneticPr fontId="2" type="noConversion"/>
  </si>
  <si>
    <t>발주분양산-&gt;긁힘정지</t>
    <phoneticPr fontId="2" type="noConversion"/>
  </si>
  <si>
    <t>당일 진행 사항(01일)</t>
    <phoneticPr fontId="2" type="noConversion"/>
  </si>
  <si>
    <t>SAMPLE 진행 사항(30일)</t>
    <phoneticPr fontId="2" type="noConversion"/>
  </si>
  <si>
    <t>AR3531(4C)</t>
    <phoneticPr fontId="2" type="noConversion"/>
  </si>
  <si>
    <t>AMB20E4B-KAA-R1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</si>
</sst>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33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1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1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0">
                  <c:v>863</c:v>
                </c:pt>
                <c:pt idx="1">
                  <c:v>3721</c:v>
                </c:pt>
                <c:pt idx="2">
                  <c:v>5685</c:v>
                </c:pt>
                <c:pt idx="3">
                  <c:v>4051</c:v>
                </c:pt>
                <c:pt idx="4">
                  <c:v>3346</c:v>
                </c:pt>
                <c:pt idx="5">
                  <c:v>72200</c:v>
                </c:pt>
                <c:pt idx="6">
                  <c:v>2068</c:v>
                </c:pt>
                <c:pt idx="7">
                  <c:v>3072</c:v>
                </c:pt>
                <c:pt idx="8">
                  <c:v>16704</c:v>
                </c:pt>
                <c:pt idx="9">
                  <c:v>339</c:v>
                </c:pt>
                <c:pt idx="12">
                  <c:v>22084</c:v>
                </c:pt>
                <c:pt idx="13">
                  <c:v>1041</c:v>
                </c:pt>
                <c:pt idx="14">
                  <c:v>620</c:v>
                </c:pt>
                <c:pt idx="15">
                  <c:v>4456</c:v>
                </c:pt>
                <c:pt idx="16">
                  <c:v>5645</c:v>
                </c:pt>
                <c:pt idx="17">
                  <c:v>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F-403A-BE5B-59EA155DBC1A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863</c:v>
                </c:pt>
                <c:pt idx="1">
                  <c:v>3721</c:v>
                </c:pt>
                <c:pt idx="2">
                  <c:v>5685</c:v>
                </c:pt>
                <c:pt idx="3">
                  <c:v>4051</c:v>
                </c:pt>
                <c:pt idx="4">
                  <c:v>3346</c:v>
                </c:pt>
                <c:pt idx="5">
                  <c:v>72200</c:v>
                </c:pt>
                <c:pt idx="6">
                  <c:v>2068</c:v>
                </c:pt>
                <c:pt idx="7">
                  <c:v>3072</c:v>
                </c:pt>
                <c:pt idx="8">
                  <c:v>16704</c:v>
                </c:pt>
                <c:pt idx="9">
                  <c:v>339</c:v>
                </c:pt>
                <c:pt idx="10">
                  <c:v>4830</c:v>
                </c:pt>
                <c:pt idx="11">
                  <c:v>2740</c:v>
                </c:pt>
                <c:pt idx="12">
                  <c:v>22084</c:v>
                </c:pt>
                <c:pt idx="13">
                  <c:v>1041</c:v>
                </c:pt>
                <c:pt idx="14">
                  <c:v>620</c:v>
                </c:pt>
                <c:pt idx="15">
                  <c:v>4456</c:v>
                </c:pt>
                <c:pt idx="16">
                  <c:v>5645</c:v>
                </c:pt>
                <c:pt idx="17">
                  <c:v>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F-403A-BE5B-59EA155DB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21%</c:v>
                </c:pt>
                <c:pt idx="1">
                  <c:v>79%</c:v>
                </c:pt>
                <c:pt idx="2">
                  <c:v>100%</c:v>
                </c:pt>
                <c:pt idx="3">
                  <c:v>88%</c:v>
                </c:pt>
                <c:pt idx="4">
                  <c:v>75%</c:v>
                </c:pt>
                <c:pt idx="5">
                  <c:v>46%</c:v>
                </c:pt>
                <c:pt idx="6">
                  <c:v>25%</c:v>
                </c:pt>
                <c:pt idx="7">
                  <c:v>71%</c:v>
                </c:pt>
                <c:pt idx="8">
                  <c:v>100%</c:v>
                </c:pt>
                <c:pt idx="9">
                  <c:v>21%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21%</c:v>
                </c:pt>
                <c:pt idx="14">
                  <c:v>17%</c:v>
                </c:pt>
                <c:pt idx="15">
                  <c:v>100%</c:v>
                </c:pt>
                <c:pt idx="16">
                  <c:v>100%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0.20833333333333334</c:v>
                </c:pt>
                <c:pt idx="1">
                  <c:v>0.79166666666666663</c:v>
                </c:pt>
                <c:pt idx="2">
                  <c:v>1</c:v>
                </c:pt>
                <c:pt idx="3">
                  <c:v>0.875</c:v>
                </c:pt>
                <c:pt idx="4">
                  <c:v>0.75</c:v>
                </c:pt>
                <c:pt idx="5">
                  <c:v>0.45833333333333331</c:v>
                </c:pt>
                <c:pt idx="6">
                  <c:v>0.25</c:v>
                </c:pt>
                <c:pt idx="7">
                  <c:v>0.70833333333333337</c:v>
                </c:pt>
                <c:pt idx="8">
                  <c:v>1</c:v>
                </c:pt>
                <c:pt idx="9">
                  <c:v>0.20833333333333334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1</c:v>
                </c:pt>
                <c:pt idx="16">
                  <c:v>1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8-422C-9F52-C6F794958C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18-422C-9F52-C6F794958C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0.55787037037037035</c:v>
                </c:pt>
                <c:pt idx="1">
                  <c:v>0.55787037037037035</c:v>
                </c:pt>
                <c:pt idx="2">
                  <c:v>0.55787037037037035</c:v>
                </c:pt>
                <c:pt idx="3">
                  <c:v>0.55787037037037035</c:v>
                </c:pt>
                <c:pt idx="4">
                  <c:v>0.55787037037037035</c:v>
                </c:pt>
                <c:pt idx="5">
                  <c:v>0.55787037037037035</c:v>
                </c:pt>
                <c:pt idx="6">
                  <c:v>0.55787037037037035</c:v>
                </c:pt>
                <c:pt idx="7">
                  <c:v>0.55787037037037035</c:v>
                </c:pt>
                <c:pt idx="8">
                  <c:v>0.55787037037037035</c:v>
                </c:pt>
                <c:pt idx="9">
                  <c:v>0.55787037037037035</c:v>
                </c:pt>
                <c:pt idx="10">
                  <c:v>0.55787037037037035</c:v>
                </c:pt>
                <c:pt idx="11">
                  <c:v>0.55787037037037035</c:v>
                </c:pt>
                <c:pt idx="12">
                  <c:v>0.55787037037037035</c:v>
                </c:pt>
                <c:pt idx="13">
                  <c:v>0.55787037037037035</c:v>
                </c:pt>
                <c:pt idx="14">
                  <c:v>0.55787037037037035</c:v>
                </c:pt>
                <c:pt idx="15">
                  <c:v>0.55787037037037035</c:v>
                </c:pt>
                <c:pt idx="16">
                  <c:v>0.55787037037037035</c:v>
                </c:pt>
                <c:pt idx="17">
                  <c:v>0.55787037037037035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18-422C-9F52-C6F794958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'01'!$L$6:$L$23</c:f>
              <c:numCache>
                <c:formatCode>_(* #,##0_);_(* \(#,##0\);_(* "-"_);_(@_)</c:formatCode>
                <c:ptCount val="18"/>
                <c:pt idx="0">
                  <c:v>863</c:v>
                </c:pt>
                <c:pt idx="1">
                  <c:v>3721</c:v>
                </c:pt>
                <c:pt idx="2">
                  <c:v>5685</c:v>
                </c:pt>
                <c:pt idx="3">
                  <c:v>4051</c:v>
                </c:pt>
                <c:pt idx="4">
                  <c:v>3346</c:v>
                </c:pt>
                <c:pt idx="5">
                  <c:v>72200</c:v>
                </c:pt>
                <c:pt idx="6">
                  <c:v>2068</c:v>
                </c:pt>
                <c:pt idx="7">
                  <c:v>3072</c:v>
                </c:pt>
                <c:pt idx="8">
                  <c:v>16704</c:v>
                </c:pt>
                <c:pt idx="9">
                  <c:v>339</c:v>
                </c:pt>
                <c:pt idx="12">
                  <c:v>22084</c:v>
                </c:pt>
                <c:pt idx="13">
                  <c:v>1041</c:v>
                </c:pt>
                <c:pt idx="14">
                  <c:v>620</c:v>
                </c:pt>
                <c:pt idx="15">
                  <c:v>4456</c:v>
                </c:pt>
                <c:pt idx="16">
                  <c:v>5645</c:v>
                </c:pt>
                <c:pt idx="17">
                  <c:v>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0-41A5-B288-09C9B1E4BF82}"/>
            </c:ext>
          </c:extLst>
        </c:ser>
        <c:ser>
          <c:idx val="1"/>
          <c:order val="1"/>
          <c:tx>
            <c:v>계획</c:v>
          </c:tx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'01'!$J$6:$J$23</c:f>
              <c:numCache>
                <c:formatCode>_(* #,##0_);_(* \(#,##0\);_(* "-"_);_(@_)</c:formatCode>
                <c:ptCount val="18"/>
                <c:pt idx="0">
                  <c:v>863</c:v>
                </c:pt>
                <c:pt idx="1">
                  <c:v>3721</c:v>
                </c:pt>
                <c:pt idx="2">
                  <c:v>5685</c:v>
                </c:pt>
                <c:pt idx="3">
                  <c:v>4051</c:v>
                </c:pt>
                <c:pt idx="4">
                  <c:v>3346</c:v>
                </c:pt>
                <c:pt idx="5">
                  <c:v>72200</c:v>
                </c:pt>
                <c:pt idx="6">
                  <c:v>2068</c:v>
                </c:pt>
                <c:pt idx="7">
                  <c:v>3072</c:v>
                </c:pt>
                <c:pt idx="8">
                  <c:v>16704</c:v>
                </c:pt>
                <c:pt idx="9">
                  <c:v>339</c:v>
                </c:pt>
                <c:pt idx="10">
                  <c:v>4830</c:v>
                </c:pt>
                <c:pt idx="11">
                  <c:v>2740</c:v>
                </c:pt>
                <c:pt idx="12">
                  <c:v>22084</c:v>
                </c:pt>
                <c:pt idx="13">
                  <c:v>1041</c:v>
                </c:pt>
                <c:pt idx="14">
                  <c:v>620</c:v>
                </c:pt>
                <c:pt idx="15">
                  <c:v>4456</c:v>
                </c:pt>
                <c:pt idx="16">
                  <c:v>5645</c:v>
                </c:pt>
                <c:pt idx="17">
                  <c:v>37868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0-41A5-B288-09C9B1E4B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'01'!$AD$6:$AD$23</c:f>
              <c:strCache>
                <c:ptCount val="18"/>
                <c:pt idx="0">
                  <c:v>21%</c:v>
                </c:pt>
                <c:pt idx="1">
                  <c:v>79%</c:v>
                </c:pt>
                <c:pt idx="2">
                  <c:v>100%</c:v>
                </c:pt>
                <c:pt idx="3">
                  <c:v>88%</c:v>
                </c:pt>
                <c:pt idx="4">
                  <c:v>75%</c:v>
                </c:pt>
                <c:pt idx="5">
                  <c:v>46%</c:v>
                </c:pt>
                <c:pt idx="6">
                  <c:v>25%</c:v>
                </c:pt>
                <c:pt idx="7">
                  <c:v>71%</c:v>
                </c:pt>
                <c:pt idx="8">
                  <c:v>100%</c:v>
                </c:pt>
                <c:pt idx="9">
                  <c:v>21%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21%</c:v>
                </c:pt>
                <c:pt idx="14">
                  <c:v>17%</c:v>
                </c:pt>
                <c:pt idx="15">
                  <c:v>100%</c:v>
                </c:pt>
                <c:pt idx="16">
                  <c:v>100%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'01'!$AD$6:$AD$23</c:f>
              <c:numCache>
                <c:formatCode>0%</c:formatCode>
                <c:ptCount val="18"/>
                <c:pt idx="0">
                  <c:v>0.20833333333333334</c:v>
                </c:pt>
                <c:pt idx="1">
                  <c:v>0.79166666666666663</c:v>
                </c:pt>
                <c:pt idx="2">
                  <c:v>1</c:v>
                </c:pt>
                <c:pt idx="3">
                  <c:v>0.875</c:v>
                </c:pt>
                <c:pt idx="4">
                  <c:v>0.75</c:v>
                </c:pt>
                <c:pt idx="5">
                  <c:v>0.45833333333333331</c:v>
                </c:pt>
                <c:pt idx="6">
                  <c:v>0.25</c:v>
                </c:pt>
                <c:pt idx="7">
                  <c:v>0.70833333333333337</c:v>
                </c:pt>
                <c:pt idx="8">
                  <c:v>1</c:v>
                </c:pt>
                <c:pt idx="9">
                  <c:v>0.20833333333333334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1</c:v>
                </c:pt>
                <c:pt idx="16">
                  <c:v>1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5-4ED7-A293-2750ABE0C8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B5-4ED7-A293-2750ABE0C8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'01'!$D$6:$D$23</c:f>
              <c:strCache>
                <c:ptCount val="17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SHAFT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'01'!$AE$6:$AE$23</c:f>
              <c:numCache>
                <c:formatCode>0%</c:formatCode>
                <c:ptCount val="18"/>
                <c:pt idx="0">
                  <c:v>0.55787037037037035</c:v>
                </c:pt>
                <c:pt idx="1">
                  <c:v>0.55787037037037035</c:v>
                </c:pt>
                <c:pt idx="2">
                  <c:v>0.55787037037037035</c:v>
                </c:pt>
                <c:pt idx="3">
                  <c:v>0.55787037037037035</c:v>
                </c:pt>
                <c:pt idx="4">
                  <c:v>0.55787037037037035</c:v>
                </c:pt>
                <c:pt idx="5">
                  <c:v>0.55787037037037035</c:v>
                </c:pt>
                <c:pt idx="6">
                  <c:v>0.55787037037037035</c:v>
                </c:pt>
                <c:pt idx="7">
                  <c:v>0.55787037037037035</c:v>
                </c:pt>
                <c:pt idx="8">
                  <c:v>0.55787037037037035</c:v>
                </c:pt>
                <c:pt idx="9">
                  <c:v>0.55787037037037035</c:v>
                </c:pt>
                <c:pt idx="10">
                  <c:v>0.55787037037037035</c:v>
                </c:pt>
                <c:pt idx="11">
                  <c:v>0.55787037037037035</c:v>
                </c:pt>
                <c:pt idx="12">
                  <c:v>0.55787037037037035</c:v>
                </c:pt>
                <c:pt idx="13">
                  <c:v>0.55787037037037035</c:v>
                </c:pt>
                <c:pt idx="14">
                  <c:v>0.55787037037037035</c:v>
                </c:pt>
                <c:pt idx="15">
                  <c:v>0.55787037037037035</c:v>
                </c:pt>
                <c:pt idx="16">
                  <c:v>0.55787037037037035</c:v>
                </c:pt>
                <c:pt idx="17">
                  <c:v>0.55787037037037035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B5-4ED7-A293-2750ABE0C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A9A-40E6-AB7D-483239C409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A-40E6-AB7D-483239C40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9A-40E6-AB7D-483239C409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9A-40E6-AB7D-483239C40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862</c:v>
                </c:pt>
                <c:pt idx="1">
                  <c:v>6061</c:v>
                </c:pt>
                <c:pt idx="2">
                  <c:v>5743</c:v>
                </c:pt>
                <c:pt idx="3">
                  <c:v>2179</c:v>
                </c:pt>
                <c:pt idx="4">
                  <c:v>5070</c:v>
                </c:pt>
                <c:pt idx="5">
                  <c:v>4355</c:v>
                </c:pt>
                <c:pt idx="6">
                  <c:v>4682</c:v>
                </c:pt>
                <c:pt idx="7">
                  <c:v>16779</c:v>
                </c:pt>
                <c:pt idx="9">
                  <c:v>4988</c:v>
                </c:pt>
                <c:pt idx="11">
                  <c:v>22344</c:v>
                </c:pt>
                <c:pt idx="12">
                  <c:v>1462</c:v>
                </c:pt>
                <c:pt idx="13">
                  <c:v>875</c:v>
                </c:pt>
                <c:pt idx="14">
                  <c:v>2784</c:v>
                </c:pt>
                <c:pt idx="15">
                  <c:v>3195</c:v>
                </c:pt>
                <c:pt idx="16">
                  <c:v>39596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2-4E8E-9457-F7FB9C974A9C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862</c:v>
                </c:pt>
                <c:pt idx="1">
                  <c:v>6061</c:v>
                </c:pt>
                <c:pt idx="2">
                  <c:v>5743</c:v>
                </c:pt>
                <c:pt idx="3">
                  <c:v>2179</c:v>
                </c:pt>
                <c:pt idx="4">
                  <c:v>5070</c:v>
                </c:pt>
                <c:pt idx="5">
                  <c:v>4355</c:v>
                </c:pt>
                <c:pt idx="6">
                  <c:v>4682</c:v>
                </c:pt>
                <c:pt idx="7">
                  <c:v>16779</c:v>
                </c:pt>
                <c:pt idx="8">
                  <c:v>339</c:v>
                </c:pt>
                <c:pt idx="9">
                  <c:v>4988</c:v>
                </c:pt>
                <c:pt idx="10">
                  <c:v>2740</c:v>
                </c:pt>
                <c:pt idx="11">
                  <c:v>22344</c:v>
                </c:pt>
                <c:pt idx="12">
                  <c:v>1462</c:v>
                </c:pt>
                <c:pt idx="13">
                  <c:v>875</c:v>
                </c:pt>
                <c:pt idx="14">
                  <c:v>2784</c:v>
                </c:pt>
                <c:pt idx="15">
                  <c:v>3195</c:v>
                </c:pt>
                <c:pt idx="16">
                  <c:v>39596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2-4E8E-9457-F7FB9C974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21%</c:v>
                </c:pt>
                <c:pt idx="1">
                  <c:v>100%</c:v>
                </c:pt>
                <c:pt idx="2">
                  <c:v>100%</c:v>
                </c:pt>
                <c:pt idx="3">
                  <c:v>42%</c:v>
                </c:pt>
                <c:pt idx="4">
                  <c:v>100%</c:v>
                </c:pt>
                <c:pt idx="5">
                  <c:v>92%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96%</c:v>
                </c:pt>
                <c:pt idx="10">
                  <c:v>0%</c:v>
                </c:pt>
                <c:pt idx="11">
                  <c:v>100%</c:v>
                </c:pt>
                <c:pt idx="12">
                  <c:v>33%</c:v>
                </c:pt>
                <c:pt idx="13">
                  <c:v>17%</c:v>
                </c:pt>
                <c:pt idx="14">
                  <c:v>67%</c:v>
                </c:pt>
                <c:pt idx="15">
                  <c:v>67%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0.20833333333333334</c:v>
                </c:pt>
                <c:pt idx="1">
                  <c:v>1</c:v>
                </c:pt>
                <c:pt idx="2">
                  <c:v>1</c:v>
                </c:pt>
                <c:pt idx="3">
                  <c:v>0.41666666666666669</c:v>
                </c:pt>
                <c:pt idx="4">
                  <c:v>1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0.95833333333333337</c:v>
                </c:pt>
                <c:pt idx="10">
                  <c:v>0</c:v>
                </c:pt>
                <c:pt idx="11">
                  <c:v>1</c:v>
                </c:pt>
                <c:pt idx="12">
                  <c:v>0.33333333333333331</c:v>
                </c:pt>
                <c:pt idx="13">
                  <c:v>0.16666666666666666</c:v>
                </c:pt>
                <c:pt idx="14">
                  <c:v>0.66666666666666663</c:v>
                </c:pt>
                <c:pt idx="15">
                  <c:v>0.66666666666666663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241-B4BB-589A3D62D60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56-4241-B4BB-589A3D62D60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0.62745098039215674</c:v>
                </c:pt>
                <c:pt idx="1">
                  <c:v>0.62745098039215674</c:v>
                </c:pt>
                <c:pt idx="2">
                  <c:v>0.62745098039215674</c:v>
                </c:pt>
                <c:pt idx="3">
                  <c:v>0.62745098039215674</c:v>
                </c:pt>
                <c:pt idx="4">
                  <c:v>0.62745098039215674</c:v>
                </c:pt>
                <c:pt idx="5">
                  <c:v>0.62745098039215674</c:v>
                </c:pt>
                <c:pt idx="6">
                  <c:v>0.62745098039215674</c:v>
                </c:pt>
                <c:pt idx="7">
                  <c:v>0.62745098039215674</c:v>
                </c:pt>
                <c:pt idx="8">
                  <c:v>0.62745098039215674</c:v>
                </c:pt>
                <c:pt idx="9">
                  <c:v>0.62745098039215674</c:v>
                </c:pt>
                <c:pt idx="10">
                  <c:v>0.62745098039215674</c:v>
                </c:pt>
                <c:pt idx="11">
                  <c:v>0.62745098039215674</c:v>
                </c:pt>
                <c:pt idx="12">
                  <c:v>0.62745098039215674</c:v>
                </c:pt>
                <c:pt idx="13">
                  <c:v>0.62745098039215674</c:v>
                </c:pt>
                <c:pt idx="14">
                  <c:v>0.62745098039215674</c:v>
                </c:pt>
                <c:pt idx="15">
                  <c:v>0.62745098039215674</c:v>
                </c:pt>
                <c:pt idx="16">
                  <c:v>0.62745098039215674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6-4241-B4BB-589A3D62D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862</c:v>
                </c:pt>
                <c:pt idx="1">
                  <c:v>6061</c:v>
                </c:pt>
                <c:pt idx="2">
                  <c:v>5743</c:v>
                </c:pt>
                <c:pt idx="3">
                  <c:v>2179</c:v>
                </c:pt>
                <c:pt idx="4">
                  <c:v>5070</c:v>
                </c:pt>
                <c:pt idx="5">
                  <c:v>4355</c:v>
                </c:pt>
                <c:pt idx="6">
                  <c:v>4682</c:v>
                </c:pt>
                <c:pt idx="7">
                  <c:v>16779</c:v>
                </c:pt>
                <c:pt idx="9">
                  <c:v>4988</c:v>
                </c:pt>
                <c:pt idx="11">
                  <c:v>22344</c:v>
                </c:pt>
                <c:pt idx="12">
                  <c:v>1462</c:v>
                </c:pt>
                <c:pt idx="13">
                  <c:v>875</c:v>
                </c:pt>
                <c:pt idx="14">
                  <c:v>2784</c:v>
                </c:pt>
                <c:pt idx="15">
                  <c:v>3195</c:v>
                </c:pt>
                <c:pt idx="16">
                  <c:v>39596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5-4B59-8147-D74C7E605A7B}"/>
            </c:ext>
          </c:extLst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862</c:v>
                </c:pt>
                <c:pt idx="1">
                  <c:v>6061</c:v>
                </c:pt>
                <c:pt idx="2">
                  <c:v>5743</c:v>
                </c:pt>
                <c:pt idx="3">
                  <c:v>2179</c:v>
                </c:pt>
                <c:pt idx="4">
                  <c:v>5070</c:v>
                </c:pt>
                <c:pt idx="5">
                  <c:v>4355</c:v>
                </c:pt>
                <c:pt idx="6">
                  <c:v>4682</c:v>
                </c:pt>
                <c:pt idx="7">
                  <c:v>16779</c:v>
                </c:pt>
                <c:pt idx="8">
                  <c:v>339</c:v>
                </c:pt>
                <c:pt idx="9">
                  <c:v>4988</c:v>
                </c:pt>
                <c:pt idx="10">
                  <c:v>2740</c:v>
                </c:pt>
                <c:pt idx="11">
                  <c:v>22344</c:v>
                </c:pt>
                <c:pt idx="12">
                  <c:v>1462</c:v>
                </c:pt>
                <c:pt idx="13">
                  <c:v>875</c:v>
                </c:pt>
                <c:pt idx="14">
                  <c:v>2784</c:v>
                </c:pt>
                <c:pt idx="15">
                  <c:v>3195</c:v>
                </c:pt>
                <c:pt idx="16">
                  <c:v>39596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5-4B59-8147-D74C7E60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7"/>
                <c:pt idx="0">
                  <c:v>21%</c:v>
                </c:pt>
                <c:pt idx="1">
                  <c:v>100%</c:v>
                </c:pt>
                <c:pt idx="2">
                  <c:v>100%</c:v>
                </c:pt>
                <c:pt idx="3">
                  <c:v>42%</c:v>
                </c:pt>
                <c:pt idx="4">
                  <c:v>100%</c:v>
                </c:pt>
                <c:pt idx="5">
                  <c:v>92%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96%</c:v>
                </c:pt>
                <c:pt idx="10">
                  <c:v>0%</c:v>
                </c:pt>
                <c:pt idx="11">
                  <c:v>100%</c:v>
                </c:pt>
                <c:pt idx="12">
                  <c:v>33%</c:v>
                </c:pt>
                <c:pt idx="13">
                  <c:v>17%</c:v>
                </c:pt>
                <c:pt idx="14">
                  <c:v>67%</c:v>
                </c:pt>
                <c:pt idx="15">
                  <c:v>67%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0.20833333333333334</c:v>
                </c:pt>
                <c:pt idx="1">
                  <c:v>1</c:v>
                </c:pt>
                <c:pt idx="2">
                  <c:v>1</c:v>
                </c:pt>
                <c:pt idx="3">
                  <c:v>0.41666666666666669</c:v>
                </c:pt>
                <c:pt idx="4">
                  <c:v>1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0.95833333333333337</c:v>
                </c:pt>
                <c:pt idx="10">
                  <c:v>0</c:v>
                </c:pt>
                <c:pt idx="11">
                  <c:v>1</c:v>
                </c:pt>
                <c:pt idx="12">
                  <c:v>0.33333333333333331</c:v>
                </c:pt>
                <c:pt idx="13">
                  <c:v>0.16666666666666666</c:v>
                </c:pt>
                <c:pt idx="14">
                  <c:v>0.66666666666666663</c:v>
                </c:pt>
                <c:pt idx="15">
                  <c:v>0.66666666666666663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80-417B-8C36-AD1911028A3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80-417B-8C36-AD1911028A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SP-B</c:v>
                </c:pt>
                <c:pt idx="4">
                  <c:v>COVER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0.62745098039215674</c:v>
                </c:pt>
                <c:pt idx="1">
                  <c:v>0.62745098039215674</c:v>
                </c:pt>
                <c:pt idx="2">
                  <c:v>0.62745098039215674</c:v>
                </c:pt>
                <c:pt idx="3">
                  <c:v>0.62745098039215674</c:v>
                </c:pt>
                <c:pt idx="4">
                  <c:v>0.62745098039215674</c:v>
                </c:pt>
                <c:pt idx="5">
                  <c:v>0.62745098039215674</c:v>
                </c:pt>
                <c:pt idx="6">
                  <c:v>0.62745098039215674</c:v>
                </c:pt>
                <c:pt idx="7">
                  <c:v>0.62745098039215674</c:v>
                </c:pt>
                <c:pt idx="8">
                  <c:v>0.62745098039215674</c:v>
                </c:pt>
                <c:pt idx="9">
                  <c:v>0.62745098039215674</c:v>
                </c:pt>
                <c:pt idx="10">
                  <c:v>0.62745098039215674</c:v>
                </c:pt>
                <c:pt idx="11">
                  <c:v>0.62745098039215674</c:v>
                </c:pt>
                <c:pt idx="12">
                  <c:v>0.62745098039215674</c:v>
                </c:pt>
                <c:pt idx="13">
                  <c:v>0.62745098039215674</c:v>
                </c:pt>
                <c:pt idx="14">
                  <c:v>0.62745098039215674</c:v>
                </c:pt>
                <c:pt idx="15">
                  <c:v>0.62745098039215674</c:v>
                </c:pt>
                <c:pt idx="16">
                  <c:v>0.62745098039215674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80-417B-8C36-AD1911028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FA5-4240-A2A9-D9F7DC11B7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5-4240-A2A9-D9F7DC11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A5-4240-A2A9-D9F7DC11B7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5-4240-A2A9-D9F7DC11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2100</c:v>
                </c:pt>
                <c:pt idx="2">
                  <c:v>5396</c:v>
                </c:pt>
                <c:pt idx="3">
                  <c:v>3424</c:v>
                </c:pt>
                <c:pt idx="4">
                  <c:v>4247</c:v>
                </c:pt>
                <c:pt idx="5">
                  <c:v>67240</c:v>
                </c:pt>
                <c:pt idx="6">
                  <c:v>4353</c:v>
                </c:pt>
                <c:pt idx="7">
                  <c:v>14433</c:v>
                </c:pt>
                <c:pt idx="9">
                  <c:v>4896</c:v>
                </c:pt>
                <c:pt idx="11">
                  <c:v>22176</c:v>
                </c:pt>
                <c:pt idx="12">
                  <c:v>550</c:v>
                </c:pt>
                <c:pt idx="13">
                  <c:v>4928</c:v>
                </c:pt>
                <c:pt idx="14">
                  <c:v>2856</c:v>
                </c:pt>
                <c:pt idx="15">
                  <c:v>38388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A-4027-85F4-8E3645D5E8E7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862</c:v>
                </c:pt>
                <c:pt idx="1">
                  <c:v>2100</c:v>
                </c:pt>
                <c:pt idx="2">
                  <c:v>5396</c:v>
                </c:pt>
                <c:pt idx="3">
                  <c:v>3424</c:v>
                </c:pt>
                <c:pt idx="4">
                  <c:v>4247</c:v>
                </c:pt>
                <c:pt idx="5">
                  <c:v>67240</c:v>
                </c:pt>
                <c:pt idx="6">
                  <c:v>4353</c:v>
                </c:pt>
                <c:pt idx="7">
                  <c:v>14433</c:v>
                </c:pt>
                <c:pt idx="8">
                  <c:v>339</c:v>
                </c:pt>
                <c:pt idx="9">
                  <c:v>4896</c:v>
                </c:pt>
                <c:pt idx="10">
                  <c:v>2740</c:v>
                </c:pt>
                <c:pt idx="11">
                  <c:v>22176</c:v>
                </c:pt>
                <c:pt idx="12">
                  <c:v>550</c:v>
                </c:pt>
                <c:pt idx="13">
                  <c:v>4928</c:v>
                </c:pt>
                <c:pt idx="14">
                  <c:v>2856</c:v>
                </c:pt>
                <c:pt idx="15">
                  <c:v>38388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A-4027-85F4-8E3645D5E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46%</c:v>
                </c:pt>
                <c:pt idx="2">
                  <c:v>100%</c:v>
                </c:pt>
                <c:pt idx="3">
                  <c:v>75%</c:v>
                </c:pt>
                <c:pt idx="4">
                  <c:v>92%</c:v>
                </c:pt>
                <c:pt idx="5">
                  <c:v>67%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13%</c:v>
                </c:pt>
                <c:pt idx="13">
                  <c:v>100%</c:v>
                </c:pt>
                <c:pt idx="14">
                  <c:v>67%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0.45833333333333331</c:v>
                </c:pt>
                <c:pt idx="2">
                  <c:v>1</c:v>
                </c:pt>
                <c:pt idx="3">
                  <c:v>0.75</c:v>
                </c:pt>
                <c:pt idx="4">
                  <c:v>0.91666666666666663</c:v>
                </c:pt>
                <c:pt idx="5">
                  <c:v>0.66666666666666663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0.125</c:v>
                </c:pt>
                <c:pt idx="13">
                  <c:v>1</c:v>
                </c:pt>
                <c:pt idx="14">
                  <c:v>0.66666666666666663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A-4705-B17C-ED991AE72A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FA-4705-B17C-ED991AE72A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0.61197916666666652</c:v>
                </c:pt>
                <c:pt idx="1">
                  <c:v>0.61197916666666652</c:v>
                </c:pt>
                <c:pt idx="2">
                  <c:v>0.61197916666666652</c:v>
                </c:pt>
                <c:pt idx="3">
                  <c:v>0.61197916666666652</c:v>
                </c:pt>
                <c:pt idx="4">
                  <c:v>0.61197916666666652</c:v>
                </c:pt>
                <c:pt idx="5">
                  <c:v>0.61197916666666652</c:v>
                </c:pt>
                <c:pt idx="6">
                  <c:v>0.61197916666666652</c:v>
                </c:pt>
                <c:pt idx="7">
                  <c:v>0.61197916666666652</c:v>
                </c:pt>
                <c:pt idx="8">
                  <c:v>0.61197916666666652</c:v>
                </c:pt>
                <c:pt idx="9">
                  <c:v>0.61197916666666652</c:v>
                </c:pt>
                <c:pt idx="10">
                  <c:v>0.61197916666666652</c:v>
                </c:pt>
                <c:pt idx="11">
                  <c:v>0.61197916666666652</c:v>
                </c:pt>
                <c:pt idx="12">
                  <c:v>0.61197916666666652</c:v>
                </c:pt>
                <c:pt idx="13">
                  <c:v>0.61197916666666652</c:v>
                </c:pt>
                <c:pt idx="14">
                  <c:v>0.61197916666666652</c:v>
                </c:pt>
                <c:pt idx="15">
                  <c:v>0.61197916666666652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A-4705-B17C-ED991AE72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2100</c:v>
                </c:pt>
                <c:pt idx="2">
                  <c:v>5396</c:v>
                </c:pt>
                <c:pt idx="3">
                  <c:v>3424</c:v>
                </c:pt>
                <c:pt idx="4">
                  <c:v>4247</c:v>
                </c:pt>
                <c:pt idx="5">
                  <c:v>67240</c:v>
                </c:pt>
                <c:pt idx="6">
                  <c:v>4353</c:v>
                </c:pt>
                <c:pt idx="7">
                  <c:v>14433</c:v>
                </c:pt>
                <c:pt idx="9">
                  <c:v>4896</c:v>
                </c:pt>
                <c:pt idx="11">
                  <c:v>22176</c:v>
                </c:pt>
                <c:pt idx="12">
                  <c:v>550</c:v>
                </c:pt>
                <c:pt idx="13">
                  <c:v>4928</c:v>
                </c:pt>
                <c:pt idx="14">
                  <c:v>2856</c:v>
                </c:pt>
                <c:pt idx="15">
                  <c:v>38388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F-4832-9E94-4225735BF64B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862</c:v>
                </c:pt>
                <c:pt idx="1">
                  <c:v>2100</c:v>
                </c:pt>
                <c:pt idx="2">
                  <c:v>5396</c:v>
                </c:pt>
                <c:pt idx="3">
                  <c:v>3424</c:v>
                </c:pt>
                <c:pt idx="4">
                  <c:v>4247</c:v>
                </c:pt>
                <c:pt idx="5">
                  <c:v>67240</c:v>
                </c:pt>
                <c:pt idx="6">
                  <c:v>4353</c:v>
                </c:pt>
                <c:pt idx="7">
                  <c:v>14433</c:v>
                </c:pt>
                <c:pt idx="8">
                  <c:v>339</c:v>
                </c:pt>
                <c:pt idx="9">
                  <c:v>4896</c:v>
                </c:pt>
                <c:pt idx="10">
                  <c:v>2740</c:v>
                </c:pt>
                <c:pt idx="11">
                  <c:v>22176</c:v>
                </c:pt>
                <c:pt idx="12">
                  <c:v>550</c:v>
                </c:pt>
                <c:pt idx="13">
                  <c:v>4928</c:v>
                </c:pt>
                <c:pt idx="14">
                  <c:v>2856</c:v>
                </c:pt>
                <c:pt idx="15">
                  <c:v>38388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F-4832-9E94-4225735BF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46%</c:v>
                </c:pt>
                <c:pt idx="2">
                  <c:v>100%</c:v>
                </c:pt>
                <c:pt idx="3">
                  <c:v>75%</c:v>
                </c:pt>
                <c:pt idx="4">
                  <c:v>92%</c:v>
                </c:pt>
                <c:pt idx="5">
                  <c:v>67%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13%</c:v>
                </c:pt>
                <c:pt idx="13">
                  <c:v>100%</c:v>
                </c:pt>
                <c:pt idx="14">
                  <c:v>67%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0.45833333333333331</c:v>
                </c:pt>
                <c:pt idx="2">
                  <c:v>1</c:v>
                </c:pt>
                <c:pt idx="3">
                  <c:v>0.75</c:v>
                </c:pt>
                <c:pt idx="4">
                  <c:v>0.91666666666666663</c:v>
                </c:pt>
                <c:pt idx="5">
                  <c:v>0.66666666666666663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0.125</c:v>
                </c:pt>
                <c:pt idx="13">
                  <c:v>1</c:v>
                </c:pt>
                <c:pt idx="14">
                  <c:v>0.66666666666666663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5-4868-966C-35881DF92F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95-4868-966C-35881DF92F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F/ADAPTER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0.61197916666666652</c:v>
                </c:pt>
                <c:pt idx="1">
                  <c:v>0.61197916666666652</c:v>
                </c:pt>
                <c:pt idx="2">
                  <c:v>0.61197916666666652</c:v>
                </c:pt>
                <c:pt idx="3">
                  <c:v>0.61197916666666652</c:v>
                </c:pt>
                <c:pt idx="4">
                  <c:v>0.61197916666666652</c:v>
                </c:pt>
                <c:pt idx="5">
                  <c:v>0.61197916666666652</c:v>
                </c:pt>
                <c:pt idx="6">
                  <c:v>0.61197916666666652</c:v>
                </c:pt>
                <c:pt idx="7">
                  <c:v>0.61197916666666652</c:v>
                </c:pt>
                <c:pt idx="8">
                  <c:v>0.61197916666666652</c:v>
                </c:pt>
                <c:pt idx="9">
                  <c:v>0.61197916666666652</c:v>
                </c:pt>
                <c:pt idx="10">
                  <c:v>0.61197916666666652</c:v>
                </c:pt>
                <c:pt idx="11">
                  <c:v>0.61197916666666652</c:v>
                </c:pt>
                <c:pt idx="12">
                  <c:v>0.61197916666666652</c:v>
                </c:pt>
                <c:pt idx="13">
                  <c:v>0.61197916666666652</c:v>
                </c:pt>
                <c:pt idx="14">
                  <c:v>0.61197916666666652</c:v>
                </c:pt>
                <c:pt idx="15">
                  <c:v>0.61197916666666652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95-4868-966C-35881DF92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4E3-4D40-B937-4AC76FEA9A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E3-4D40-B937-4AC76FEA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E3-4D40-B937-4AC76FEA9A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E3-4D40-B937-4AC76FEA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3682</c:v>
                </c:pt>
                <c:pt idx="2">
                  <c:v>4389</c:v>
                </c:pt>
                <c:pt idx="3">
                  <c:v>3259</c:v>
                </c:pt>
                <c:pt idx="5">
                  <c:v>140360</c:v>
                </c:pt>
                <c:pt idx="6">
                  <c:v>4827</c:v>
                </c:pt>
                <c:pt idx="7">
                  <c:v>15558</c:v>
                </c:pt>
                <c:pt idx="9">
                  <c:v>4312</c:v>
                </c:pt>
                <c:pt idx="11">
                  <c:v>21436</c:v>
                </c:pt>
                <c:pt idx="12">
                  <c:v>1140</c:v>
                </c:pt>
                <c:pt idx="13">
                  <c:v>4073</c:v>
                </c:pt>
                <c:pt idx="14">
                  <c:v>5309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C-4F20-860F-3F3B73F4E570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3682</c:v>
                </c:pt>
                <c:pt idx="1">
                  <c:v>2100</c:v>
                </c:pt>
                <c:pt idx="2">
                  <c:v>4389</c:v>
                </c:pt>
                <c:pt idx="3">
                  <c:v>3259</c:v>
                </c:pt>
                <c:pt idx="4">
                  <c:v>4247</c:v>
                </c:pt>
                <c:pt idx="5">
                  <c:v>140360</c:v>
                </c:pt>
                <c:pt idx="6">
                  <c:v>4827</c:v>
                </c:pt>
                <c:pt idx="7">
                  <c:v>15558</c:v>
                </c:pt>
                <c:pt idx="8">
                  <c:v>339</c:v>
                </c:pt>
                <c:pt idx="9">
                  <c:v>4312</c:v>
                </c:pt>
                <c:pt idx="10">
                  <c:v>2740</c:v>
                </c:pt>
                <c:pt idx="11">
                  <c:v>21436</c:v>
                </c:pt>
                <c:pt idx="12">
                  <c:v>1140</c:v>
                </c:pt>
                <c:pt idx="13">
                  <c:v>4073</c:v>
                </c:pt>
                <c:pt idx="14">
                  <c:v>5309</c:v>
                </c:pt>
                <c:pt idx="15">
                  <c:v>38388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C-4F20-860F-3F3B73F4E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79%</c:v>
                </c:pt>
                <c:pt idx="1">
                  <c:v>0%</c:v>
                </c:pt>
                <c:pt idx="2">
                  <c:v>96%</c:v>
                </c:pt>
                <c:pt idx="3">
                  <c:v>79%</c:v>
                </c:pt>
                <c:pt idx="4">
                  <c:v>0%</c:v>
                </c:pt>
                <c:pt idx="5">
                  <c:v>92%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25%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</c:v>
                </c:pt>
                <c:pt idx="2">
                  <c:v>0.95833333333333337</c:v>
                </c:pt>
                <c:pt idx="3">
                  <c:v>0.79166666666666663</c:v>
                </c:pt>
                <c:pt idx="4">
                  <c:v>0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0.25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F-4B61-AA42-2F5576E7F7D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AF-4B61-AA42-2F5576E7F7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0.6015625</c:v>
                </c:pt>
                <c:pt idx="1">
                  <c:v>0.6015625</c:v>
                </c:pt>
                <c:pt idx="2">
                  <c:v>0.6015625</c:v>
                </c:pt>
                <c:pt idx="3">
                  <c:v>0.6015625</c:v>
                </c:pt>
                <c:pt idx="4">
                  <c:v>0.6015625</c:v>
                </c:pt>
                <c:pt idx="5">
                  <c:v>0.6015625</c:v>
                </c:pt>
                <c:pt idx="6">
                  <c:v>0.6015625</c:v>
                </c:pt>
                <c:pt idx="7">
                  <c:v>0.6015625</c:v>
                </c:pt>
                <c:pt idx="8">
                  <c:v>0.6015625</c:v>
                </c:pt>
                <c:pt idx="9">
                  <c:v>0.6015625</c:v>
                </c:pt>
                <c:pt idx="10">
                  <c:v>0.6015625</c:v>
                </c:pt>
                <c:pt idx="11">
                  <c:v>0.6015625</c:v>
                </c:pt>
                <c:pt idx="12">
                  <c:v>0.6015625</c:v>
                </c:pt>
                <c:pt idx="13">
                  <c:v>0.6015625</c:v>
                </c:pt>
                <c:pt idx="14">
                  <c:v>0.6015625</c:v>
                </c:pt>
                <c:pt idx="15">
                  <c:v>0.6015625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AF-4B61-AA42-2F5576E7F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3682</c:v>
                </c:pt>
                <c:pt idx="2">
                  <c:v>4389</c:v>
                </c:pt>
                <c:pt idx="3">
                  <c:v>3259</c:v>
                </c:pt>
                <c:pt idx="5">
                  <c:v>140360</c:v>
                </c:pt>
                <c:pt idx="6">
                  <c:v>4827</c:v>
                </c:pt>
                <c:pt idx="7">
                  <c:v>15558</c:v>
                </c:pt>
                <c:pt idx="9">
                  <c:v>4312</c:v>
                </c:pt>
                <c:pt idx="11">
                  <c:v>21436</c:v>
                </c:pt>
                <c:pt idx="12">
                  <c:v>1140</c:v>
                </c:pt>
                <c:pt idx="13">
                  <c:v>4073</c:v>
                </c:pt>
                <c:pt idx="14">
                  <c:v>5309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F-469D-A878-327CA931E215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3682</c:v>
                </c:pt>
                <c:pt idx="1">
                  <c:v>2100</c:v>
                </c:pt>
                <c:pt idx="2">
                  <c:v>4389</c:v>
                </c:pt>
                <c:pt idx="3">
                  <c:v>3259</c:v>
                </c:pt>
                <c:pt idx="4">
                  <c:v>4247</c:v>
                </c:pt>
                <c:pt idx="5">
                  <c:v>140360</c:v>
                </c:pt>
                <c:pt idx="6">
                  <c:v>4827</c:v>
                </c:pt>
                <c:pt idx="7">
                  <c:v>15558</c:v>
                </c:pt>
                <c:pt idx="8">
                  <c:v>339</c:v>
                </c:pt>
                <c:pt idx="9">
                  <c:v>4312</c:v>
                </c:pt>
                <c:pt idx="10">
                  <c:v>2740</c:v>
                </c:pt>
                <c:pt idx="11">
                  <c:v>21436</c:v>
                </c:pt>
                <c:pt idx="12">
                  <c:v>1140</c:v>
                </c:pt>
                <c:pt idx="13">
                  <c:v>4073</c:v>
                </c:pt>
                <c:pt idx="14">
                  <c:v>5309</c:v>
                </c:pt>
                <c:pt idx="15">
                  <c:v>38388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F-469D-A878-327CA931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79%</c:v>
                </c:pt>
                <c:pt idx="1">
                  <c:v>0%</c:v>
                </c:pt>
                <c:pt idx="2">
                  <c:v>96%</c:v>
                </c:pt>
                <c:pt idx="3">
                  <c:v>79%</c:v>
                </c:pt>
                <c:pt idx="4">
                  <c:v>0%</c:v>
                </c:pt>
                <c:pt idx="5">
                  <c:v>92%</c:v>
                </c:pt>
                <c:pt idx="6">
                  <c:v>92%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25%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</c:v>
                </c:pt>
                <c:pt idx="2">
                  <c:v>0.95833333333333337</c:v>
                </c:pt>
                <c:pt idx="3">
                  <c:v>0.79166666666666663</c:v>
                </c:pt>
                <c:pt idx="4">
                  <c:v>0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0.25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E-4AB6-8C25-681F9267BB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FE-4AB6-8C25-681F9267BB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0.6015625</c:v>
                </c:pt>
                <c:pt idx="1">
                  <c:v>0.6015625</c:v>
                </c:pt>
                <c:pt idx="2">
                  <c:v>0.6015625</c:v>
                </c:pt>
                <c:pt idx="3">
                  <c:v>0.6015625</c:v>
                </c:pt>
                <c:pt idx="4">
                  <c:v>0.6015625</c:v>
                </c:pt>
                <c:pt idx="5">
                  <c:v>0.6015625</c:v>
                </c:pt>
                <c:pt idx="6">
                  <c:v>0.6015625</c:v>
                </c:pt>
                <c:pt idx="7">
                  <c:v>0.6015625</c:v>
                </c:pt>
                <c:pt idx="8">
                  <c:v>0.6015625</c:v>
                </c:pt>
                <c:pt idx="9">
                  <c:v>0.6015625</c:v>
                </c:pt>
                <c:pt idx="10">
                  <c:v>0.6015625</c:v>
                </c:pt>
                <c:pt idx="11">
                  <c:v>0.6015625</c:v>
                </c:pt>
                <c:pt idx="12">
                  <c:v>0.6015625</c:v>
                </c:pt>
                <c:pt idx="13">
                  <c:v>0.6015625</c:v>
                </c:pt>
                <c:pt idx="14">
                  <c:v>0.6015625</c:v>
                </c:pt>
                <c:pt idx="15">
                  <c:v>0.6015625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E-4AB6-8C25-681F9267B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F95-4C02-9376-4B75655CBC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5-4C02-9376-4B75655CB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95-4C02-9376-4B75655CBC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5-4C02-9376-4B75655CB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4255</c:v>
                </c:pt>
                <c:pt idx="2">
                  <c:v>4644</c:v>
                </c:pt>
                <c:pt idx="3">
                  <c:v>4054</c:v>
                </c:pt>
                <c:pt idx="5">
                  <c:v>142180</c:v>
                </c:pt>
                <c:pt idx="6">
                  <c:v>5596</c:v>
                </c:pt>
                <c:pt idx="7">
                  <c:v>10107</c:v>
                </c:pt>
                <c:pt idx="11">
                  <c:v>20256</c:v>
                </c:pt>
                <c:pt idx="12">
                  <c:v>2641</c:v>
                </c:pt>
                <c:pt idx="14">
                  <c:v>5103</c:v>
                </c:pt>
                <c:pt idx="15">
                  <c:v>34736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A-4675-8C83-62D4D62606BD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4255</c:v>
                </c:pt>
                <c:pt idx="1">
                  <c:v>2100</c:v>
                </c:pt>
                <c:pt idx="2">
                  <c:v>4644</c:v>
                </c:pt>
                <c:pt idx="3">
                  <c:v>4054</c:v>
                </c:pt>
                <c:pt idx="4">
                  <c:v>4247</c:v>
                </c:pt>
                <c:pt idx="5">
                  <c:v>142180</c:v>
                </c:pt>
                <c:pt idx="6">
                  <c:v>5596</c:v>
                </c:pt>
                <c:pt idx="7">
                  <c:v>10107</c:v>
                </c:pt>
                <c:pt idx="8">
                  <c:v>339</c:v>
                </c:pt>
                <c:pt idx="9">
                  <c:v>4312</c:v>
                </c:pt>
                <c:pt idx="10">
                  <c:v>2740</c:v>
                </c:pt>
                <c:pt idx="11">
                  <c:v>20256</c:v>
                </c:pt>
                <c:pt idx="12">
                  <c:v>2641</c:v>
                </c:pt>
                <c:pt idx="13">
                  <c:v>4073</c:v>
                </c:pt>
                <c:pt idx="14">
                  <c:v>5103</c:v>
                </c:pt>
                <c:pt idx="15">
                  <c:v>34736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A-4675-8C83-62D4D6260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92%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63%</c:v>
                </c:pt>
                <c:pt idx="13">
                  <c:v>0%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0.625</c:v>
                </c:pt>
                <c:pt idx="13">
                  <c:v>0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0-4E8E-BE4F-49F46C8659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E0-4E8E-BE4F-49F46C8659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0.53385416666666663</c:v>
                </c:pt>
                <c:pt idx="1">
                  <c:v>0.53385416666666663</c:v>
                </c:pt>
                <c:pt idx="2">
                  <c:v>0.53385416666666663</c:v>
                </c:pt>
                <c:pt idx="3">
                  <c:v>0.53385416666666663</c:v>
                </c:pt>
                <c:pt idx="4">
                  <c:v>0.53385416666666663</c:v>
                </c:pt>
                <c:pt idx="5">
                  <c:v>0.53385416666666663</c:v>
                </c:pt>
                <c:pt idx="6">
                  <c:v>0.53385416666666663</c:v>
                </c:pt>
                <c:pt idx="7">
                  <c:v>0.53385416666666663</c:v>
                </c:pt>
                <c:pt idx="8">
                  <c:v>0.53385416666666663</c:v>
                </c:pt>
                <c:pt idx="9">
                  <c:v>0.53385416666666663</c:v>
                </c:pt>
                <c:pt idx="10">
                  <c:v>0.53385416666666663</c:v>
                </c:pt>
                <c:pt idx="11">
                  <c:v>0.53385416666666663</c:v>
                </c:pt>
                <c:pt idx="12">
                  <c:v>0.53385416666666663</c:v>
                </c:pt>
                <c:pt idx="13">
                  <c:v>0.53385416666666663</c:v>
                </c:pt>
                <c:pt idx="14">
                  <c:v>0.53385416666666663</c:v>
                </c:pt>
                <c:pt idx="15">
                  <c:v>0.53385416666666663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0-4E8E-BE4F-49F46C865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4255</c:v>
                </c:pt>
                <c:pt idx="2">
                  <c:v>4644</c:v>
                </c:pt>
                <c:pt idx="3">
                  <c:v>4054</c:v>
                </c:pt>
                <c:pt idx="5">
                  <c:v>142180</c:v>
                </c:pt>
                <c:pt idx="6">
                  <c:v>5596</c:v>
                </c:pt>
                <c:pt idx="7">
                  <c:v>10107</c:v>
                </c:pt>
                <c:pt idx="11">
                  <c:v>20256</c:v>
                </c:pt>
                <c:pt idx="12">
                  <c:v>2641</c:v>
                </c:pt>
                <c:pt idx="14">
                  <c:v>5103</c:v>
                </c:pt>
                <c:pt idx="15">
                  <c:v>34736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D-43B5-B3B3-1363730813F2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4255</c:v>
                </c:pt>
                <c:pt idx="1">
                  <c:v>2100</c:v>
                </c:pt>
                <c:pt idx="2">
                  <c:v>4644</c:v>
                </c:pt>
                <c:pt idx="3">
                  <c:v>4054</c:v>
                </c:pt>
                <c:pt idx="4">
                  <c:v>4247</c:v>
                </c:pt>
                <c:pt idx="5">
                  <c:v>142180</c:v>
                </c:pt>
                <c:pt idx="6">
                  <c:v>5596</c:v>
                </c:pt>
                <c:pt idx="7">
                  <c:v>10107</c:v>
                </c:pt>
                <c:pt idx="8">
                  <c:v>339</c:v>
                </c:pt>
                <c:pt idx="9">
                  <c:v>4312</c:v>
                </c:pt>
                <c:pt idx="10">
                  <c:v>2740</c:v>
                </c:pt>
                <c:pt idx="11">
                  <c:v>20256</c:v>
                </c:pt>
                <c:pt idx="12">
                  <c:v>2641</c:v>
                </c:pt>
                <c:pt idx="13">
                  <c:v>4073</c:v>
                </c:pt>
                <c:pt idx="14">
                  <c:v>5103</c:v>
                </c:pt>
                <c:pt idx="15">
                  <c:v>34736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0D-43B5-B3B3-136373081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92%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63%</c:v>
                </c:pt>
                <c:pt idx="13">
                  <c:v>0%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0.625</c:v>
                </c:pt>
                <c:pt idx="13">
                  <c:v>0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7-4CE0-9067-D024220C65C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07-4CE0-9067-D024220C65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0.53385416666666663</c:v>
                </c:pt>
                <c:pt idx="1">
                  <c:v>0.53385416666666663</c:v>
                </c:pt>
                <c:pt idx="2">
                  <c:v>0.53385416666666663</c:v>
                </c:pt>
                <c:pt idx="3">
                  <c:v>0.53385416666666663</c:v>
                </c:pt>
                <c:pt idx="4">
                  <c:v>0.53385416666666663</c:v>
                </c:pt>
                <c:pt idx="5">
                  <c:v>0.53385416666666663</c:v>
                </c:pt>
                <c:pt idx="6">
                  <c:v>0.53385416666666663</c:v>
                </c:pt>
                <c:pt idx="7">
                  <c:v>0.53385416666666663</c:v>
                </c:pt>
                <c:pt idx="8">
                  <c:v>0.53385416666666663</c:v>
                </c:pt>
                <c:pt idx="9">
                  <c:v>0.53385416666666663</c:v>
                </c:pt>
                <c:pt idx="10">
                  <c:v>0.53385416666666663</c:v>
                </c:pt>
                <c:pt idx="11">
                  <c:v>0.53385416666666663</c:v>
                </c:pt>
                <c:pt idx="12">
                  <c:v>0.53385416666666663</c:v>
                </c:pt>
                <c:pt idx="13">
                  <c:v>0.53385416666666663</c:v>
                </c:pt>
                <c:pt idx="14">
                  <c:v>0.53385416666666663</c:v>
                </c:pt>
                <c:pt idx="15">
                  <c:v>0.53385416666666663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07-4CE0-9067-D024220C6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1F9-47FF-AAC4-3163F18FF4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F9-47FF-AAC4-3163F18F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F9-47FF-AAC4-3163F18FF4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9-47FF-AAC4-3163F18F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'08'!$L$6:$L$23</c:f>
              <c:numCache>
                <c:formatCode>_(* #,##0_);_(* \(#,##0\);_(* "-"_);_(@_)</c:formatCode>
                <c:ptCount val="18"/>
                <c:pt idx="2">
                  <c:v>4956</c:v>
                </c:pt>
                <c:pt idx="3">
                  <c:v>5392</c:v>
                </c:pt>
                <c:pt idx="4">
                  <c:v>7892</c:v>
                </c:pt>
                <c:pt idx="5">
                  <c:v>156780</c:v>
                </c:pt>
                <c:pt idx="6">
                  <c:v>1126</c:v>
                </c:pt>
                <c:pt idx="7">
                  <c:v>1700</c:v>
                </c:pt>
                <c:pt idx="8">
                  <c:v>21780</c:v>
                </c:pt>
                <c:pt idx="10">
                  <c:v>33605</c:v>
                </c:pt>
                <c:pt idx="12">
                  <c:v>21072</c:v>
                </c:pt>
                <c:pt idx="14">
                  <c:v>1242</c:v>
                </c:pt>
                <c:pt idx="15">
                  <c:v>1438</c:v>
                </c:pt>
                <c:pt idx="16">
                  <c:v>4226</c:v>
                </c:pt>
                <c:pt idx="17">
                  <c:v>36544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4-47A5-9A05-D7EFBC502E58}"/>
            </c:ext>
          </c:extLst>
        </c:ser>
        <c:ser>
          <c:idx val="1"/>
          <c:order val="1"/>
          <c:tx>
            <c:v>계획</c:v>
          </c:tx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'08'!$J$6:$J$23</c:f>
              <c:numCache>
                <c:formatCode>_(* #,##0_);_(* \(#,##0\);_(* "-"_);_(@_)</c:formatCode>
                <c:ptCount val="18"/>
                <c:pt idx="0">
                  <c:v>4255</c:v>
                </c:pt>
                <c:pt idx="1">
                  <c:v>2100</c:v>
                </c:pt>
                <c:pt idx="2">
                  <c:v>4956</c:v>
                </c:pt>
                <c:pt idx="3">
                  <c:v>5392</c:v>
                </c:pt>
                <c:pt idx="4">
                  <c:v>7892</c:v>
                </c:pt>
                <c:pt idx="5">
                  <c:v>156780</c:v>
                </c:pt>
                <c:pt idx="6">
                  <c:v>1126</c:v>
                </c:pt>
                <c:pt idx="7">
                  <c:v>1700</c:v>
                </c:pt>
                <c:pt idx="8">
                  <c:v>21780</c:v>
                </c:pt>
                <c:pt idx="9">
                  <c:v>339</c:v>
                </c:pt>
                <c:pt idx="10">
                  <c:v>33605</c:v>
                </c:pt>
                <c:pt idx="11">
                  <c:v>2740</c:v>
                </c:pt>
                <c:pt idx="12">
                  <c:v>21072</c:v>
                </c:pt>
                <c:pt idx="13">
                  <c:v>2641</c:v>
                </c:pt>
                <c:pt idx="14">
                  <c:v>1242</c:v>
                </c:pt>
                <c:pt idx="15">
                  <c:v>1438</c:v>
                </c:pt>
                <c:pt idx="16">
                  <c:v>4226</c:v>
                </c:pt>
                <c:pt idx="17">
                  <c:v>36544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4-47A5-9A05-D7EFBC502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75%</c:v>
                </c:pt>
                <c:pt idx="5">
                  <c:v>100%</c:v>
                </c:pt>
                <c:pt idx="6">
                  <c:v>25%</c:v>
                </c:pt>
                <c:pt idx="7">
                  <c:v>38%</c:v>
                </c:pt>
                <c:pt idx="8">
                  <c:v>100%</c:v>
                </c:pt>
                <c:pt idx="9">
                  <c:v>0%</c:v>
                </c:pt>
                <c:pt idx="10">
                  <c:v>92%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29%</c:v>
                </c:pt>
                <c:pt idx="15">
                  <c:v>29%</c:v>
                </c:pt>
                <c:pt idx="16">
                  <c:v>100%</c:v>
                </c:pt>
                <c:pt idx="17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0.25</c:v>
                </c:pt>
                <c:pt idx="7">
                  <c:v>0.375</c:v>
                </c:pt>
                <c:pt idx="8">
                  <c:v>1</c:v>
                </c:pt>
                <c:pt idx="9">
                  <c:v>0</c:v>
                </c:pt>
                <c:pt idx="10">
                  <c:v>0.91666666666666663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0.29166666666666669</c:v>
                </c:pt>
                <c:pt idx="15">
                  <c:v>0.29166666666666669</c:v>
                </c:pt>
                <c:pt idx="16">
                  <c:v>1</c:v>
                </c:pt>
                <c:pt idx="1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F-488F-B7BA-03AAB09492C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FF-488F-B7BA-03AAB09492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'08'!$AE$6:$AE$23</c:f>
              <c:numCache>
                <c:formatCode>0%</c:formatCode>
                <c:ptCount val="18"/>
                <c:pt idx="0">
                  <c:v>0.52083333333333337</c:v>
                </c:pt>
                <c:pt idx="1">
                  <c:v>0.52083333333333337</c:v>
                </c:pt>
                <c:pt idx="2">
                  <c:v>0.52083333333333337</c:v>
                </c:pt>
                <c:pt idx="3">
                  <c:v>0.52083333333333337</c:v>
                </c:pt>
                <c:pt idx="4">
                  <c:v>0.52083333333333337</c:v>
                </c:pt>
                <c:pt idx="5">
                  <c:v>0.52083333333333337</c:v>
                </c:pt>
                <c:pt idx="6">
                  <c:v>0.52083333333333337</c:v>
                </c:pt>
                <c:pt idx="7">
                  <c:v>0.52083333333333337</c:v>
                </c:pt>
                <c:pt idx="8">
                  <c:v>0.52083333333333337</c:v>
                </c:pt>
                <c:pt idx="9">
                  <c:v>0.52083333333333337</c:v>
                </c:pt>
                <c:pt idx="10">
                  <c:v>0.52083333333333337</c:v>
                </c:pt>
                <c:pt idx="11">
                  <c:v>0.52083333333333337</c:v>
                </c:pt>
                <c:pt idx="12">
                  <c:v>0.52083333333333337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0.52083333333333337</c:v>
                </c:pt>
                <c:pt idx="16">
                  <c:v>0.52083333333333337</c:v>
                </c:pt>
                <c:pt idx="17">
                  <c:v>0.52083333333333337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F-488F-B7BA-03AAB0949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'08'!$L$6:$L$23</c:f>
              <c:numCache>
                <c:formatCode>_(* #,##0_);_(* \(#,##0\);_(* "-"_);_(@_)</c:formatCode>
                <c:ptCount val="18"/>
                <c:pt idx="2">
                  <c:v>4956</c:v>
                </c:pt>
                <c:pt idx="3">
                  <c:v>5392</c:v>
                </c:pt>
                <c:pt idx="4">
                  <c:v>7892</c:v>
                </c:pt>
                <c:pt idx="5">
                  <c:v>156780</c:v>
                </c:pt>
                <c:pt idx="6">
                  <c:v>1126</c:v>
                </c:pt>
                <c:pt idx="7">
                  <c:v>1700</c:v>
                </c:pt>
                <c:pt idx="8">
                  <c:v>21780</c:v>
                </c:pt>
                <c:pt idx="10">
                  <c:v>33605</c:v>
                </c:pt>
                <c:pt idx="12">
                  <c:v>21072</c:v>
                </c:pt>
                <c:pt idx="14">
                  <c:v>1242</c:v>
                </c:pt>
                <c:pt idx="15">
                  <c:v>1438</c:v>
                </c:pt>
                <c:pt idx="16">
                  <c:v>4226</c:v>
                </c:pt>
                <c:pt idx="17">
                  <c:v>36544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A-43CE-BBC7-94A79E75AF81}"/>
            </c:ext>
          </c:extLst>
        </c:ser>
        <c:ser>
          <c:idx val="1"/>
          <c:order val="1"/>
          <c:tx>
            <c:v>계획</c:v>
          </c:tx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'08'!$J$6:$J$23</c:f>
              <c:numCache>
                <c:formatCode>_(* #,##0_);_(* \(#,##0\);_(* "-"_);_(@_)</c:formatCode>
                <c:ptCount val="18"/>
                <c:pt idx="0">
                  <c:v>4255</c:v>
                </c:pt>
                <c:pt idx="1">
                  <c:v>2100</c:v>
                </c:pt>
                <c:pt idx="2">
                  <c:v>4956</c:v>
                </c:pt>
                <c:pt idx="3">
                  <c:v>5392</c:v>
                </c:pt>
                <c:pt idx="4">
                  <c:v>7892</c:v>
                </c:pt>
                <c:pt idx="5">
                  <c:v>156780</c:v>
                </c:pt>
                <c:pt idx="6">
                  <c:v>1126</c:v>
                </c:pt>
                <c:pt idx="7">
                  <c:v>1700</c:v>
                </c:pt>
                <c:pt idx="8">
                  <c:v>21780</c:v>
                </c:pt>
                <c:pt idx="9">
                  <c:v>339</c:v>
                </c:pt>
                <c:pt idx="10">
                  <c:v>33605</c:v>
                </c:pt>
                <c:pt idx="11">
                  <c:v>2740</c:v>
                </c:pt>
                <c:pt idx="12">
                  <c:v>21072</c:v>
                </c:pt>
                <c:pt idx="13">
                  <c:v>2641</c:v>
                </c:pt>
                <c:pt idx="14">
                  <c:v>1242</c:v>
                </c:pt>
                <c:pt idx="15">
                  <c:v>1438</c:v>
                </c:pt>
                <c:pt idx="16">
                  <c:v>4226</c:v>
                </c:pt>
                <c:pt idx="17">
                  <c:v>36544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A-43CE-BBC7-94A79E75A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75%</c:v>
                </c:pt>
                <c:pt idx="5">
                  <c:v>100%</c:v>
                </c:pt>
                <c:pt idx="6">
                  <c:v>25%</c:v>
                </c:pt>
                <c:pt idx="7">
                  <c:v>38%</c:v>
                </c:pt>
                <c:pt idx="8">
                  <c:v>100%</c:v>
                </c:pt>
                <c:pt idx="9">
                  <c:v>0%</c:v>
                </c:pt>
                <c:pt idx="10">
                  <c:v>92%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29%</c:v>
                </c:pt>
                <c:pt idx="15">
                  <c:v>29%</c:v>
                </c:pt>
                <c:pt idx="16">
                  <c:v>100%</c:v>
                </c:pt>
                <c:pt idx="17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  <c:pt idx="6">
                  <c:v>0.25</c:v>
                </c:pt>
                <c:pt idx="7">
                  <c:v>0.375</c:v>
                </c:pt>
                <c:pt idx="8">
                  <c:v>1</c:v>
                </c:pt>
                <c:pt idx="9">
                  <c:v>0</c:v>
                </c:pt>
                <c:pt idx="10">
                  <c:v>0.91666666666666663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0.29166666666666669</c:v>
                </c:pt>
                <c:pt idx="15">
                  <c:v>0.29166666666666669</c:v>
                </c:pt>
                <c:pt idx="16">
                  <c:v>1</c:v>
                </c:pt>
                <c:pt idx="1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B-46AF-9FEE-9065BF562F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B-46AF-9FEE-9065BF562F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'08'!$D$6:$D$23</c:f>
              <c:strCache>
                <c:ptCount val="17"/>
                <c:pt idx="1">
                  <c:v>F/ADAPTER</c:v>
                </c:pt>
                <c:pt idx="2">
                  <c:v>BASE</c:v>
                </c:pt>
                <c:pt idx="3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COVER</c:v>
                </c:pt>
                <c:pt idx="16">
                  <c:v>BASE</c:v>
                </c:pt>
              </c:strCache>
            </c:strRef>
          </c:cat>
          <c:val>
            <c:numRef>
              <c:f>'08'!$AE$6:$AE$23</c:f>
              <c:numCache>
                <c:formatCode>0%</c:formatCode>
                <c:ptCount val="18"/>
                <c:pt idx="0">
                  <c:v>0.52083333333333337</c:v>
                </c:pt>
                <c:pt idx="1">
                  <c:v>0.52083333333333337</c:v>
                </c:pt>
                <c:pt idx="2">
                  <c:v>0.52083333333333337</c:v>
                </c:pt>
                <c:pt idx="3">
                  <c:v>0.52083333333333337</c:v>
                </c:pt>
                <c:pt idx="4">
                  <c:v>0.52083333333333337</c:v>
                </c:pt>
                <c:pt idx="5">
                  <c:v>0.52083333333333337</c:v>
                </c:pt>
                <c:pt idx="6">
                  <c:v>0.52083333333333337</c:v>
                </c:pt>
                <c:pt idx="7">
                  <c:v>0.52083333333333337</c:v>
                </c:pt>
                <c:pt idx="8">
                  <c:v>0.52083333333333337</c:v>
                </c:pt>
                <c:pt idx="9">
                  <c:v>0.52083333333333337</c:v>
                </c:pt>
                <c:pt idx="10">
                  <c:v>0.52083333333333337</c:v>
                </c:pt>
                <c:pt idx="11">
                  <c:v>0.52083333333333337</c:v>
                </c:pt>
                <c:pt idx="12">
                  <c:v>0.52083333333333337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0.52083333333333337</c:v>
                </c:pt>
                <c:pt idx="16">
                  <c:v>0.52083333333333337</c:v>
                </c:pt>
                <c:pt idx="17">
                  <c:v>0.52083333333333337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6B-46AF-9FEE-9065BF562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A8-41FB-8EEE-0DEEC699D0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8-41FB-8EEE-0DEEC699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A8-41FB-8EEE-0DEEC699D0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A8-41FB-8EEE-0DEEC699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2">
                  <c:v>4921</c:v>
                </c:pt>
                <c:pt idx="3">
                  <c:v>4628</c:v>
                </c:pt>
                <c:pt idx="5">
                  <c:v>11356</c:v>
                </c:pt>
                <c:pt idx="6">
                  <c:v>4135</c:v>
                </c:pt>
                <c:pt idx="7">
                  <c:v>11559</c:v>
                </c:pt>
                <c:pt idx="9">
                  <c:v>16545</c:v>
                </c:pt>
                <c:pt idx="11">
                  <c:v>18660</c:v>
                </c:pt>
                <c:pt idx="14">
                  <c:v>817</c:v>
                </c:pt>
                <c:pt idx="15">
                  <c:v>66564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4-4DE9-AC94-944E56D0E324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4255</c:v>
                </c:pt>
                <c:pt idx="1">
                  <c:v>2100</c:v>
                </c:pt>
                <c:pt idx="2">
                  <c:v>4921</c:v>
                </c:pt>
                <c:pt idx="3">
                  <c:v>4628</c:v>
                </c:pt>
                <c:pt idx="4">
                  <c:v>7892</c:v>
                </c:pt>
                <c:pt idx="5">
                  <c:v>11356</c:v>
                </c:pt>
                <c:pt idx="6">
                  <c:v>4135</c:v>
                </c:pt>
                <c:pt idx="7">
                  <c:v>11559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18660</c:v>
                </c:pt>
                <c:pt idx="12">
                  <c:v>2641</c:v>
                </c:pt>
                <c:pt idx="13">
                  <c:v>1242</c:v>
                </c:pt>
                <c:pt idx="14">
                  <c:v>817</c:v>
                </c:pt>
                <c:pt idx="15">
                  <c:v>66564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4-4DE9-AC94-944E56D0E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0%</c:v>
                </c:pt>
                <c:pt idx="5">
                  <c:v>92%</c:v>
                </c:pt>
                <c:pt idx="6">
                  <c:v>96%</c:v>
                </c:pt>
                <c:pt idx="7">
                  <c:v>79%</c:v>
                </c:pt>
                <c:pt idx="8">
                  <c:v>0%</c:v>
                </c:pt>
                <c:pt idx="9">
                  <c:v>58%</c:v>
                </c:pt>
                <c:pt idx="10">
                  <c:v>0%</c:v>
                </c:pt>
                <c:pt idx="11">
                  <c:v>92%</c:v>
                </c:pt>
                <c:pt idx="12">
                  <c:v>0%</c:v>
                </c:pt>
                <c:pt idx="13">
                  <c:v>0%</c:v>
                </c:pt>
                <c:pt idx="14">
                  <c:v>21%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</c:v>
                </c:pt>
                <c:pt idx="5">
                  <c:v>0.91666666666666663</c:v>
                </c:pt>
                <c:pt idx="6">
                  <c:v>0.95833333333333337</c:v>
                </c:pt>
                <c:pt idx="7">
                  <c:v>0.79166666666666663</c:v>
                </c:pt>
                <c:pt idx="8">
                  <c:v>0</c:v>
                </c:pt>
                <c:pt idx="9">
                  <c:v>0.58333333333333337</c:v>
                </c:pt>
                <c:pt idx="10">
                  <c:v>0</c:v>
                </c:pt>
                <c:pt idx="11">
                  <c:v>0.91666666666666663</c:v>
                </c:pt>
                <c:pt idx="12">
                  <c:v>0</c:v>
                </c:pt>
                <c:pt idx="13">
                  <c:v>0</c:v>
                </c:pt>
                <c:pt idx="14">
                  <c:v>0.20833333333333334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E-486B-B789-FD32E66406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6E-486B-B789-FD32E66406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0.45572916666666663</c:v>
                </c:pt>
                <c:pt idx="1">
                  <c:v>0.45572916666666663</c:v>
                </c:pt>
                <c:pt idx="2">
                  <c:v>0.45572916666666663</c:v>
                </c:pt>
                <c:pt idx="3">
                  <c:v>0.45572916666666663</c:v>
                </c:pt>
                <c:pt idx="4">
                  <c:v>0.45572916666666663</c:v>
                </c:pt>
                <c:pt idx="5">
                  <c:v>0.45572916666666663</c:v>
                </c:pt>
                <c:pt idx="6">
                  <c:v>0.45572916666666663</c:v>
                </c:pt>
                <c:pt idx="7">
                  <c:v>0.45572916666666663</c:v>
                </c:pt>
                <c:pt idx="8">
                  <c:v>0.45572916666666663</c:v>
                </c:pt>
                <c:pt idx="9">
                  <c:v>0.45572916666666663</c:v>
                </c:pt>
                <c:pt idx="10">
                  <c:v>0.45572916666666663</c:v>
                </c:pt>
                <c:pt idx="11">
                  <c:v>0.45572916666666663</c:v>
                </c:pt>
                <c:pt idx="12">
                  <c:v>0.45572916666666663</c:v>
                </c:pt>
                <c:pt idx="13">
                  <c:v>0.45572916666666663</c:v>
                </c:pt>
                <c:pt idx="14">
                  <c:v>0.45572916666666663</c:v>
                </c:pt>
                <c:pt idx="15">
                  <c:v>0.45572916666666663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E-486B-B789-FD32E6640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2">
                  <c:v>4921</c:v>
                </c:pt>
                <c:pt idx="3">
                  <c:v>4628</c:v>
                </c:pt>
                <c:pt idx="5">
                  <c:v>11356</c:v>
                </c:pt>
                <c:pt idx="6">
                  <c:v>4135</c:v>
                </c:pt>
                <c:pt idx="7">
                  <c:v>11559</c:v>
                </c:pt>
                <c:pt idx="9">
                  <c:v>16545</c:v>
                </c:pt>
                <c:pt idx="11">
                  <c:v>18660</c:v>
                </c:pt>
                <c:pt idx="14">
                  <c:v>817</c:v>
                </c:pt>
                <c:pt idx="15">
                  <c:v>66564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6-43F7-B6A7-8B96162BDB75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4255</c:v>
                </c:pt>
                <c:pt idx="1">
                  <c:v>2100</c:v>
                </c:pt>
                <c:pt idx="2">
                  <c:v>4921</c:v>
                </c:pt>
                <c:pt idx="3">
                  <c:v>4628</c:v>
                </c:pt>
                <c:pt idx="4">
                  <c:v>7892</c:v>
                </c:pt>
                <c:pt idx="5">
                  <c:v>11356</c:v>
                </c:pt>
                <c:pt idx="6">
                  <c:v>4135</c:v>
                </c:pt>
                <c:pt idx="7">
                  <c:v>11559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18660</c:v>
                </c:pt>
                <c:pt idx="12">
                  <c:v>2641</c:v>
                </c:pt>
                <c:pt idx="13">
                  <c:v>1242</c:v>
                </c:pt>
                <c:pt idx="14">
                  <c:v>817</c:v>
                </c:pt>
                <c:pt idx="15">
                  <c:v>66564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6-43F7-B6A7-8B96162BD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0%</c:v>
                </c:pt>
                <c:pt idx="5">
                  <c:v>92%</c:v>
                </c:pt>
                <c:pt idx="6">
                  <c:v>96%</c:v>
                </c:pt>
                <c:pt idx="7">
                  <c:v>79%</c:v>
                </c:pt>
                <c:pt idx="8">
                  <c:v>0%</c:v>
                </c:pt>
                <c:pt idx="9">
                  <c:v>58%</c:v>
                </c:pt>
                <c:pt idx="10">
                  <c:v>0%</c:v>
                </c:pt>
                <c:pt idx="11">
                  <c:v>92%</c:v>
                </c:pt>
                <c:pt idx="12">
                  <c:v>0%</c:v>
                </c:pt>
                <c:pt idx="13">
                  <c:v>0%</c:v>
                </c:pt>
                <c:pt idx="14">
                  <c:v>21%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</c:v>
                </c:pt>
                <c:pt idx="5">
                  <c:v>0.91666666666666663</c:v>
                </c:pt>
                <c:pt idx="6">
                  <c:v>0.95833333333333337</c:v>
                </c:pt>
                <c:pt idx="7">
                  <c:v>0.79166666666666663</c:v>
                </c:pt>
                <c:pt idx="8">
                  <c:v>0</c:v>
                </c:pt>
                <c:pt idx="9">
                  <c:v>0.58333333333333337</c:v>
                </c:pt>
                <c:pt idx="10">
                  <c:v>0</c:v>
                </c:pt>
                <c:pt idx="11">
                  <c:v>0.91666666666666663</c:v>
                </c:pt>
                <c:pt idx="12">
                  <c:v>0</c:v>
                </c:pt>
                <c:pt idx="13">
                  <c:v>0</c:v>
                </c:pt>
                <c:pt idx="14">
                  <c:v>0.20833333333333334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E-4D83-9435-2488675DCA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2E-4D83-9435-2488675DCA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0.45572916666666663</c:v>
                </c:pt>
                <c:pt idx="1">
                  <c:v>0.45572916666666663</c:v>
                </c:pt>
                <c:pt idx="2">
                  <c:v>0.45572916666666663</c:v>
                </c:pt>
                <c:pt idx="3">
                  <c:v>0.45572916666666663</c:v>
                </c:pt>
                <c:pt idx="4">
                  <c:v>0.45572916666666663</c:v>
                </c:pt>
                <c:pt idx="5">
                  <c:v>0.45572916666666663</c:v>
                </c:pt>
                <c:pt idx="6">
                  <c:v>0.45572916666666663</c:v>
                </c:pt>
                <c:pt idx="7">
                  <c:v>0.45572916666666663</c:v>
                </c:pt>
                <c:pt idx="8">
                  <c:v>0.45572916666666663</c:v>
                </c:pt>
                <c:pt idx="9">
                  <c:v>0.45572916666666663</c:v>
                </c:pt>
                <c:pt idx="10">
                  <c:v>0.45572916666666663</c:v>
                </c:pt>
                <c:pt idx="11">
                  <c:v>0.45572916666666663</c:v>
                </c:pt>
                <c:pt idx="12">
                  <c:v>0.45572916666666663</c:v>
                </c:pt>
                <c:pt idx="13">
                  <c:v>0.45572916666666663</c:v>
                </c:pt>
                <c:pt idx="14">
                  <c:v>0.45572916666666663</c:v>
                </c:pt>
                <c:pt idx="15">
                  <c:v>0.45572916666666663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E-4D83-9435-2488675DC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1F7-4F00-A72F-01E4AD59C2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7-4F00-A72F-01E4AD59C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F7-4F00-A72F-01E4AD59C2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7-4F00-A72F-01E4AD59C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0">
                  <c:v>21540</c:v>
                </c:pt>
                <c:pt idx="2">
                  <c:v>4171</c:v>
                </c:pt>
                <c:pt idx="3">
                  <c:v>4527</c:v>
                </c:pt>
                <c:pt idx="4">
                  <c:v>3843</c:v>
                </c:pt>
                <c:pt idx="5">
                  <c:v>6126</c:v>
                </c:pt>
                <c:pt idx="6">
                  <c:v>4723</c:v>
                </c:pt>
                <c:pt idx="7">
                  <c:v>16257</c:v>
                </c:pt>
                <c:pt idx="11">
                  <c:v>21236</c:v>
                </c:pt>
                <c:pt idx="13">
                  <c:v>2248</c:v>
                </c:pt>
                <c:pt idx="14">
                  <c:v>1964</c:v>
                </c:pt>
                <c:pt idx="15">
                  <c:v>3439</c:v>
                </c:pt>
                <c:pt idx="16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6-4FF5-9E1E-3EECCBF87109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21540</c:v>
                </c:pt>
                <c:pt idx="1">
                  <c:v>2100</c:v>
                </c:pt>
                <c:pt idx="2">
                  <c:v>4171</c:v>
                </c:pt>
                <c:pt idx="3">
                  <c:v>4527</c:v>
                </c:pt>
                <c:pt idx="4">
                  <c:v>3843</c:v>
                </c:pt>
                <c:pt idx="5">
                  <c:v>11356</c:v>
                </c:pt>
                <c:pt idx="6">
                  <c:v>4723</c:v>
                </c:pt>
                <c:pt idx="7">
                  <c:v>16257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21236</c:v>
                </c:pt>
                <c:pt idx="12">
                  <c:v>2641</c:v>
                </c:pt>
                <c:pt idx="13">
                  <c:v>2248</c:v>
                </c:pt>
                <c:pt idx="14">
                  <c:v>1964</c:v>
                </c:pt>
                <c:pt idx="15">
                  <c:v>3439</c:v>
                </c:pt>
                <c:pt idx="16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6-4FF5-9E1E-3EECCBF87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75%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79%</c:v>
                </c:pt>
                <c:pt idx="5">
                  <c:v>18%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50%</c:v>
                </c:pt>
                <c:pt idx="14">
                  <c:v>42%</c:v>
                </c:pt>
                <c:pt idx="15">
                  <c:v>83%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0.79166666666666663</c:v>
                </c:pt>
                <c:pt idx="5">
                  <c:v>0.17981683691440647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</c:v>
                </c:pt>
                <c:pt idx="14">
                  <c:v>0.41666666666666669</c:v>
                </c:pt>
                <c:pt idx="15">
                  <c:v>0.83333333333333337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3-455F-A15E-FD47810AD81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73-455F-A15E-FD47810AD8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0.52773432374006313</c:v>
                </c:pt>
                <c:pt idx="1">
                  <c:v>0.52773432374006313</c:v>
                </c:pt>
                <c:pt idx="2">
                  <c:v>0.52773432374006313</c:v>
                </c:pt>
                <c:pt idx="3">
                  <c:v>0.52773432374006313</c:v>
                </c:pt>
                <c:pt idx="4">
                  <c:v>0.52773432374006313</c:v>
                </c:pt>
                <c:pt idx="5">
                  <c:v>0.52773432374006313</c:v>
                </c:pt>
                <c:pt idx="6">
                  <c:v>0.52773432374006313</c:v>
                </c:pt>
                <c:pt idx="7">
                  <c:v>0.52773432374006313</c:v>
                </c:pt>
                <c:pt idx="8">
                  <c:v>0.52773432374006313</c:v>
                </c:pt>
                <c:pt idx="9">
                  <c:v>0.52773432374006313</c:v>
                </c:pt>
                <c:pt idx="10">
                  <c:v>0.52773432374006313</c:v>
                </c:pt>
                <c:pt idx="11">
                  <c:v>0.52773432374006313</c:v>
                </c:pt>
                <c:pt idx="12">
                  <c:v>0.52773432374006313</c:v>
                </c:pt>
                <c:pt idx="13">
                  <c:v>0.52773432374006313</c:v>
                </c:pt>
                <c:pt idx="14">
                  <c:v>0.52773432374006313</c:v>
                </c:pt>
                <c:pt idx="15">
                  <c:v>0.52773432374006313</c:v>
                </c:pt>
                <c:pt idx="16">
                  <c:v>0.52773432374006313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3-455F-A15E-FD47810AD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0">
                  <c:v>21540</c:v>
                </c:pt>
                <c:pt idx="2">
                  <c:v>4171</c:v>
                </c:pt>
                <c:pt idx="3">
                  <c:v>4527</c:v>
                </c:pt>
                <c:pt idx="4">
                  <c:v>3843</c:v>
                </c:pt>
                <c:pt idx="5">
                  <c:v>6126</c:v>
                </c:pt>
                <c:pt idx="6">
                  <c:v>4723</c:v>
                </c:pt>
                <c:pt idx="7">
                  <c:v>16257</c:v>
                </c:pt>
                <c:pt idx="11">
                  <c:v>21236</c:v>
                </c:pt>
                <c:pt idx="13">
                  <c:v>2248</c:v>
                </c:pt>
                <c:pt idx="14">
                  <c:v>1964</c:v>
                </c:pt>
                <c:pt idx="15">
                  <c:v>3439</c:v>
                </c:pt>
                <c:pt idx="16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F-4AD3-803D-6DA49C5B4DB2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21540</c:v>
                </c:pt>
                <c:pt idx="1">
                  <c:v>2100</c:v>
                </c:pt>
                <c:pt idx="2">
                  <c:v>4171</c:v>
                </c:pt>
                <c:pt idx="3">
                  <c:v>4527</c:v>
                </c:pt>
                <c:pt idx="4">
                  <c:v>3843</c:v>
                </c:pt>
                <c:pt idx="5">
                  <c:v>11356</c:v>
                </c:pt>
                <c:pt idx="6">
                  <c:v>4723</c:v>
                </c:pt>
                <c:pt idx="7">
                  <c:v>16257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21236</c:v>
                </c:pt>
                <c:pt idx="12">
                  <c:v>2641</c:v>
                </c:pt>
                <c:pt idx="13">
                  <c:v>2248</c:v>
                </c:pt>
                <c:pt idx="14">
                  <c:v>1964</c:v>
                </c:pt>
                <c:pt idx="15">
                  <c:v>3439</c:v>
                </c:pt>
                <c:pt idx="16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F-4AD3-803D-6DA49C5B4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75%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79%</c:v>
                </c:pt>
                <c:pt idx="5">
                  <c:v>18%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50%</c:v>
                </c:pt>
                <c:pt idx="14">
                  <c:v>42%</c:v>
                </c:pt>
                <c:pt idx="15">
                  <c:v>83%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0.79166666666666663</c:v>
                </c:pt>
                <c:pt idx="5">
                  <c:v>0.17981683691440647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</c:v>
                </c:pt>
                <c:pt idx="14">
                  <c:v>0.41666666666666669</c:v>
                </c:pt>
                <c:pt idx="15">
                  <c:v>0.83333333333333337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E-4721-8E76-CAAF27ACE8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4E-4721-8E76-CAAF27ACE8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SLIDER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LEAD GUIDE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0.52773432374006313</c:v>
                </c:pt>
                <c:pt idx="1">
                  <c:v>0.52773432374006313</c:v>
                </c:pt>
                <c:pt idx="2">
                  <c:v>0.52773432374006313</c:v>
                </c:pt>
                <c:pt idx="3">
                  <c:v>0.52773432374006313</c:v>
                </c:pt>
                <c:pt idx="4">
                  <c:v>0.52773432374006313</c:v>
                </c:pt>
                <c:pt idx="5">
                  <c:v>0.52773432374006313</c:v>
                </c:pt>
                <c:pt idx="6">
                  <c:v>0.52773432374006313</c:v>
                </c:pt>
                <c:pt idx="7">
                  <c:v>0.52773432374006313</c:v>
                </c:pt>
                <c:pt idx="8">
                  <c:v>0.52773432374006313</c:v>
                </c:pt>
                <c:pt idx="9">
                  <c:v>0.52773432374006313</c:v>
                </c:pt>
                <c:pt idx="10">
                  <c:v>0.52773432374006313</c:v>
                </c:pt>
                <c:pt idx="11">
                  <c:v>0.52773432374006313</c:v>
                </c:pt>
                <c:pt idx="12">
                  <c:v>0.52773432374006313</c:v>
                </c:pt>
                <c:pt idx="13">
                  <c:v>0.52773432374006313</c:v>
                </c:pt>
                <c:pt idx="14">
                  <c:v>0.52773432374006313</c:v>
                </c:pt>
                <c:pt idx="15">
                  <c:v>0.52773432374006313</c:v>
                </c:pt>
                <c:pt idx="16">
                  <c:v>0.52773432374006313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E-4721-8E76-CAAF27ACE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061-47C9-A341-43E2E5B486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1-47C9-A341-43E2E5B48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61-47C9-A341-43E2E5B486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1-47C9-A341-43E2E5B48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35325</c:v>
                </c:pt>
                <c:pt idx="2">
                  <c:v>5168</c:v>
                </c:pt>
                <c:pt idx="3">
                  <c:v>3030</c:v>
                </c:pt>
                <c:pt idx="4">
                  <c:v>3214</c:v>
                </c:pt>
                <c:pt idx="5">
                  <c:v>4643</c:v>
                </c:pt>
                <c:pt idx="6">
                  <c:v>4686</c:v>
                </c:pt>
                <c:pt idx="7">
                  <c:v>16449</c:v>
                </c:pt>
                <c:pt idx="11">
                  <c:v>10492</c:v>
                </c:pt>
                <c:pt idx="13">
                  <c:v>2699</c:v>
                </c:pt>
                <c:pt idx="14">
                  <c:v>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C-495E-897C-B6D6AA945989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35325</c:v>
                </c:pt>
                <c:pt idx="1">
                  <c:v>2100</c:v>
                </c:pt>
                <c:pt idx="2">
                  <c:v>5168</c:v>
                </c:pt>
                <c:pt idx="3">
                  <c:v>3030</c:v>
                </c:pt>
                <c:pt idx="4">
                  <c:v>3214</c:v>
                </c:pt>
                <c:pt idx="5">
                  <c:v>4643</c:v>
                </c:pt>
                <c:pt idx="6">
                  <c:v>4686</c:v>
                </c:pt>
                <c:pt idx="7">
                  <c:v>16449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10492</c:v>
                </c:pt>
                <c:pt idx="12">
                  <c:v>2641</c:v>
                </c:pt>
                <c:pt idx="13">
                  <c:v>2699</c:v>
                </c:pt>
                <c:pt idx="14">
                  <c:v>4229</c:v>
                </c:pt>
                <c:pt idx="15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C-495E-897C-B6D6AA945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79%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63%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0.79166666666666663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0.625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CF0-B800-E66ED07A9C8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15-4CF0-B800-E66ED07A9C8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0.53385416666666663</c:v>
                </c:pt>
                <c:pt idx="1">
                  <c:v>0.53385416666666663</c:v>
                </c:pt>
                <c:pt idx="2">
                  <c:v>0.53385416666666663</c:v>
                </c:pt>
                <c:pt idx="3">
                  <c:v>0.53385416666666663</c:v>
                </c:pt>
                <c:pt idx="4">
                  <c:v>0.53385416666666663</c:v>
                </c:pt>
                <c:pt idx="5">
                  <c:v>0.53385416666666663</c:v>
                </c:pt>
                <c:pt idx="6">
                  <c:v>0.53385416666666663</c:v>
                </c:pt>
                <c:pt idx="7">
                  <c:v>0.53385416666666663</c:v>
                </c:pt>
                <c:pt idx="8">
                  <c:v>0.53385416666666663</c:v>
                </c:pt>
                <c:pt idx="9">
                  <c:v>0.53385416666666663</c:v>
                </c:pt>
                <c:pt idx="10">
                  <c:v>0.53385416666666663</c:v>
                </c:pt>
                <c:pt idx="11">
                  <c:v>0.53385416666666663</c:v>
                </c:pt>
                <c:pt idx="12">
                  <c:v>0.53385416666666663</c:v>
                </c:pt>
                <c:pt idx="13">
                  <c:v>0.53385416666666663</c:v>
                </c:pt>
                <c:pt idx="14">
                  <c:v>0.53385416666666663</c:v>
                </c:pt>
                <c:pt idx="15">
                  <c:v>0.53385416666666663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5-4CF0-B800-E66ED07A9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35325</c:v>
                </c:pt>
                <c:pt idx="2">
                  <c:v>5168</c:v>
                </c:pt>
                <c:pt idx="3">
                  <c:v>3030</c:v>
                </c:pt>
                <c:pt idx="4">
                  <c:v>3214</c:v>
                </c:pt>
                <c:pt idx="5">
                  <c:v>4643</c:v>
                </c:pt>
                <c:pt idx="6">
                  <c:v>4686</c:v>
                </c:pt>
                <c:pt idx="7">
                  <c:v>16449</c:v>
                </c:pt>
                <c:pt idx="11">
                  <c:v>10492</c:v>
                </c:pt>
                <c:pt idx="13">
                  <c:v>2699</c:v>
                </c:pt>
                <c:pt idx="14">
                  <c:v>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6-42DF-92EE-845665A78DCE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35325</c:v>
                </c:pt>
                <c:pt idx="1">
                  <c:v>2100</c:v>
                </c:pt>
                <c:pt idx="2">
                  <c:v>5168</c:v>
                </c:pt>
                <c:pt idx="3">
                  <c:v>3030</c:v>
                </c:pt>
                <c:pt idx="4">
                  <c:v>3214</c:v>
                </c:pt>
                <c:pt idx="5">
                  <c:v>4643</c:v>
                </c:pt>
                <c:pt idx="6">
                  <c:v>4686</c:v>
                </c:pt>
                <c:pt idx="7">
                  <c:v>16449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10492</c:v>
                </c:pt>
                <c:pt idx="12">
                  <c:v>2641</c:v>
                </c:pt>
                <c:pt idx="13">
                  <c:v>2699</c:v>
                </c:pt>
                <c:pt idx="14">
                  <c:v>4229</c:v>
                </c:pt>
                <c:pt idx="15">
                  <c:v>43260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6-42DF-92EE-845665A78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79%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63%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0.79166666666666663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0.625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1-4C6E-A145-B8C3D556BB3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71-4C6E-A145-B8C3D556BB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RIVET</c:v>
                </c:pt>
                <c:pt idx="1">
                  <c:v>F/ADAPTER</c:v>
                </c:pt>
                <c:pt idx="2">
                  <c:v>BASE</c:v>
                </c:pt>
                <c:pt idx="3">
                  <c:v>STOPPER</c:v>
                </c:pt>
                <c:pt idx="4">
                  <c:v>STOPPER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0.53385416666666663</c:v>
                </c:pt>
                <c:pt idx="1">
                  <c:v>0.53385416666666663</c:v>
                </c:pt>
                <c:pt idx="2">
                  <c:v>0.53385416666666663</c:v>
                </c:pt>
                <c:pt idx="3">
                  <c:v>0.53385416666666663</c:v>
                </c:pt>
                <c:pt idx="4">
                  <c:v>0.53385416666666663</c:v>
                </c:pt>
                <c:pt idx="5">
                  <c:v>0.53385416666666663</c:v>
                </c:pt>
                <c:pt idx="6">
                  <c:v>0.53385416666666663</c:v>
                </c:pt>
                <c:pt idx="7">
                  <c:v>0.53385416666666663</c:v>
                </c:pt>
                <c:pt idx="8">
                  <c:v>0.53385416666666663</c:v>
                </c:pt>
                <c:pt idx="9">
                  <c:v>0.53385416666666663</c:v>
                </c:pt>
                <c:pt idx="10">
                  <c:v>0.53385416666666663</c:v>
                </c:pt>
                <c:pt idx="11">
                  <c:v>0.53385416666666663</c:v>
                </c:pt>
                <c:pt idx="12">
                  <c:v>0.53385416666666663</c:v>
                </c:pt>
                <c:pt idx="13">
                  <c:v>0.53385416666666663</c:v>
                </c:pt>
                <c:pt idx="14">
                  <c:v>0.53385416666666663</c:v>
                </c:pt>
                <c:pt idx="15">
                  <c:v>0.53385416666666663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71-4C6E-A145-B8C3D556B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A8-4618-BF12-4EC3577212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8-4618-BF12-4EC35772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A8-4618-BF12-4EC3577212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A8-4618-BF12-4EC35772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'13'!$L$6:$L$23</c:f>
              <c:numCache>
                <c:formatCode>_(* #,##0_);_(* \(#,##0\);_(* "-"_);_(@_)</c:formatCode>
                <c:ptCount val="18"/>
                <c:pt idx="0">
                  <c:v>5060</c:v>
                </c:pt>
                <c:pt idx="1">
                  <c:v>670</c:v>
                </c:pt>
                <c:pt idx="2">
                  <c:v>857</c:v>
                </c:pt>
                <c:pt idx="3">
                  <c:v>4891</c:v>
                </c:pt>
                <c:pt idx="4">
                  <c:v>4307</c:v>
                </c:pt>
                <c:pt idx="5">
                  <c:v>2211</c:v>
                </c:pt>
                <c:pt idx="6">
                  <c:v>932</c:v>
                </c:pt>
                <c:pt idx="7">
                  <c:v>800</c:v>
                </c:pt>
                <c:pt idx="8">
                  <c:v>4459</c:v>
                </c:pt>
                <c:pt idx="14">
                  <c:v>255</c:v>
                </c:pt>
                <c:pt idx="15">
                  <c:v>1215</c:v>
                </c:pt>
                <c:pt idx="16">
                  <c:v>1490</c:v>
                </c:pt>
                <c:pt idx="17">
                  <c:v>46640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6-4B51-9E63-E640D3B58F48}"/>
            </c:ext>
          </c:extLst>
        </c:ser>
        <c:ser>
          <c:idx val="1"/>
          <c:order val="1"/>
          <c:tx>
            <c:v>계획</c:v>
          </c:tx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'13'!$J$6:$J$23</c:f>
              <c:numCache>
                <c:formatCode>_(* #,##0_);_(* \(#,##0\);_(* "-"_);_(@_)</c:formatCode>
                <c:ptCount val="18"/>
                <c:pt idx="0">
                  <c:v>5060</c:v>
                </c:pt>
                <c:pt idx="1">
                  <c:v>670</c:v>
                </c:pt>
                <c:pt idx="2">
                  <c:v>857</c:v>
                </c:pt>
                <c:pt idx="3">
                  <c:v>4891</c:v>
                </c:pt>
                <c:pt idx="4">
                  <c:v>4307</c:v>
                </c:pt>
                <c:pt idx="5">
                  <c:v>2211</c:v>
                </c:pt>
                <c:pt idx="6">
                  <c:v>932</c:v>
                </c:pt>
                <c:pt idx="7">
                  <c:v>800</c:v>
                </c:pt>
                <c:pt idx="8">
                  <c:v>4459</c:v>
                </c:pt>
                <c:pt idx="9">
                  <c:v>16449</c:v>
                </c:pt>
                <c:pt idx="10">
                  <c:v>339</c:v>
                </c:pt>
                <c:pt idx="11">
                  <c:v>16545</c:v>
                </c:pt>
                <c:pt idx="12">
                  <c:v>18660</c:v>
                </c:pt>
                <c:pt idx="13">
                  <c:v>10492</c:v>
                </c:pt>
                <c:pt idx="14">
                  <c:v>255</c:v>
                </c:pt>
                <c:pt idx="15">
                  <c:v>1215</c:v>
                </c:pt>
                <c:pt idx="16">
                  <c:v>1490</c:v>
                </c:pt>
                <c:pt idx="17">
                  <c:v>46640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6-4B51-9E63-E640D3B58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'13'!$AD$6:$AD$23</c:f>
              <c:strCache>
                <c:ptCount val="18"/>
                <c:pt idx="0">
                  <c:v>25%</c:v>
                </c:pt>
                <c:pt idx="1">
                  <c:v>17%</c:v>
                </c:pt>
                <c:pt idx="2">
                  <c:v>21%</c:v>
                </c:pt>
                <c:pt idx="3">
                  <c:v>100%</c:v>
                </c:pt>
                <c:pt idx="4">
                  <c:v>88%</c:v>
                </c:pt>
                <c:pt idx="5">
                  <c:v>46%</c:v>
                </c:pt>
                <c:pt idx="6">
                  <c:v>21%</c:v>
                </c:pt>
                <c:pt idx="7">
                  <c:v>21%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13%</c:v>
                </c:pt>
                <c:pt idx="15">
                  <c:v>29%</c:v>
                </c:pt>
                <c:pt idx="16">
                  <c:v>42%</c:v>
                </c:pt>
                <c:pt idx="17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'13'!$AD$6:$AD$23</c:f>
              <c:numCache>
                <c:formatCode>0%</c:formatCode>
                <c:ptCount val="18"/>
                <c:pt idx="0">
                  <c:v>0.25</c:v>
                </c:pt>
                <c:pt idx="1">
                  <c:v>0.16666666666666666</c:v>
                </c:pt>
                <c:pt idx="2">
                  <c:v>0.20833333333333334</c:v>
                </c:pt>
                <c:pt idx="3">
                  <c:v>1</c:v>
                </c:pt>
                <c:pt idx="4">
                  <c:v>0.875</c:v>
                </c:pt>
                <c:pt idx="5">
                  <c:v>0.45833333333333331</c:v>
                </c:pt>
                <c:pt idx="6">
                  <c:v>0.20833333333333334</c:v>
                </c:pt>
                <c:pt idx="7">
                  <c:v>0.20833333333333334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0.125</c:v>
                </c:pt>
                <c:pt idx="15">
                  <c:v>0.29166666666666669</c:v>
                </c:pt>
                <c:pt idx="16">
                  <c:v>0.41666666666666669</c:v>
                </c:pt>
                <c:pt idx="17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D-4DDB-B56C-23A672D163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7D-4DDB-B56C-23A672D163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'13'!$AE$6:$AE$23</c:f>
              <c:numCache>
                <c:formatCode>0%</c:formatCode>
                <c:ptCount val="18"/>
                <c:pt idx="0">
                  <c:v>0.3217592592592593</c:v>
                </c:pt>
                <c:pt idx="1">
                  <c:v>0.3217592592592593</c:v>
                </c:pt>
                <c:pt idx="2">
                  <c:v>0.3217592592592593</c:v>
                </c:pt>
                <c:pt idx="3">
                  <c:v>0.3217592592592593</c:v>
                </c:pt>
                <c:pt idx="4">
                  <c:v>0.3217592592592593</c:v>
                </c:pt>
                <c:pt idx="5">
                  <c:v>0.3217592592592593</c:v>
                </c:pt>
                <c:pt idx="6">
                  <c:v>0.3217592592592593</c:v>
                </c:pt>
                <c:pt idx="7">
                  <c:v>0.3217592592592593</c:v>
                </c:pt>
                <c:pt idx="8">
                  <c:v>0.3217592592592593</c:v>
                </c:pt>
                <c:pt idx="9">
                  <c:v>0.3217592592592593</c:v>
                </c:pt>
                <c:pt idx="10">
                  <c:v>0.3217592592592593</c:v>
                </c:pt>
                <c:pt idx="11">
                  <c:v>0.3217592592592593</c:v>
                </c:pt>
                <c:pt idx="12">
                  <c:v>0.3217592592592593</c:v>
                </c:pt>
                <c:pt idx="13">
                  <c:v>0.3217592592592593</c:v>
                </c:pt>
                <c:pt idx="14">
                  <c:v>0.3217592592592593</c:v>
                </c:pt>
                <c:pt idx="15">
                  <c:v>0.3217592592592593</c:v>
                </c:pt>
                <c:pt idx="16">
                  <c:v>0.3217592592592593</c:v>
                </c:pt>
                <c:pt idx="17">
                  <c:v>0.3217592592592593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7D-4DDB-B56C-23A672D16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'13'!$L$6:$L$23</c:f>
              <c:numCache>
                <c:formatCode>_(* #,##0_);_(* \(#,##0\);_(* "-"_);_(@_)</c:formatCode>
                <c:ptCount val="18"/>
                <c:pt idx="0">
                  <c:v>5060</c:v>
                </c:pt>
                <c:pt idx="1">
                  <c:v>670</c:v>
                </c:pt>
                <c:pt idx="2">
                  <c:v>857</c:v>
                </c:pt>
                <c:pt idx="3">
                  <c:v>4891</c:v>
                </c:pt>
                <c:pt idx="4">
                  <c:v>4307</c:v>
                </c:pt>
                <c:pt idx="5">
                  <c:v>2211</c:v>
                </c:pt>
                <c:pt idx="6">
                  <c:v>932</c:v>
                </c:pt>
                <c:pt idx="7">
                  <c:v>800</c:v>
                </c:pt>
                <c:pt idx="8">
                  <c:v>4459</c:v>
                </c:pt>
                <c:pt idx="14">
                  <c:v>255</c:v>
                </c:pt>
                <c:pt idx="15">
                  <c:v>1215</c:v>
                </c:pt>
                <c:pt idx="16">
                  <c:v>1490</c:v>
                </c:pt>
                <c:pt idx="17">
                  <c:v>46640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A-4482-B3EE-71ED1A5F96D0}"/>
            </c:ext>
          </c:extLst>
        </c:ser>
        <c:ser>
          <c:idx val="1"/>
          <c:order val="1"/>
          <c:tx>
            <c:v>계획</c:v>
          </c:tx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'13'!$J$6:$J$23</c:f>
              <c:numCache>
                <c:formatCode>_(* #,##0_);_(* \(#,##0\);_(* "-"_);_(@_)</c:formatCode>
                <c:ptCount val="18"/>
                <c:pt idx="0">
                  <c:v>5060</c:v>
                </c:pt>
                <c:pt idx="1">
                  <c:v>670</c:v>
                </c:pt>
                <c:pt idx="2">
                  <c:v>857</c:v>
                </c:pt>
                <c:pt idx="3">
                  <c:v>4891</c:v>
                </c:pt>
                <c:pt idx="4">
                  <c:v>4307</c:v>
                </c:pt>
                <c:pt idx="5">
                  <c:v>2211</c:v>
                </c:pt>
                <c:pt idx="6">
                  <c:v>932</c:v>
                </c:pt>
                <c:pt idx="7">
                  <c:v>800</c:v>
                </c:pt>
                <c:pt idx="8">
                  <c:v>4459</c:v>
                </c:pt>
                <c:pt idx="9">
                  <c:v>16449</c:v>
                </c:pt>
                <c:pt idx="10">
                  <c:v>339</c:v>
                </c:pt>
                <c:pt idx="11">
                  <c:v>16545</c:v>
                </c:pt>
                <c:pt idx="12">
                  <c:v>18660</c:v>
                </c:pt>
                <c:pt idx="13">
                  <c:v>10492</c:v>
                </c:pt>
                <c:pt idx="14">
                  <c:v>255</c:v>
                </c:pt>
                <c:pt idx="15">
                  <c:v>1215</c:v>
                </c:pt>
                <c:pt idx="16">
                  <c:v>1490</c:v>
                </c:pt>
                <c:pt idx="17">
                  <c:v>46640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A-4482-B3EE-71ED1A5F9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'13'!$AD$6:$AD$23</c:f>
              <c:strCache>
                <c:ptCount val="18"/>
                <c:pt idx="0">
                  <c:v>25%</c:v>
                </c:pt>
                <c:pt idx="1">
                  <c:v>17%</c:v>
                </c:pt>
                <c:pt idx="2">
                  <c:v>21%</c:v>
                </c:pt>
                <c:pt idx="3">
                  <c:v>100%</c:v>
                </c:pt>
                <c:pt idx="4">
                  <c:v>88%</c:v>
                </c:pt>
                <c:pt idx="5">
                  <c:v>46%</c:v>
                </c:pt>
                <c:pt idx="6">
                  <c:v>21%</c:v>
                </c:pt>
                <c:pt idx="7">
                  <c:v>21%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13%</c:v>
                </c:pt>
                <c:pt idx="15">
                  <c:v>29%</c:v>
                </c:pt>
                <c:pt idx="16">
                  <c:v>42%</c:v>
                </c:pt>
                <c:pt idx="17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'13'!$AD$6:$AD$23</c:f>
              <c:numCache>
                <c:formatCode>0%</c:formatCode>
                <c:ptCount val="18"/>
                <c:pt idx="0">
                  <c:v>0.25</c:v>
                </c:pt>
                <c:pt idx="1">
                  <c:v>0.16666666666666666</c:v>
                </c:pt>
                <c:pt idx="2">
                  <c:v>0.20833333333333334</c:v>
                </c:pt>
                <c:pt idx="3">
                  <c:v>1</c:v>
                </c:pt>
                <c:pt idx="4">
                  <c:v>0.875</c:v>
                </c:pt>
                <c:pt idx="5">
                  <c:v>0.45833333333333331</c:v>
                </c:pt>
                <c:pt idx="6">
                  <c:v>0.20833333333333334</c:v>
                </c:pt>
                <c:pt idx="7">
                  <c:v>0.20833333333333334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0.125</c:v>
                </c:pt>
                <c:pt idx="15">
                  <c:v>0.29166666666666669</c:v>
                </c:pt>
                <c:pt idx="16">
                  <c:v>0.41666666666666669</c:v>
                </c:pt>
                <c:pt idx="17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5-4809-8FA4-055818FF3E4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E5-4809-8FA4-055818FF3E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'13'!$D$6:$D$23</c:f>
              <c:strCache>
                <c:ptCount val="17"/>
                <c:pt idx="0">
                  <c:v>RIVET</c:v>
                </c:pt>
                <c:pt idx="1">
                  <c:v>ADAPTER</c:v>
                </c:pt>
                <c:pt idx="2">
                  <c:v>ADAPTER</c:v>
                </c:pt>
                <c:pt idx="3">
                  <c:v>BASE</c:v>
                </c:pt>
                <c:pt idx="4">
                  <c:v>SLIDER</c:v>
                </c:pt>
                <c:pt idx="5">
                  <c:v>M2</c:v>
                </c:pt>
                <c:pt idx="6">
                  <c:v>COVER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'13'!$AE$6:$AE$23</c:f>
              <c:numCache>
                <c:formatCode>0%</c:formatCode>
                <c:ptCount val="18"/>
                <c:pt idx="0">
                  <c:v>0.3217592592592593</c:v>
                </c:pt>
                <c:pt idx="1">
                  <c:v>0.3217592592592593</c:v>
                </c:pt>
                <c:pt idx="2">
                  <c:v>0.3217592592592593</c:v>
                </c:pt>
                <c:pt idx="3">
                  <c:v>0.3217592592592593</c:v>
                </c:pt>
                <c:pt idx="4">
                  <c:v>0.3217592592592593</c:v>
                </c:pt>
                <c:pt idx="5">
                  <c:v>0.3217592592592593</c:v>
                </c:pt>
                <c:pt idx="6">
                  <c:v>0.3217592592592593</c:v>
                </c:pt>
                <c:pt idx="7">
                  <c:v>0.3217592592592593</c:v>
                </c:pt>
                <c:pt idx="8">
                  <c:v>0.3217592592592593</c:v>
                </c:pt>
                <c:pt idx="9">
                  <c:v>0.3217592592592593</c:v>
                </c:pt>
                <c:pt idx="10">
                  <c:v>0.3217592592592593</c:v>
                </c:pt>
                <c:pt idx="11">
                  <c:v>0.3217592592592593</c:v>
                </c:pt>
                <c:pt idx="12">
                  <c:v>0.3217592592592593</c:v>
                </c:pt>
                <c:pt idx="13">
                  <c:v>0.3217592592592593</c:v>
                </c:pt>
                <c:pt idx="14">
                  <c:v>0.3217592592592593</c:v>
                </c:pt>
                <c:pt idx="15">
                  <c:v>0.3217592592592593</c:v>
                </c:pt>
                <c:pt idx="16">
                  <c:v>0.3217592592592593</c:v>
                </c:pt>
                <c:pt idx="17">
                  <c:v>0.3217592592592593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E5-4809-8FA4-055818FF3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C29-49D1-8356-7033CB9678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9-49D1-8356-7033CB967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29-49D1-8356-7033CB9678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29-49D1-8356-7033CB967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1">
                  <c:v>3377</c:v>
                </c:pt>
                <c:pt idx="2">
                  <c:v>5201</c:v>
                </c:pt>
                <c:pt idx="3">
                  <c:v>3057</c:v>
                </c:pt>
                <c:pt idx="4">
                  <c:v>4593</c:v>
                </c:pt>
                <c:pt idx="5">
                  <c:v>1932</c:v>
                </c:pt>
                <c:pt idx="6">
                  <c:v>3892</c:v>
                </c:pt>
                <c:pt idx="7">
                  <c:v>13932</c:v>
                </c:pt>
                <c:pt idx="12">
                  <c:v>4724</c:v>
                </c:pt>
                <c:pt idx="13">
                  <c:v>171</c:v>
                </c:pt>
                <c:pt idx="14">
                  <c:v>3702</c:v>
                </c:pt>
                <c:pt idx="16">
                  <c:v>42244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6-455E-894A-8C8D6B4782C7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5060</c:v>
                </c:pt>
                <c:pt idx="1">
                  <c:v>3377</c:v>
                </c:pt>
                <c:pt idx="2">
                  <c:v>5201</c:v>
                </c:pt>
                <c:pt idx="3">
                  <c:v>3057</c:v>
                </c:pt>
                <c:pt idx="4">
                  <c:v>4593</c:v>
                </c:pt>
                <c:pt idx="5">
                  <c:v>1932</c:v>
                </c:pt>
                <c:pt idx="6">
                  <c:v>3892</c:v>
                </c:pt>
                <c:pt idx="7">
                  <c:v>13932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10492</c:v>
                </c:pt>
                <c:pt idx="12">
                  <c:v>4724</c:v>
                </c:pt>
                <c:pt idx="13">
                  <c:v>171</c:v>
                </c:pt>
                <c:pt idx="14">
                  <c:v>3702</c:v>
                </c:pt>
                <c:pt idx="15">
                  <c:v>1490</c:v>
                </c:pt>
                <c:pt idx="16">
                  <c:v>42244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6-455E-894A-8C8D6B478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67%</c:v>
                </c:pt>
                <c:pt idx="2">
                  <c:v>100%</c:v>
                </c:pt>
                <c:pt idx="3">
                  <c:v>75%</c:v>
                </c:pt>
                <c:pt idx="4">
                  <c:v>92%</c:v>
                </c:pt>
                <c:pt idx="5">
                  <c:v>42%</c:v>
                </c:pt>
                <c:pt idx="6">
                  <c:v>100%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17%</c:v>
                </c:pt>
                <c:pt idx="14">
                  <c:v>75%</c:v>
                </c:pt>
                <c:pt idx="15">
                  <c:v>0%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0.66666666666666663</c:v>
                </c:pt>
                <c:pt idx="2">
                  <c:v>1</c:v>
                </c:pt>
                <c:pt idx="3">
                  <c:v>0.75</c:v>
                </c:pt>
                <c:pt idx="4">
                  <c:v>0.91666666666666663</c:v>
                </c:pt>
                <c:pt idx="5">
                  <c:v>0.41666666666666669</c:v>
                </c:pt>
                <c:pt idx="6">
                  <c:v>1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0.16666666666666666</c:v>
                </c:pt>
                <c:pt idx="14">
                  <c:v>0.75</c:v>
                </c:pt>
                <c:pt idx="15">
                  <c:v>0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2-4CD1-8DD9-8345D36638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72-4CD1-8DD9-8345D36638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0.46568627450980388</c:v>
                </c:pt>
                <c:pt idx="1">
                  <c:v>0.46568627450980388</c:v>
                </c:pt>
                <c:pt idx="2">
                  <c:v>0.46568627450980388</c:v>
                </c:pt>
                <c:pt idx="3">
                  <c:v>0.46568627450980388</c:v>
                </c:pt>
                <c:pt idx="4">
                  <c:v>0.46568627450980388</c:v>
                </c:pt>
                <c:pt idx="5">
                  <c:v>0.46568627450980388</c:v>
                </c:pt>
                <c:pt idx="6">
                  <c:v>0.46568627450980388</c:v>
                </c:pt>
                <c:pt idx="7">
                  <c:v>0.46568627450980388</c:v>
                </c:pt>
                <c:pt idx="8">
                  <c:v>0.46568627450980388</c:v>
                </c:pt>
                <c:pt idx="9">
                  <c:v>0.46568627450980388</c:v>
                </c:pt>
                <c:pt idx="10">
                  <c:v>0.46568627450980388</c:v>
                </c:pt>
                <c:pt idx="11">
                  <c:v>0.46568627450980388</c:v>
                </c:pt>
                <c:pt idx="12">
                  <c:v>0.46568627450980388</c:v>
                </c:pt>
                <c:pt idx="13">
                  <c:v>0.46568627450980388</c:v>
                </c:pt>
                <c:pt idx="14">
                  <c:v>0.46568627450980388</c:v>
                </c:pt>
                <c:pt idx="15">
                  <c:v>0.46568627450980388</c:v>
                </c:pt>
                <c:pt idx="16">
                  <c:v>0.46568627450980388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72-4CD1-8DD9-8345D3663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1">
                  <c:v>3377</c:v>
                </c:pt>
                <c:pt idx="2">
                  <c:v>5201</c:v>
                </c:pt>
                <c:pt idx="3">
                  <c:v>3057</c:v>
                </c:pt>
                <c:pt idx="4">
                  <c:v>4593</c:v>
                </c:pt>
                <c:pt idx="5">
                  <c:v>1932</c:v>
                </c:pt>
                <c:pt idx="6">
                  <c:v>3892</c:v>
                </c:pt>
                <c:pt idx="7">
                  <c:v>13932</c:v>
                </c:pt>
                <c:pt idx="12">
                  <c:v>4724</c:v>
                </c:pt>
                <c:pt idx="13">
                  <c:v>171</c:v>
                </c:pt>
                <c:pt idx="14">
                  <c:v>3702</c:v>
                </c:pt>
                <c:pt idx="16">
                  <c:v>42244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E-4452-9C23-ECB587B1B098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5060</c:v>
                </c:pt>
                <c:pt idx="1">
                  <c:v>3377</c:v>
                </c:pt>
                <c:pt idx="2">
                  <c:v>5201</c:v>
                </c:pt>
                <c:pt idx="3">
                  <c:v>3057</c:v>
                </c:pt>
                <c:pt idx="4">
                  <c:v>4593</c:v>
                </c:pt>
                <c:pt idx="5">
                  <c:v>1932</c:v>
                </c:pt>
                <c:pt idx="6">
                  <c:v>3892</c:v>
                </c:pt>
                <c:pt idx="7">
                  <c:v>13932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10492</c:v>
                </c:pt>
                <c:pt idx="12">
                  <c:v>4724</c:v>
                </c:pt>
                <c:pt idx="13">
                  <c:v>171</c:v>
                </c:pt>
                <c:pt idx="14">
                  <c:v>3702</c:v>
                </c:pt>
                <c:pt idx="15">
                  <c:v>1490</c:v>
                </c:pt>
                <c:pt idx="16">
                  <c:v>42244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E-4452-9C23-ECB587B1B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67%</c:v>
                </c:pt>
                <c:pt idx="2">
                  <c:v>100%</c:v>
                </c:pt>
                <c:pt idx="3">
                  <c:v>75%</c:v>
                </c:pt>
                <c:pt idx="4">
                  <c:v>92%</c:v>
                </c:pt>
                <c:pt idx="5">
                  <c:v>42%</c:v>
                </c:pt>
                <c:pt idx="6">
                  <c:v>100%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17%</c:v>
                </c:pt>
                <c:pt idx="14">
                  <c:v>75%</c:v>
                </c:pt>
                <c:pt idx="15">
                  <c:v>0%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0.66666666666666663</c:v>
                </c:pt>
                <c:pt idx="2">
                  <c:v>1</c:v>
                </c:pt>
                <c:pt idx="3">
                  <c:v>0.75</c:v>
                </c:pt>
                <c:pt idx="4">
                  <c:v>0.91666666666666663</c:v>
                </c:pt>
                <c:pt idx="5">
                  <c:v>0.41666666666666669</c:v>
                </c:pt>
                <c:pt idx="6">
                  <c:v>1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0.16666666666666666</c:v>
                </c:pt>
                <c:pt idx="14">
                  <c:v>0.75</c:v>
                </c:pt>
                <c:pt idx="15">
                  <c:v>0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6-42D7-9D9C-281748B5C7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C6-42D7-9D9C-281748B5C7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0.46568627450980388</c:v>
                </c:pt>
                <c:pt idx="1">
                  <c:v>0.46568627450980388</c:v>
                </c:pt>
                <c:pt idx="2">
                  <c:v>0.46568627450980388</c:v>
                </c:pt>
                <c:pt idx="3">
                  <c:v>0.46568627450980388</c:v>
                </c:pt>
                <c:pt idx="4">
                  <c:v>0.46568627450980388</c:v>
                </c:pt>
                <c:pt idx="5">
                  <c:v>0.46568627450980388</c:v>
                </c:pt>
                <c:pt idx="6">
                  <c:v>0.46568627450980388</c:v>
                </c:pt>
                <c:pt idx="7">
                  <c:v>0.46568627450980388</c:v>
                </c:pt>
                <c:pt idx="8">
                  <c:v>0.46568627450980388</c:v>
                </c:pt>
                <c:pt idx="9">
                  <c:v>0.46568627450980388</c:v>
                </c:pt>
                <c:pt idx="10">
                  <c:v>0.46568627450980388</c:v>
                </c:pt>
                <c:pt idx="11">
                  <c:v>0.46568627450980388</c:v>
                </c:pt>
                <c:pt idx="12">
                  <c:v>0.46568627450980388</c:v>
                </c:pt>
                <c:pt idx="13">
                  <c:v>0.46568627450980388</c:v>
                </c:pt>
                <c:pt idx="14">
                  <c:v>0.46568627450980388</c:v>
                </c:pt>
                <c:pt idx="15">
                  <c:v>0.46568627450980388</c:v>
                </c:pt>
                <c:pt idx="16">
                  <c:v>0.46568627450980388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6-42D7-9D9C-281748B5C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9E-481C-9AEA-04F7C6ED22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9E-481C-9AEA-04F7C6ED2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9E-481C-9AEA-04F7C6ED22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9E-481C-9AEA-04F7C6ED2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1">
                  <c:v>5927</c:v>
                </c:pt>
                <c:pt idx="2">
                  <c:v>4835</c:v>
                </c:pt>
                <c:pt idx="3">
                  <c:v>1874</c:v>
                </c:pt>
                <c:pt idx="4">
                  <c:v>2220</c:v>
                </c:pt>
                <c:pt idx="5">
                  <c:v>2923</c:v>
                </c:pt>
                <c:pt idx="6">
                  <c:v>2750</c:v>
                </c:pt>
                <c:pt idx="7">
                  <c:v>20784</c:v>
                </c:pt>
                <c:pt idx="11">
                  <c:v>10048</c:v>
                </c:pt>
                <c:pt idx="12">
                  <c:v>3035</c:v>
                </c:pt>
                <c:pt idx="13">
                  <c:v>2680</c:v>
                </c:pt>
                <c:pt idx="14">
                  <c:v>3599</c:v>
                </c:pt>
                <c:pt idx="15">
                  <c:v>41088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1-4790-BEF2-D10676790B8D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5060</c:v>
                </c:pt>
                <c:pt idx="1">
                  <c:v>5927</c:v>
                </c:pt>
                <c:pt idx="2">
                  <c:v>4835</c:v>
                </c:pt>
                <c:pt idx="3">
                  <c:v>1874</c:v>
                </c:pt>
                <c:pt idx="4">
                  <c:v>2220</c:v>
                </c:pt>
                <c:pt idx="5">
                  <c:v>2923</c:v>
                </c:pt>
                <c:pt idx="6">
                  <c:v>2750</c:v>
                </c:pt>
                <c:pt idx="7">
                  <c:v>20784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10048</c:v>
                </c:pt>
                <c:pt idx="12">
                  <c:v>3035</c:v>
                </c:pt>
                <c:pt idx="13">
                  <c:v>2680</c:v>
                </c:pt>
                <c:pt idx="14">
                  <c:v>3599</c:v>
                </c:pt>
                <c:pt idx="15">
                  <c:v>41088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1-4790-BEF2-D10676790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38%</c:v>
                </c:pt>
                <c:pt idx="4">
                  <c:v>42%</c:v>
                </c:pt>
                <c:pt idx="5">
                  <c:v>63%</c:v>
                </c:pt>
                <c:pt idx="6">
                  <c:v>71%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58%</c:v>
                </c:pt>
                <c:pt idx="12">
                  <c:v>63%</c:v>
                </c:pt>
                <c:pt idx="13">
                  <c:v>63%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0.375</c:v>
                </c:pt>
                <c:pt idx="4">
                  <c:v>0.41666666666666669</c:v>
                </c:pt>
                <c:pt idx="5">
                  <c:v>0.625</c:v>
                </c:pt>
                <c:pt idx="6">
                  <c:v>0.70833333333333337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0.625</c:v>
                </c:pt>
                <c:pt idx="13">
                  <c:v>0.625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9-46B4-B49C-CF5DDB3686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A9-46B4-B49C-CF5DDB3686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0.5234375</c:v>
                </c:pt>
                <c:pt idx="1">
                  <c:v>0.5234375</c:v>
                </c:pt>
                <c:pt idx="2">
                  <c:v>0.5234375</c:v>
                </c:pt>
                <c:pt idx="3">
                  <c:v>0.5234375</c:v>
                </c:pt>
                <c:pt idx="4">
                  <c:v>0.5234375</c:v>
                </c:pt>
                <c:pt idx="5">
                  <c:v>0.5234375</c:v>
                </c:pt>
                <c:pt idx="6">
                  <c:v>0.5234375</c:v>
                </c:pt>
                <c:pt idx="7">
                  <c:v>0.5234375</c:v>
                </c:pt>
                <c:pt idx="8">
                  <c:v>0.5234375</c:v>
                </c:pt>
                <c:pt idx="9">
                  <c:v>0.5234375</c:v>
                </c:pt>
                <c:pt idx="10">
                  <c:v>0.5234375</c:v>
                </c:pt>
                <c:pt idx="11">
                  <c:v>0.5234375</c:v>
                </c:pt>
                <c:pt idx="12">
                  <c:v>0.5234375</c:v>
                </c:pt>
                <c:pt idx="13">
                  <c:v>0.5234375</c:v>
                </c:pt>
                <c:pt idx="14">
                  <c:v>0.5234375</c:v>
                </c:pt>
                <c:pt idx="15">
                  <c:v>0.5234375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A9-46B4-B49C-CF5DDB368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1">
                  <c:v>5927</c:v>
                </c:pt>
                <c:pt idx="2">
                  <c:v>4835</c:v>
                </c:pt>
                <c:pt idx="3">
                  <c:v>1874</c:v>
                </c:pt>
                <c:pt idx="4">
                  <c:v>2220</c:v>
                </c:pt>
                <c:pt idx="5">
                  <c:v>2923</c:v>
                </c:pt>
                <c:pt idx="6">
                  <c:v>2750</c:v>
                </c:pt>
                <c:pt idx="7">
                  <c:v>20784</c:v>
                </c:pt>
                <c:pt idx="11">
                  <c:v>10048</c:v>
                </c:pt>
                <c:pt idx="12">
                  <c:v>3035</c:v>
                </c:pt>
                <c:pt idx="13">
                  <c:v>2680</c:v>
                </c:pt>
                <c:pt idx="14">
                  <c:v>3599</c:v>
                </c:pt>
                <c:pt idx="15">
                  <c:v>41088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D-4262-921D-6929515670C5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5060</c:v>
                </c:pt>
                <c:pt idx="1">
                  <c:v>5927</c:v>
                </c:pt>
                <c:pt idx="2">
                  <c:v>4835</c:v>
                </c:pt>
                <c:pt idx="3">
                  <c:v>1874</c:v>
                </c:pt>
                <c:pt idx="4">
                  <c:v>2220</c:v>
                </c:pt>
                <c:pt idx="5">
                  <c:v>2923</c:v>
                </c:pt>
                <c:pt idx="6">
                  <c:v>2750</c:v>
                </c:pt>
                <c:pt idx="7">
                  <c:v>20784</c:v>
                </c:pt>
                <c:pt idx="8">
                  <c:v>339</c:v>
                </c:pt>
                <c:pt idx="9">
                  <c:v>16545</c:v>
                </c:pt>
                <c:pt idx="10">
                  <c:v>18660</c:v>
                </c:pt>
                <c:pt idx="11">
                  <c:v>10048</c:v>
                </c:pt>
                <c:pt idx="12">
                  <c:v>3035</c:v>
                </c:pt>
                <c:pt idx="13">
                  <c:v>2680</c:v>
                </c:pt>
                <c:pt idx="14">
                  <c:v>3599</c:v>
                </c:pt>
                <c:pt idx="15">
                  <c:v>41088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D-4262-921D-692951567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38%</c:v>
                </c:pt>
                <c:pt idx="4">
                  <c:v>42%</c:v>
                </c:pt>
                <c:pt idx="5">
                  <c:v>63%</c:v>
                </c:pt>
                <c:pt idx="6">
                  <c:v>71%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58%</c:v>
                </c:pt>
                <c:pt idx="12">
                  <c:v>63%</c:v>
                </c:pt>
                <c:pt idx="13">
                  <c:v>63%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0.375</c:v>
                </c:pt>
                <c:pt idx="4">
                  <c:v>0.41666666666666669</c:v>
                </c:pt>
                <c:pt idx="5">
                  <c:v>0.625</c:v>
                </c:pt>
                <c:pt idx="6">
                  <c:v>0.70833333333333337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0.625</c:v>
                </c:pt>
                <c:pt idx="13">
                  <c:v>0.625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4-44C5-9405-B7017BDFA01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24-44C5-9405-B7017BDFA0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4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0.5234375</c:v>
                </c:pt>
                <c:pt idx="1">
                  <c:v>0.5234375</c:v>
                </c:pt>
                <c:pt idx="2">
                  <c:v>0.5234375</c:v>
                </c:pt>
                <c:pt idx="3">
                  <c:v>0.5234375</c:v>
                </c:pt>
                <c:pt idx="4">
                  <c:v>0.5234375</c:v>
                </c:pt>
                <c:pt idx="5">
                  <c:v>0.5234375</c:v>
                </c:pt>
                <c:pt idx="6">
                  <c:v>0.5234375</c:v>
                </c:pt>
                <c:pt idx="7">
                  <c:v>0.5234375</c:v>
                </c:pt>
                <c:pt idx="8">
                  <c:v>0.5234375</c:v>
                </c:pt>
                <c:pt idx="9">
                  <c:v>0.5234375</c:v>
                </c:pt>
                <c:pt idx="10">
                  <c:v>0.5234375</c:v>
                </c:pt>
                <c:pt idx="11">
                  <c:v>0.5234375</c:v>
                </c:pt>
                <c:pt idx="12">
                  <c:v>0.5234375</c:v>
                </c:pt>
                <c:pt idx="13">
                  <c:v>0.5234375</c:v>
                </c:pt>
                <c:pt idx="14">
                  <c:v>0.5234375</c:v>
                </c:pt>
                <c:pt idx="15">
                  <c:v>0.5234375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4-44C5-9405-B7017BDFA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70B-406F-A71A-7AD8CDD26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B-406F-A71A-7AD8CDD26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0B-406F-A71A-7AD8CDD265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0B-406F-A71A-7AD8CDD26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28540</c:v>
                </c:pt>
                <c:pt idx="1">
                  <c:v>5899</c:v>
                </c:pt>
                <c:pt idx="2">
                  <c:v>5114</c:v>
                </c:pt>
                <c:pt idx="3">
                  <c:v>3536</c:v>
                </c:pt>
                <c:pt idx="5">
                  <c:v>3428</c:v>
                </c:pt>
                <c:pt idx="6">
                  <c:v>4502</c:v>
                </c:pt>
                <c:pt idx="7">
                  <c:v>7848</c:v>
                </c:pt>
                <c:pt idx="9">
                  <c:v>2680</c:v>
                </c:pt>
                <c:pt idx="11">
                  <c:v>21792</c:v>
                </c:pt>
                <c:pt idx="13">
                  <c:v>927</c:v>
                </c:pt>
                <c:pt idx="14">
                  <c:v>4046</c:v>
                </c:pt>
                <c:pt idx="15">
                  <c:v>41832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5-475F-BBEA-49AA8BDBCEC7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28540</c:v>
                </c:pt>
                <c:pt idx="1">
                  <c:v>5899</c:v>
                </c:pt>
                <c:pt idx="2">
                  <c:v>5114</c:v>
                </c:pt>
                <c:pt idx="3">
                  <c:v>3536</c:v>
                </c:pt>
                <c:pt idx="4">
                  <c:v>2220</c:v>
                </c:pt>
                <c:pt idx="5">
                  <c:v>3428</c:v>
                </c:pt>
                <c:pt idx="6">
                  <c:v>4502</c:v>
                </c:pt>
                <c:pt idx="7">
                  <c:v>7848</c:v>
                </c:pt>
                <c:pt idx="8">
                  <c:v>339</c:v>
                </c:pt>
                <c:pt idx="9">
                  <c:v>2680</c:v>
                </c:pt>
                <c:pt idx="10">
                  <c:v>18660</c:v>
                </c:pt>
                <c:pt idx="11">
                  <c:v>21792</c:v>
                </c:pt>
                <c:pt idx="12">
                  <c:v>3035</c:v>
                </c:pt>
                <c:pt idx="13">
                  <c:v>927</c:v>
                </c:pt>
                <c:pt idx="14">
                  <c:v>4046</c:v>
                </c:pt>
                <c:pt idx="15">
                  <c:v>41832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5-475F-BBEA-49AA8BDBC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75%</c:v>
                </c:pt>
                <c:pt idx="1">
                  <c:v>100%</c:v>
                </c:pt>
                <c:pt idx="2">
                  <c:v>100%</c:v>
                </c:pt>
                <c:pt idx="3">
                  <c:v>71%</c:v>
                </c:pt>
                <c:pt idx="4">
                  <c:v>0%</c:v>
                </c:pt>
                <c:pt idx="5">
                  <c:v>67%</c:v>
                </c:pt>
                <c:pt idx="6">
                  <c:v>100%</c:v>
                </c:pt>
                <c:pt idx="7">
                  <c:v>38%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21%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0.70833333333333337</c:v>
                </c:pt>
                <c:pt idx="4">
                  <c:v>0</c:v>
                </c:pt>
                <c:pt idx="5">
                  <c:v>0.66666666666666663</c:v>
                </c:pt>
                <c:pt idx="6">
                  <c:v>1</c:v>
                </c:pt>
                <c:pt idx="7">
                  <c:v>0.375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3-41D5-A893-368E816350C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33-41D5-A893-368E816350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0.54166666666666674</c:v>
                </c:pt>
                <c:pt idx="1">
                  <c:v>0.54166666666666674</c:v>
                </c:pt>
                <c:pt idx="2">
                  <c:v>0.54166666666666674</c:v>
                </c:pt>
                <c:pt idx="3">
                  <c:v>0.54166666666666674</c:v>
                </c:pt>
                <c:pt idx="4">
                  <c:v>0.54166666666666674</c:v>
                </c:pt>
                <c:pt idx="5">
                  <c:v>0.54166666666666674</c:v>
                </c:pt>
                <c:pt idx="6">
                  <c:v>0.54166666666666674</c:v>
                </c:pt>
                <c:pt idx="7">
                  <c:v>0.54166666666666674</c:v>
                </c:pt>
                <c:pt idx="8">
                  <c:v>0.54166666666666674</c:v>
                </c:pt>
                <c:pt idx="9">
                  <c:v>0.54166666666666674</c:v>
                </c:pt>
                <c:pt idx="10">
                  <c:v>0.54166666666666674</c:v>
                </c:pt>
                <c:pt idx="11">
                  <c:v>0.54166666666666674</c:v>
                </c:pt>
                <c:pt idx="12">
                  <c:v>0.54166666666666674</c:v>
                </c:pt>
                <c:pt idx="13">
                  <c:v>0.54166666666666674</c:v>
                </c:pt>
                <c:pt idx="14">
                  <c:v>0.54166666666666674</c:v>
                </c:pt>
                <c:pt idx="15">
                  <c:v>0.54166666666666674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3-41D5-A893-368E8163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0">
                  <c:v>28540</c:v>
                </c:pt>
                <c:pt idx="1">
                  <c:v>5899</c:v>
                </c:pt>
                <c:pt idx="2">
                  <c:v>5114</c:v>
                </c:pt>
                <c:pt idx="3">
                  <c:v>3536</c:v>
                </c:pt>
                <c:pt idx="5">
                  <c:v>3428</c:v>
                </c:pt>
                <c:pt idx="6">
                  <c:v>4502</c:v>
                </c:pt>
                <c:pt idx="7">
                  <c:v>7848</c:v>
                </c:pt>
                <c:pt idx="9">
                  <c:v>2680</c:v>
                </c:pt>
                <c:pt idx="11">
                  <c:v>21792</c:v>
                </c:pt>
                <c:pt idx="13">
                  <c:v>927</c:v>
                </c:pt>
                <c:pt idx="14">
                  <c:v>4046</c:v>
                </c:pt>
                <c:pt idx="15">
                  <c:v>41832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4-4B22-9543-0C2A04CA10BB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28540</c:v>
                </c:pt>
                <c:pt idx="1">
                  <c:v>5899</c:v>
                </c:pt>
                <c:pt idx="2">
                  <c:v>5114</c:v>
                </c:pt>
                <c:pt idx="3">
                  <c:v>3536</c:v>
                </c:pt>
                <c:pt idx="4">
                  <c:v>2220</c:v>
                </c:pt>
                <c:pt idx="5">
                  <c:v>3428</c:v>
                </c:pt>
                <c:pt idx="6">
                  <c:v>4502</c:v>
                </c:pt>
                <c:pt idx="7">
                  <c:v>7848</c:v>
                </c:pt>
                <c:pt idx="8">
                  <c:v>339</c:v>
                </c:pt>
                <c:pt idx="9">
                  <c:v>2680</c:v>
                </c:pt>
                <c:pt idx="10">
                  <c:v>18660</c:v>
                </c:pt>
                <c:pt idx="11">
                  <c:v>21792</c:v>
                </c:pt>
                <c:pt idx="12">
                  <c:v>3035</c:v>
                </c:pt>
                <c:pt idx="13">
                  <c:v>927</c:v>
                </c:pt>
                <c:pt idx="14">
                  <c:v>4046</c:v>
                </c:pt>
                <c:pt idx="15">
                  <c:v>41832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4-4B22-9543-0C2A04CA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75%</c:v>
                </c:pt>
                <c:pt idx="1">
                  <c:v>100%</c:v>
                </c:pt>
                <c:pt idx="2">
                  <c:v>100%</c:v>
                </c:pt>
                <c:pt idx="3">
                  <c:v>71%</c:v>
                </c:pt>
                <c:pt idx="4">
                  <c:v>0%</c:v>
                </c:pt>
                <c:pt idx="5">
                  <c:v>67%</c:v>
                </c:pt>
                <c:pt idx="6">
                  <c:v>100%</c:v>
                </c:pt>
                <c:pt idx="7">
                  <c:v>38%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21%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0.70833333333333337</c:v>
                </c:pt>
                <c:pt idx="4">
                  <c:v>0</c:v>
                </c:pt>
                <c:pt idx="5">
                  <c:v>0.66666666666666663</c:v>
                </c:pt>
                <c:pt idx="6">
                  <c:v>1</c:v>
                </c:pt>
                <c:pt idx="7">
                  <c:v>0.375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E-4160-920D-3622AA0CF3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EE-4160-920D-3622AA0CF3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0.54166666666666674</c:v>
                </c:pt>
                <c:pt idx="1">
                  <c:v>0.54166666666666674</c:v>
                </c:pt>
                <c:pt idx="2">
                  <c:v>0.54166666666666674</c:v>
                </c:pt>
                <c:pt idx="3">
                  <c:v>0.54166666666666674</c:v>
                </c:pt>
                <c:pt idx="4">
                  <c:v>0.54166666666666674</c:v>
                </c:pt>
                <c:pt idx="5">
                  <c:v>0.54166666666666674</c:v>
                </c:pt>
                <c:pt idx="6">
                  <c:v>0.54166666666666674</c:v>
                </c:pt>
                <c:pt idx="7">
                  <c:v>0.54166666666666674</c:v>
                </c:pt>
                <c:pt idx="8">
                  <c:v>0.54166666666666674</c:v>
                </c:pt>
                <c:pt idx="9">
                  <c:v>0.54166666666666674</c:v>
                </c:pt>
                <c:pt idx="10">
                  <c:v>0.54166666666666674</c:v>
                </c:pt>
                <c:pt idx="11">
                  <c:v>0.54166666666666674</c:v>
                </c:pt>
                <c:pt idx="12">
                  <c:v>0.54166666666666674</c:v>
                </c:pt>
                <c:pt idx="13">
                  <c:v>0.54166666666666674</c:v>
                </c:pt>
                <c:pt idx="14">
                  <c:v>0.54166666666666674</c:v>
                </c:pt>
                <c:pt idx="15">
                  <c:v>0.54166666666666674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E-4160-920D-3622AA0CF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579-44D1-8DCF-6B06A30F30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9-44D1-8DCF-6B06A30F3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79-44D1-8DCF-6B06A30F30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79-44D1-8DCF-6B06A30F3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29960</c:v>
                </c:pt>
                <c:pt idx="1">
                  <c:v>5938</c:v>
                </c:pt>
                <c:pt idx="2">
                  <c:v>5236</c:v>
                </c:pt>
                <c:pt idx="3">
                  <c:v>5075</c:v>
                </c:pt>
                <c:pt idx="5">
                  <c:v>3780</c:v>
                </c:pt>
                <c:pt idx="6">
                  <c:v>4561</c:v>
                </c:pt>
                <c:pt idx="7">
                  <c:v>4525</c:v>
                </c:pt>
                <c:pt idx="9">
                  <c:v>4683</c:v>
                </c:pt>
                <c:pt idx="11">
                  <c:v>17916</c:v>
                </c:pt>
                <c:pt idx="12">
                  <c:v>4865</c:v>
                </c:pt>
                <c:pt idx="13">
                  <c:v>2666</c:v>
                </c:pt>
                <c:pt idx="14">
                  <c:v>1103</c:v>
                </c:pt>
                <c:pt idx="15">
                  <c:v>36124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B-4430-9B23-726BA6261B78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29960</c:v>
                </c:pt>
                <c:pt idx="1">
                  <c:v>5938</c:v>
                </c:pt>
                <c:pt idx="2">
                  <c:v>5236</c:v>
                </c:pt>
                <c:pt idx="3">
                  <c:v>5075</c:v>
                </c:pt>
                <c:pt idx="4">
                  <c:v>2220</c:v>
                </c:pt>
                <c:pt idx="5">
                  <c:v>3780</c:v>
                </c:pt>
                <c:pt idx="6">
                  <c:v>4561</c:v>
                </c:pt>
                <c:pt idx="7">
                  <c:v>4525</c:v>
                </c:pt>
                <c:pt idx="8">
                  <c:v>339</c:v>
                </c:pt>
                <c:pt idx="9">
                  <c:v>4683</c:v>
                </c:pt>
                <c:pt idx="10">
                  <c:v>18660</c:v>
                </c:pt>
                <c:pt idx="11">
                  <c:v>17916</c:v>
                </c:pt>
                <c:pt idx="12">
                  <c:v>4865</c:v>
                </c:pt>
                <c:pt idx="13">
                  <c:v>2666</c:v>
                </c:pt>
                <c:pt idx="14">
                  <c:v>1103</c:v>
                </c:pt>
                <c:pt idx="15">
                  <c:v>36124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B-4430-9B23-726BA6261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92%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79%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67%</c:v>
                </c:pt>
                <c:pt idx="14">
                  <c:v>29%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0.79166666666666663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0.66666666666666663</c:v>
                </c:pt>
                <c:pt idx="14">
                  <c:v>0.29166666666666669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7-4E66-BDB9-AED232EA53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77-4E66-BDB9-AED232EA53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0.70052083333333326</c:v>
                </c:pt>
                <c:pt idx="1">
                  <c:v>0.70052083333333326</c:v>
                </c:pt>
                <c:pt idx="2">
                  <c:v>0.70052083333333326</c:v>
                </c:pt>
                <c:pt idx="3">
                  <c:v>0.70052083333333326</c:v>
                </c:pt>
                <c:pt idx="4">
                  <c:v>0.70052083333333326</c:v>
                </c:pt>
                <c:pt idx="5">
                  <c:v>0.70052083333333326</c:v>
                </c:pt>
                <c:pt idx="6">
                  <c:v>0.70052083333333326</c:v>
                </c:pt>
                <c:pt idx="7">
                  <c:v>0.70052083333333326</c:v>
                </c:pt>
                <c:pt idx="8">
                  <c:v>0.70052083333333326</c:v>
                </c:pt>
                <c:pt idx="9">
                  <c:v>0.70052083333333326</c:v>
                </c:pt>
                <c:pt idx="10">
                  <c:v>0.70052083333333326</c:v>
                </c:pt>
                <c:pt idx="11">
                  <c:v>0.70052083333333326</c:v>
                </c:pt>
                <c:pt idx="12">
                  <c:v>0.70052083333333326</c:v>
                </c:pt>
                <c:pt idx="13">
                  <c:v>0.70052083333333326</c:v>
                </c:pt>
                <c:pt idx="14">
                  <c:v>0.70052083333333326</c:v>
                </c:pt>
                <c:pt idx="15">
                  <c:v>0.70052083333333326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77-4E66-BDB9-AED232EA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29960</c:v>
                </c:pt>
                <c:pt idx="1">
                  <c:v>5938</c:v>
                </c:pt>
                <c:pt idx="2">
                  <c:v>5236</c:v>
                </c:pt>
                <c:pt idx="3">
                  <c:v>5075</c:v>
                </c:pt>
                <c:pt idx="5">
                  <c:v>3780</c:v>
                </c:pt>
                <c:pt idx="6">
                  <c:v>4561</c:v>
                </c:pt>
                <c:pt idx="7">
                  <c:v>4525</c:v>
                </c:pt>
                <c:pt idx="9">
                  <c:v>4683</c:v>
                </c:pt>
                <c:pt idx="11">
                  <c:v>17916</c:v>
                </c:pt>
                <c:pt idx="12">
                  <c:v>4865</c:v>
                </c:pt>
                <c:pt idx="13">
                  <c:v>2666</c:v>
                </c:pt>
                <c:pt idx="14">
                  <c:v>1103</c:v>
                </c:pt>
                <c:pt idx="15">
                  <c:v>36124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6-45CA-A1D2-FCCB667D0BE2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29960</c:v>
                </c:pt>
                <c:pt idx="1">
                  <c:v>5938</c:v>
                </c:pt>
                <c:pt idx="2">
                  <c:v>5236</c:v>
                </c:pt>
                <c:pt idx="3">
                  <c:v>5075</c:v>
                </c:pt>
                <c:pt idx="4">
                  <c:v>2220</c:v>
                </c:pt>
                <c:pt idx="5">
                  <c:v>3780</c:v>
                </c:pt>
                <c:pt idx="6">
                  <c:v>4561</c:v>
                </c:pt>
                <c:pt idx="7">
                  <c:v>4525</c:v>
                </c:pt>
                <c:pt idx="8">
                  <c:v>339</c:v>
                </c:pt>
                <c:pt idx="9">
                  <c:v>4683</c:v>
                </c:pt>
                <c:pt idx="10">
                  <c:v>18660</c:v>
                </c:pt>
                <c:pt idx="11">
                  <c:v>17916</c:v>
                </c:pt>
                <c:pt idx="12">
                  <c:v>4865</c:v>
                </c:pt>
                <c:pt idx="13">
                  <c:v>2666</c:v>
                </c:pt>
                <c:pt idx="14">
                  <c:v>1103</c:v>
                </c:pt>
                <c:pt idx="15">
                  <c:v>36124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6-45CA-A1D2-FCCB667D0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92%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79%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67%</c:v>
                </c:pt>
                <c:pt idx="14">
                  <c:v>29%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0.91666666666666663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0.79166666666666663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0.66666666666666663</c:v>
                </c:pt>
                <c:pt idx="14">
                  <c:v>0.29166666666666669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6-4E0E-92BD-E9A0F46650E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F6-4E0E-92BD-E9A0F46650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0.70052083333333326</c:v>
                </c:pt>
                <c:pt idx="1">
                  <c:v>0.70052083333333326</c:v>
                </c:pt>
                <c:pt idx="2">
                  <c:v>0.70052083333333326</c:v>
                </c:pt>
                <c:pt idx="3">
                  <c:v>0.70052083333333326</c:v>
                </c:pt>
                <c:pt idx="4">
                  <c:v>0.70052083333333326</c:v>
                </c:pt>
                <c:pt idx="5">
                  <c:v>0.70052083333333326</c:v>
                </c:pt>
                <c:pt idx="6">
                  <c:v>0.70052083333333326</c:v>
                </c:pt>
                <c:pt idx="7">
                  <c:v>0.70052083333333326</c:v>
                </c:pt>
                <c:pt idx="8">
                  <c:v>0.70052083333333326</c:v>
                </c:pt>
                <c:pt idx="9">
                  <c:v>0.70052083333333326</c:v>
                </c:pt>
                <c:pt idx="10">
                  <c:v>0.70052083333333326</c:v>
                </c:pt>
                <c:pt idx="11">
                  <c:v>0.70052083333333326</c:v>
                </c:pt>
                <c:pt idx="12">
                  <c:v>0.70052083333333326</c:v>
                </c:pt>
                <c:pt idx="13">
                  <c:v>0.70052083333333326</c:v>
                </c:pt>
                <c:pt idx="14">
                  <c:v>0.70052083333333326</c:v>
                </c:pt>
                <c:pt idx="15">
                  <c:v>0.70052083333333326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F6-4E0E-92BD-E9A0F4665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C1F-4BA6-8133-35D1DD4B46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F-4BA6-8133-35D1DD4B4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1F-4BA6-8133-35D1DD4B46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1F-4BA6-8133-35D1DD4B4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39245</c:v>
                </c:pt>
                <c:pt idx="1">
                  <c:v>5872</c:v>
                </c:pt>
                <c:pt idx="2">
                  <c:v>5245</c:v>
                </c:pt>
                <c:pt idx="3">
                  <c:v>4728</c:v>
                </c:pt>
                <c:pt idx="5">
                  <c:v>4942</c:v>
                </c:pt>
                <c:pt idx="6">
                  <c:v>4665</c:v>
                </c:pt>
                <c:pt idx="7">
                  <c:v>3076</c:v>
                </c:pt>
                <c:pt idx="11">
                  <c:v>22420</c:v>
                </c:pt>
                <c:pt idx="12">
                  <c:v>5364</c:v>
                </c:pt>
                <c:pt idx="13">
                  <c:v>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E-4F88-8D50-FB6A7BBD68F1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39245</c:v>
                </c:pt>
                <c:pt idx="1">
                  <c:v>5872</c:v>
                </c:pt>
                <c:pt idx="2">
                  <c:v>5245</c:v>
                </c:pt>
                <c:pt idx="3">
                  <c:v>4728</c:v>
                </c:pt>
                <c:pt idx="4">
                  <c:v>2220</c:v>
                </c:pt>
                <c:pt idx="5">
                  <c:v>4942</c:v>
                </c:pt>
                <c:pt idx="6">
                  <c:v>4665</c:v>
                </c:pt>
                <c:pt idx="7">
                  <c:v>3076</c:v>
                </c:pt>
                <c:pt idx="8">
                  <c:v>339</c:v>
                </c:pt>
                <c:pt idx="9">
                  <c:v>4683</c:v>
                </c:pt>
                <c:pt idx="10">
                  <c:v>18660</c:v>
                </c:pt>
                <c:pt idx="11">
                  <c:v>22420</c:v>
                </c:pt>
                <c:pt idx="12">
                  <c:v>5364</c:v>
                </c:pt>
                <c:pt idx="13">
                  <c:v>4081</c:v>
                </c:pt>
                <c:pt idx="14">
                  <c:v>1103</c:v>
                </c:pt>
                <c:pt idx="15">
                  <c:v>36124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E-4F88-8D50-FB6A7BBD6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92%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88%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0.91666666666666663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0.875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7-421A-A38C-7C78A127AA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57-421A-A38C-7C78A127AA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0.5859375</c:v>
                </c:pt>
                <c:pt idx="1">
                  <c:v>0.5859375</c:v>
                </c:pt>
                <c:pt idx="2">
                  <c:v>0.5859375</c:v>
                </c:pt>
                <c:pt idx="3">
                  <c:v>0.5859375</c:v>
                </c:pt>
                <c:pt idx="4">
                  <c:v>0.5859375</c:v>
                </c:pt>
                <c:pt idx="5">
                  <c:v>0.5859375</c:v>
                </c:pt>
                <c:pt idx="6">
                  <c:v>0.5859375</c:v>
                </c:pt>
                <c:pt idx="7">
                  <c:v>0.5859375</c:v>
                </c:pt>
                <c:pt idx="8">
                  <c:v>0.5859375</c:v>
                </c:pt>
                <c:pt idx="9">
                  <c:v>0.5859375</c:v>
                </c:pt>
                <c:pt idx="10">
                  <c:v>0.5859375</c:v>
                </c:pt>
                <c:pt idx="11">
                  <c:v>0.5859375</c:v>
                </c:pt>
                <c:pt idx="12">
                  <c:v>0.5859375</c:v>
                </c:pt>
                <c:pt idx="13">
                  <c:v>0.5859375</c:v>
                </c:pt>
                <c:pt idx="14">
                  <c:v>0.5859375</c:v>
                </c:pt>
                <c:pt idx="15">
                  <c:v>0.5859375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57-421A-A38C-7C78A127A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0">
                  <c:v>39245</c:v>
                </c:pt>
                <c:pt idx="1">
                  <c:v>5872</c:v>
                </c:pt>
                <c:pt idx="2">
                  <c:v>5245</c:v>
                </c:pt>
                <c:pt idx="3">
                  <c:v>4728</c:v>
                </c:pt>
                <c:pt idx="5">
                  <c:v>4942</c:v>
                </c:pt>
                <c:pt idx="6">
                  <c:v>4665</c:v>
                </c:pt>
                <c:pt idx="7">
                  <c:v>3076</c:v>
                </c:pt>
                <c:pt idx="11">
                  <c:v>22420</c:v>
                </c:pt>
                <c:pt idx="12">
                  <c:v>5364</c:v>
                </c:pt>
                <c:pt idx="13">
                  <c:v>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3-462E-918F-AF60E55682F4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39245</c:v>
                </c:pt>
                <c:pt idx="1">
                  <c:v>5872</c:v>
                </c:pt>
                <c:pt idx="2">
                  <c:v>5245</c:v>
                </c:pt>
                <c:pt idx="3">
                  <c:v>4728</c:v>
                </c:pt>
                <c:pt idx="4">
                  <c:v>2220</c:v>
                </c:pt>
                <c:pt idx="5">
                  <c:v>4942</c:v>
                </c:pt>
                <c:pt idx="6">
                  <c:v>4665</c:v>
                </c:pt>
                <c:pt idx="7">
                  <c:v>3076</c:v>
                </c:pt>
                <c:pt idx="8">
                  <c:v>339</c:v>
                </c:pt>
                <c:pt idx="9">
                  <c:v>4683</c:v>
                </c:pt>
                <c:pt idx="10">
                  <c:v>18660</c:v>
                </c:pt>
                <c:pt idx="11">
                  <c:v>22420</c:v>
                </c:pt>
                <c:pt idx="12">
                  <c:v>5364</c:v>
                </c:pt>
                <c:pt idx="13">
                  <c:v>4081</c:v>
                </c:pt>
                <c:pt idx="14">
                  <c:v>1103</c:v>
                </c:pt>
                <c:pt idx="15">
                  <c:v>36124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3-462E-918F-AF60E5568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92%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88%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0.91666666666666663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0.875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D-4ED9-94FD-1CDC32A5A78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BD-4ED9-94FD-1CDC32A5A7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0.5859375</c:v>
                </c:pt>
                <c:pt idx="1">
                  <c:v>0.5859375</c:v>
                </c:pt>
                <c:pt idx="2">
                  <c:v>0.5859375</c:v>
                </c:pt>
                <c:pt idx="3">
                  <c:v>0.5859375</c:v>
                </c:pt>
                <c:pt idx="4">
                  <c:v>0.5859375</c:v>
                </c:pt>
                <c:pt idx="5">
                  <c:v>0.5859375</c:v>
                </c:pt>
                <c:pt idx="6">
                  <c:v>0.5859375</c:v>
                </c:pt>
                <c:pt idx="7">
                  <c:v>0.5859375</c:v>
                </c:pt>
                <c:pt idx="8">
                  <c:v>0.5859375</c:v>
                </c:pt>
                <c:pt idx="9">
                  <c:v>0.5859375</c:v>
                </c:pt>
                <c:pt idx="10">
                  <c:v>0.5859375</c:v>
                </c:pt>
                <c:pt idx="11">
                  <c:v>0.5859375</c:v>
                </c:pt>
                <c:pt idx="12">
                  <c:v>0.5859375</c:v>
                </c:pt>
                <c:pt idx="13">
                  <c:v>0.5859375</c:v>
                </c:pt>
                <c:pt idx="14">
                  <c:v>0.5859375</c:v>
                </c:pt>
                <c:pt idx="15">
                  <c:v>0.5859375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D-4ED9-94FD-1CDC32A5A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728-45C1-9D82-1EB2E4F217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8-45C1-9D82-1EB2E4F2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28-45C1-9D82-1EB2E4F217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28-45C1-9D82-1EB2E4F2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13985</c:v>
                </c:pt>
                <c:pt idx="2">
                  <c:v>1099</c:v>
                </c:pt>
                <c:pt idx="3">
                  <c:v>1685</c:v>
                </c:pt>
                <c:pt idx="5">
                  <c:v>2381</c:v>
                </c:pt>
                <c:pt idx="6">
                  <c:v>1871</c:v>
                </c:pt>
                <c:pt idx="11">
                  <c:v>9048</c:v>
                </c:pt>
                <c:pt idx="12">
                  <c:v>2142</c:v>
                </c:pt>
                <c:pt idx="13">
                  <c:v>2052</c:v>
                </c:pt>
                <c:pt idx="14">
                  <c:v>500</c:v>
                </c:pt>
                <c:pt idx="15">
                  <c:v>27096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4A4C-943C-2C38A83218A6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13985</c:v>
                </c:pt>
                <c:pt idx="1">
                  <c:v>5872</c:v>
                </c:pt>
                <c:pt idx="2">
                  <c:v>1099</c:v>
                </c:pt>
                <c:pt idx="3">
                  <c:v>1685</c:v>
                </c:pt>
                <c:pt idx="4">
                  <c:v>2220</c:v>
                </c:pt>
                <c:pt idx="5">
                  <c:v>2381</c:v>
                </c:pt>
                <c:pt idx="6">
                  <c:v>1871</c:v>
                </c:pt>
                <c:pt idx="7">
                  <c:v>3076</c:v>
                </c:pt>
                <c:pt idx="8">
                  <c:v>339</c:v>
                </c:pt>
                <c:pt idx="9">
                  <c:v>4683</c:v>
                </c:pt>
                <c:pt idx="10">
                  <c:v>18660</c:v>
                </c:pt>
                <c:pt idx="11">
                  <c:v>9048</c:v>
                </c:pt>
                <c:pt idx="12">
                  <c:v>2142</c:v>
                </c:pt>
                <c:pt idx="13">
                  <c:v>2052</c:v>
                </c:pt>
                <c:pt idx="14">
                  <c:v>500</c:v>
                </c:pt>
                <c:pt idx="15">
                  <c:v>27096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4-4A4C-943C-2C38A8321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42%</c:v>
                </c:pt>
                <c:pt idx="1">
                  <c:v>0%</c:v>
                </c:pt>
                <c:pt idx="2">
                  <c:v>25%</c:v>
                </c:pt>
                <c:pt idx="3">
                  <c:v>38%</c:v>
                </c:pt>
                <c:pt idx="4">
                  <c:v>0%</c:v>
                </c:pt>
                <c:pt idx="5">
                  <c:v>42%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42%</c:v>
                </c:pt>
                <c:pt idx="14">
                  <c:v>17%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</c:v>
                </c:pt>
                <c:pt idx="2">
                  <c:v>0.25</c:v>
                </c:pt>
                <c:pt idx="3">
                  <c:v>0.375</c:v>
                </c:pt>
                <c:pt idx="4">
                  <c:v>0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0-43CA-A6E5-FD009B62E18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A0-43CA-A6E5-FD009B62E1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0.2265625</c:v>
                </c:pt>
                <c:pt idx="1">
                  <c:v>0.2265625</c:v>
                </c:pt>
                <c:pt idx="2">
                  <c:v>0.2265625</c:v>
                </c:pt>
                <c:pt idx="3">
                  <c:v>0.2265625</c:v>
                </c:pt>
                <c:pt idx="4">
                  <c:v>0.2265625</c:v>
                </c:pt>
                <c:pt idx="5">
                  <c:v>0.2265625</c:v>
                </c:pt>
                <c:pt idx="6">
                  <c:v>0.2265625</c:v>
                </c:pt>
                <c:pt idx="7">
                  <c:v>0.2265625</c:v>
                </c:pt>
                <c:pt idx="8">
                  <c:v>0.2265625</c:v>
                </c:pt>
                <c:pt idx="9">
                  <c:v>0.2265625</c:v>
                </c:pt>
                <c:pt idx="10">
                  <c:v>0.2265625</c:v>
                </c:pt>
                <c:pt idx="11">
                  <c:v>0.2265625</c:v>
                </c:pt>
                <c:pt idx="12">
                  <c:v>0.2265625</c:v>
                </c:pt>
                <c:pt idx="13">
                  <c:v>0.2265625</c:v>
                </c:pt>
                <c:pt idx="14">
                  <c:v>0.2265625</c:v>
                </c:pt>
                <c:pt idx="15">
                  <c:v>0.2265625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0-43CA-A6E5-FD009B62E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13985</c:v>
                </c:pt>
                <c:pt idx="2">
                  <c:v>1099</c:v>
                </c:pt>
                <c:pt idx="3">
                  <c:v>1685</c:v>
                </c:pt>
                <c:pt idx="5">
                  <c:v>2381</c:v>
                </c:pt>
                <c:pt idx="6">
                  <c:v>1871</c:v>
                </c:pt>
                <c:pt idx="11">
                  <c:v>9048</c:v>
                </c:pt>
                <c:pt idx="12">
                  <c:v>2142</c:v>
                </c:pt>
                <c:pt idx="13">
                  <c:v>2052</c:v>
                </c:pt>
                <c:pt idx="14">
                  <c:v>500</c:v>
                </c:pt>
                <c:pt idx="15">
                  <c:v>27096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A-4529-8230-742DA4D3EF3B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13985</c:v>
                </c:pt>
                <c:pt idx="1">
                  <c:v>5872</c:v>
                </c:pt>
                <c:pt idx="2">
                  <c:v>1099</c:v>
                </c:pt>
                <c:pt idx="3">
                  <c:v>1685</c:v>
                </c:pt>
                <c:pt idx="4">
                  <c:v>2220</c:v>
                </c:pt>
                <c:pt idx="5">
                  <c:v>2381</c:v>
                </c:pt>
                <c:pt idx="6">
                  <c:v>1871</c:v>
                </c:pt>
                <c:pt idx="7">
                  <c:v>3076</c:v>
                </c:pt>
                <c:pt idx="8">
                  <c:v>339</c:v>
                </c:pt>
                <c:pt idx="9">
                  <c:v>4683</c:v>
                </c:pt>
                <c:pt idx="10">
                  <c:v>18660</c:v>
                </c:pt>
                <c:pt idx="11">
                  <c:v>9048</c:v>
                </c:pt>
                <c:pt idx="12">
                  <c:v>2142</c:v>
                </c:pt>
                <c:pt idx="13">
                  <c:v>2052</c:v>
                </c:pt>
                <c:pt idx="14">
                  <c:v>500</c:v>
                </c:pt>
                <c:pt idx="15">
                  <c:v>27096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A-4529-8230-742DA4D3E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42%</c:v>
                </c:pt>
                <c:pt idx="1">
                  <c:v>0%</c:v>
                </c:pt>
                <c:pt idx="2">
                  <c:v>25%</c:v>
                </c:pt>
                <c:pt idx="3">
                  <c:v>38%</c:v>
                </c:pt>
                <c:pt idx="4">
                  <c:v>0%</c:v>
                </c:pt>
                <c:pt idx="5">
                  <c:v>42%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42%</c:v>
                </c:pt>
                <c:pt idx="13">
                  <c:v>42%</c:v>
                </c:pt>
                <c:pt idx="14">
                  <c:v>17%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</c:v>
                </c:pt>
                <c:pt idx="2">
                  <c:v>0.25</c:v>
                </c:pt>
                <c:pt idx="3">
                  <c:v>0.375</c:v>
                </c:pt>
                <c:pt idx="4">
                  <c:v>0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9-406D-AA2C-DBAEFDDB909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69-406D-AA2C-DBAEFDDB90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RIVET</c:v>
                </c:pt>
                <c:pt idx="1">
                  <c:v>ADAPTER</c:v>
                </c:pt>
                <c:pt idx="2">
                  <c:v>BASE</c:v>
                </c:pt>
                <c:pt idx="3">
                  <c:v>ST/HO</c:v>
                </c:pt>
                <c:pt idx="4">
                  <c:v>M2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0.2265625</c:v>
                </c:pt>
                <c:pt idx="1">
                  <c:v>0.2265625</c:v>
                </c:pt>
                <c:pt idx="2">
                  <c:v>0.2265625</c:v>
                </c:pt>
                <c:pt idx="3">
                  <c:v>0.2265625</c:v>
                </c:pt>
                <c:pt idx="4">
                  <c:v>0.2265625</c:v>
                </c:pt>
                <c:pt idx="5">
                  <c:v>0.2265625</c:v>
                </c:pt>
                <c:pt idx="6">
                  <c:v>0.2265625</c:v>
                </c:pt>
                <c:pt idx="7">
                  <c:v>0.2265625</c:v>
                </c:pt>
                <c:pt idx="8">
                  <c:v>0.2265625</c:v>
                </c:pt>
                <c:pt idx="9">
                  <c:v>0.2265625</c:v>
                </c:pt>
                <c:pt idx="10">
                  <c:v>0.2265625</c:v>
                </c:pt>
                <c:pt idx="11">
                  <c:v>0.2265625</c:v>
                </c:pt>
                <c:pt idx="12">
                  <c:v>0.2265625</c:v>
                </c:pt>
                <c:pt idx="13">
                  <c:v>0.2265625</c:v>
                </c:pt>
                <c:pt idx="14">
                  <c:v>0.2265625</c:v>
                </c:pt>
                <c:pt idx="15">
                  <c:v>0.2265625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9-406D-AA2C-DBAEFDDB9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2D9-4AA7-90E0-99E399EEFB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9-4AA7-90E0-99E399EE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D9-4AA7-90E0-99E399EEFB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D9-4AA7-90E0-99E399EEF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'20'!$L$6:$L$22</c:f>
              <c:numCache>
                <c:formatCode>_(* #,##0_);_(* \(#,##0\);_(* "-"_);_(@_)</c:formatCode>
                <c:ptCount val="17"/>
                <c:pt idx="0">
                  <c:v>5099</c:v>
                </c:pt>
                <c:pt idx="2">
                  <c:v>4566</c:v>
                </c:pt>
                <c:pt idx="3">
                  <c:v>4807</c:v>
                </c:pt>
                <c:pt idx="5">
                  <c:v>3611</c:v>
                </c:pt>
                <c:pt idx="6">
                  <c:v>1335</c:v>
                </c:pt>
                <c:pt idx="7">
                  <c:v>2872</c:v>
                </c:pt>
                <c:pt idx="8">
                  <c:v>6250</c:v>
                </c:pt>
                <c:pt idx="12">
                  <c:v>12556</c:v>
                </c:pt>
                <c:pt idx="13">
                  <c:v>4646</c:v>
                </c:pt>
                <c:pt idx="14">
                  <c:v>4322</c:v>
                </c:pt>
                <c:pt idx="15">
                  <c:v>1274</c:v>
                </c:pt>
                <c:pt idx="16">
                  <c:v>34100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6-453D-993F-063E886F5826}"/>
            </c:ext>
          </c:extLst>
        </c:ser>
        <c:ser>
          <c:idx val="1"/>
          <c:order val="1"/>
          <c:tx>
            <c:v>계획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'20'!$J$6:$J$22</c:f>
              <c:numCache>
                <c:formatCode>_(* #,##0_);_(* \(#,##0\);_(* "-"_);_(@_)</c:formatCode>
                <c:ptCount val="17"/>
                <c:pt idx="0">
                  <c:v>5099</c:v>
                </c:pt>
                <c:pt idx="1">
                  <c:v>5872</c:v>
                </c:pt>
                <c:pt idx="2">
                  <c:v>4566</c:v>
                </c:pt>
                <c:pt idx="3">
                  <c:v>4807</c:v>
                </c:pt>
                <c:pt idx="4">
                  <c:v>2220</c:v>
                </c:pt>
                <c:pt idx="5">
                  <c:v>3611</c:v>
                </c:pt>
                <c:pt idx="6">
                  <c:v>1335</c:v>
                </c:pt>
                <c:pt idx="7">
                  <c:v>2872</c:v>
                </c:pt>
                <c:pt idx="8">
                  <c:v>6250</c:v>
                </c:pt>
                <c:pt idx="9">
                  <c:v>339</c:v>
                </c:pt>
                <c:pt idx="10">
                  <c:v>4683</c:v>
                </c:pt>
                <c:pt idx="11">
                  <c:v>18660</c:v>
                </c:pt>
                <c:pt idx="12">
                  <c:v>12556</c:v>
                </c:pt>
                <c:pt idx="13">
                  <c:v>4646</c:v>
                </c:pt>
                <c:pt idx="14">
                  <c:v>4322</c:v>
                </c:pt>
                <c:pt idx="15">
                  <c:v>1274</c:v>
                </c:pt>
                <c:pt idx="16">
                  <c:v>34100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16-453D-993F-063E886F5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92%</c:v>
                </c:pt>
                <c:pt idx="3">
                  <c:v>100%</c:v>
                </c:pt>
                <c:pt idx="4">
                  <c:v>0%</c:v>
                </c:pt>
                <c:pt idx="5">
                  <c:v>79%</c:v>
                </c:pt>
                <c:pt idx="6">
                  <c:v>29%</c:v>
                </c:pt>
                <c:pt idx="7">
                  <c:v>63%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100%</c:v>
                </c:pt>
                <c:pt idx="15">
                  <c:v>33%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0.91666666666666663</c:v>
                </c:pt>
                <c:pt idx="3">
                  <c:v>1</c:v>
                </c:pt>
                <c:pt idx="4">
                  <c:v>0</c:v>
                </c:pt>
                <c:pt idx="5">
                  <c:v>0.79166666666666663</c:v>
                </c:pt>
                <c:pt idx="6">
                  <c:v>0.29166666666666669</c:v>
                </c:pt>
                <c:pt idx="7">
                  <c:v>0.625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1</c:v>
                </c:pt>
                <c:pt idx="15">
                  <c:v>0.33333333333333331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4-4F04-9ED8-ADACF592259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94-4F04-9ED8-ADACF59225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'20'!$AE$6:$AE$22</c:f>
              <c:numCache>
                <c:formatCode>0%</c:formatCode>
                <c:ptCount val="17"/>
                <c:pt idx="0">
                  <c:v>0.51470588235294112</c:v>
                </c:pt>
                <c:pt idx="1">
                  <c:v>0.51470588235294112</c:v>
                </c:pt>
                <c:pt idx="2">
                  <c:v>0.51470588235294112</c:v>
                </c:pt>
                <c:pt idx="3">
                  <c:v>0.51470588235294112</c:v>
                </c:pt>
                <c:pt idx="4">
                  <c:v>0.51470588235294112</c:v>
                </c:pt>
                <c:pt idx="5">
                  <c:v>0.51470588235294112</c:v>
                </c:pt>
                <c:pt idx="6">
                  <c:v>0.51470588235294112</c:v>
                </c:pt>
                <c:pt idx="7">
                  <c:v>0.51470588235294112</c:v>
                </c:pt>
                <c:pt idx="8">
                  <c:v>0.51470588235294112</c:v>
                </c:pt>
                <c:pt idx="9">
                  <c:v>0.51470588235294112</c:v>
                </c:pt>
                <c:pt idx="10">
                  <c:v>0.51470588235294112</c:v>
                </c:pt>
                <c:pt idx="11">
                  <c:v>0.51470588235294112</c:v>
                </c:pt>
                <c:pt idx="12">
                  <c:v>0.51470588235294112</c:v>
                </c:pt>
                <c:pt idx="13">
                  <c:v>0.51470588235294112</c:v>
                </c:pt>
                <c:pt idx="14">
                  <c:v>0.51470588235294112</c:v>
                </c:pt>
                <c:pt idx="15">
                  <c:v>0.51470588235294112</c:v>
                </c:pt>
                <c:pt idx="16">
                  <c:v>0.51470588235294112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4-4F04-9ED8-ADACF5922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'20'!$L$6:$L$22</c:f>
              <c:numCache>
                <c:formatCode>_(* #,##0_);_(* \(#,##0\);_(* "-"_);_(@_)</c:formatCode>
                <c:ptCount val="17"/>
                <c:pt idx="0">
                  <c:v>5099</c:v>
                </c:pt>
                <c:pt idx="2">
                  <c:v>4566</c:v>
                </c:pt>
                <c:pt idx="3">
                  <c:v>4807</c:v>
                </c:pt>
                <c:pt idx="5">
                  <c:v>3611</c:v>
                </c:pt>
                <c:pt idx="6">
                  <c:v>1335</c:v>
                </c:pt>
                <c:pt idx="7">
                  <c:v>2872</c:v>
                </c:pt>
                <c:pt idx="8">
                  <c:v>6250</c:v>
                </c:pt>
                <c:pt idx="12">
                  <c:v>12556</c:v>
                </c:pt>
                <c:pt idx="13">
                  <c:v>4646</c:v>
                </c:pt>
                <c:pt idx="14">
                  <c:v>4322</c:v>
                </c:pt>
                <c:pt idx="15">
                  <c:v>1274</c:v>
                </c:pt>
                <c:pt idx="16">
                  <c:v>34100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6-4EB6-B092-F43557D3EB4B}"/>
            </c:ext>
          </c:extLst>
        </c:ser>
        <c:ser>
          <c:idx val="1"/>
          <c:order val="1"/>
          <c:tx>
            <c:v>계획</c:v>
          </c:tx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'20'!$J$6:$J$22</c:f>
              <c:numCache>
                <c:formatCode>_(* #,##0_);_(* \(#,##0\);_(* "-"_);_(@_)</c:formatCode>
                <c:ptCount val="17"/>
                <c:pt idx="0">
                  <c:v>5099</c:v>
                </c:pt>
                <c:pt idx="1">
                  <c:v>5872</c:v>
                </c:pt>
                <c:pt idx="2">
                  <c:v>4566</c:v>
                </c:pt>
                <c:pt idx="3">
                  <c:v>4807</c:v>
                </c:pt>
                <c:pt idx="4">
                  <c:v>2220</c:v>
                </c:pt>
                <c:pt idx="5">
                  <c:v>3611</c:v>
                </c:pt>
                <c:pt idx="6">
                  <c:v>1335</c:v>
                </c:pt>
                <c:pt idx="7">
                  <c:v>2872</c:v>
                </c:pt>
                <c:pt idx="8">
                  <c:v>6250</c:v>
                </c:pt>
                <c:pt idx="9">
                  <c:v>339</c:v>
                </c:pt>
                <c:pt idx="10">
                  <c:v>4683</c:v>
                </c:pt>
                <c:pt idx="11">
                  <c:v>18660</c:v>
                </c:pt>
                <c:pt idx="12">
                  <c:v>12556</c:v>
                </c:pt>
                <c:pt idx="13">
                  <c:v>4646</c:v>
                </c:pt>
                <c:pt idx="14">
                  <c:v>4322</c:v>
                </c:pt>
                <c:pt idx="15">
                  <c:v>1274</c:v>
                </c:pt>
                <c:pt idx="16">
                  <c:v>34100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6-4EB6-B092-F43557D3E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92%</c:v>
                </c:pt>
                <c:pt idx="3">
                  <c:v>100%</c:v>
                </c:pt>
                <c:pt idx="4">
                  <c:v>0%</c:v>
                </c:pt>
                <c:pt idx="5">
                  <c:v>79%</c:v>
                </c:pt>
                <c:pt idx="6">
                  <c:v>29%</c:v>
                </c:pt>
                <c:pt idx="7">
                  <c:v>63%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100%</c:v>
                </c:pt>
                <c:pt idx="14">
                  <c:v>100%</c:v>
                </c:pt>
                <c:pt idx="15">
                  <c:v>33%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0.91666666666666663</c:v>
                </c:pt>
                <c:pt idx="3">
                  <c:v>1</c:v>
                </c:pt>
                <c:pt idx="4">
                  <c:v>0</c:v>
                </c:pt>
                <c:pt idx="5">
                  <c:v>0.79166666666666663</c:v>
                </c:pt>
                <c:pt idx="6">
                  <c:v>0.29166666666666669</c:v>
                </c:pt>
                <c:pt idx="7">
                  <c:v>0.625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1</c:v>
                </c:pt>
                <c:pt idx="14">
                  <c:v>1</c:v>
                </c:pt>
                <c:pt idx="15">
                  <c:v>0.33333333333333331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E-4AC1-8DB8-533696CCF25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4E-4AC1-8DB8-533696CCF2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'20'!$AE$6:$AE$22</c:f>
              <c:numCache>
                <c:formatCode>0%</c:formatCode>
                <c:ptCount val="17"/>
                <c:pt idx="0">
                  <c:v>0.51470588235294112</c:v>
                </c:pt>
                <c:pt idx="1">
                  <c:v>0.51470588235294112</c:v>
                </c:pt>
                <c:pt idx="2">
                  <c:v>0.51470588235294112</c:v>
                </c:pt>
                <c:pt idx="3">
                  <c:v>0.51470588235294112</c:v>
                </c:pt>
                <c:pt idx="4">
                  <c:v>0.51470588235294112</c:v>
                </c:pt>
                <c:pt idx="5">
                  <c:v>0.51470588235294112</c:v>
                </c:pt>
                <c:pt idx="6">
                  <c:v>0.51470588235294112</c:v>
                </c:pt>
                <c:pt idx="7">
                  <c:v>0.51470588235294112</c:v>
                </c:pt>
                <c:pt idx="8">
                  <c:v>0.51470588235294112</c:v>
                </c:pt>
                <c:pt idx="9">
                  <c:v>0.51470588235294112</c:v>
                </c:pt>
                <c:pt idx="10">
                  <c:v>0.51470588235294112</c:v>
                </c:pt>
                <c:pt idx="11">
                  <c:v>0.51470588235294112</c:v>
                </c:pt>
                <c:pt idx="12">
                  <c:v>0.51470588235294112</c:v>
                </c:pt>
                <c:pt idx="13">
                  <c:v>0.51470588235294112</c:v>
                </c:pt>
                <c:pt idx="14">
                  <c:v>0.51470588235294112</c:v>
                </c:pt>
                <c:pt idx="15">
                  <c:v>0.51470588235294112</c:v>
                </c:pt>
                <c:pt idx="16">
                  <c:v>0.51470588235294112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E-4AC1-8DB8-533696CCF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05A-4F7F-9BC5-46725076D5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5A-4F7F-9BC5-46725076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5A-4F7F-9BC5-46725076D5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5A-4F7F-9BC5-46725076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0">
                  <c:v>3648</c:v>
                </c:pt>
                <c:pt idx="2">
                  <c:v>5258</c:v>
                </c:pt>
                <c:pt idx="3">
                  <c:v>326</c:v>
                </c:pt>
                <c:pt idx="4">
                  <c:v>1648</c:v>
                </c:pt>
                <c:pt idx="6">
                  <c:v>2806</c:v>
                </c:pt>
                <c:pt idx="7">
                  <c:v>5295</c:v>
                </c:pt>
                <c:pt idx="8">
                  <c:v>10334</c:v>
                </c:pt>
                <c:pt idx="12">
                  <c:v>12974</c:v>
                </c:pt>
                <c:pt idx="13">
                  <c:v>350</c:v>
                </c:pt>
                <c:pt idx="14">
                  <c:v>5042</c:v>
                </c:pt>
                <c:pt idx="15">
                  <c:v>2503</c:v>
                </c:pt>
                <c:pt idx="16">
                  <c:v>40944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A-4487-9716-42FED0EE70A2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3648</c:v>
                </c:pt>
                <c:pt idx="1">
                  <c:v>5872</c:v>
                </c:pt>
                <c:pt idx="2">
                  <c:v>5258</c:v>
                </c:pt>
                <c:pt idx="3">
                  <c:v>326</c:v>
                </c:pt>
                <c:pt idx="4">
                  <c:v>1648</c:v>
                </c:pt>
                <c:pt idx="5">
                  <c:v>2220</c:v>
                </c:pt>
                <c:pt idx="6">
                  <c:v>2806</c:v>
                </c:pt>
                <c:pt idx="7">
                  <c:v>5295</c:v>
                </c:pt>
                <c:pt idx="8">
                  <c:v>10334</c:v>
                </c:pt>
                <c:pt idx="9">
                  <c:v>339</c:v>
                </c:pt>
                <c:pt idx="10">
                  <c:v>4683</c:v>
                </c:pt>
                <c:pt idx="11">
                  <c:v>18660</c:v>
                </c:pt>
                <c:pt idx="12">
                  <c:v>12974</c:v>
                </c:pt>
                <c:pt idx="13">
                  <c:v>350</c:v>
                </c:pt>
                <c:pt idx="14">
                  <c:v>5042</c:v>
                </c:pt>
                <c:pt idx="15">
                  <c:v>2503</c:v>
                </c:pt>
                <c:pt idx="16">
                  <c:v>34100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A-4487-9716-42FED0EE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79%</c:v>
                </c:pt>
                <c:pt idx="1">
                  <c:v>0%</c:v>
                </c:pt>
                <c:pt idx="2">
                  <c:v>100%</c:v>
                </c:pt>
                <c:pt idx="3">
                  <c:v>13%</c:v>
                </c:pt>
                <c:pt idx="4">
                  <c:v>38%</c:v>
                </c:pt>
                <c:pt idx="5">
                  <c:v>0%</c:v>
                </c:pt>
                <c:pt idx="6">
                  <c:v>63%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17%</c:v>
                </c:pt>
                <c:pt idx="14">
                  <c:v>100%</c:v>
                </c:pt>
                <c:pt idx="15">
                  <c:v>67%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0.79166666666666663</c:v>
                </c:pt>
                <c:pt idx="1">
                  <c:v>0</c:v>
                </c:pt>
                <c:pt idx="2">
                  <c:v>1</c:v>
                </c:pt>
                <c:pt idx="3">
                  <c:v>0.125</c:v>
                </c:pt>
                <c:pt idx="4">
                  <c:v>0.375</c:v>
                </c:pt>
                <c:pt idx="5">
                  <c:v>0</c:v>
                </c:pt>
                <c:pt idx="6">
                  <c:v>0.625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0.16666666666666666</c:v>
                </c:pt>
                <c:pt idx="14">
                  <c:v>1</c:v>
                </c:pt>
                <c:pt idx="15">
                  <c:v>0.66666666666666663</c:v>
                </c:pt>
                <c:pt idx="16">
                  <c:v>0.50029325513196488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F-43F7-9A05-58B88C7C5C9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3F-43F7-9A05-58B88C7C5C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0.47550744638031167</c:v>
                </c:pt>
                <c:pt idx="1">
                  <c:v>0.47550744638031167</c:v>
                </c:pt>
                <c:pt idx="2">
                  <c:v>0.47550744638031167</c:v>
                </c:pt>
                <c:pt idx="3">
                  <c:v>0.47550744638031167</c:v>
                </c:pt>
                <c:pt idx="4">
                  <c:v>0.47550744638031167</c:v>
                </c:pt>
                <c:pt idx="5">
                  <c:v>0.47550744638031167</c:v>
                </c:pt>
                <c:pt idx="6">
                  <c:v>0.47550744638031167</c:v>
                </c:pt>
                <c:pt idx="7">
                  <c:v>0.47550744638031167</c:v>
                </c:pt>
                <c:pt idx="8">
                  <c:v>0.47550744638031167</c:v>
                </c:pt>
                <c:pt idx="9">
                  <c:v>0.47550744638031167</c:v>
                </c:pt>
                <c:pt idx="10">
                  <c:v>0.47550744638031167</c:v>
                </c:pt>
                <c:pt idx="11">
                  <c:v>0.47550744638031167</c:v>
                </c:pt>
                <c:pt idx="12">
                  <c:v>0.47550744638031167</c:v>
                </c:pt>
                <c:pt idx="13">
                  <c:v>0.47550744638031167</c:v>
                </c:pt>
                <c:pt idx="14">
                  <c:v>0.47550744638031167</c:v>
                </c:pt>
                <c:pt idx="15">
                  <c:v>0.47550744638031167</c:v>
                </c:pt>
                <c:pt idx="16">
                  <c:v>0.47550744638031167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F-43F7-9A05-58B88C7C5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0">
                  <c:v>3648</c:v>
                </c:pt>
                <c:pt idx="2">
                  <c:v>5258</c:v>
                </c:pt>
                <c:pt idx="3">
                  <c:v>326</c:v>
                </c:pt>
                <c:pt idx="4">
                  <c:v>1648</c:v>
                </c:pt>
                <c:pt idx="6">
                  <c:v>2806</c:v>
                </c:pt>
                <c:pt idx="7">
                  <c:v>5295</c:v>
                </c:pt>
                <c:pt idx="8">
                  <c:v>10334</c:v>
                </c:pt>
                <c:pt idx="12">
                  <c:v>12974</c:v>
                </c:pt>
                <c:pt idx="13">
                  <c:v>350</c:v>
                </c:pt>
                <c:pt idx="14">
                  <c:v>5042</c:v>
                </c:pt>
                <c:pt idx="15">
                  <c:v>2503</c:v>
                </c:pt>
                <c:pt idx="16">
                  <c:v>40944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9-4641-9E45-3A79164F6145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3648</c:v>
                </c:pt>
                <c:pt idx="1">
                  <c:v>5872</c:v>
                </c:pt>
                <c:pt idx="2">
                  <c:v>5258</c:v>
                </c:pt>
                <c:pt idx="3">
                  <c:v>326</c:v>
                </c:pt>
                <c:pt idx="4">
                  <c:v>1648</c:v>
                </c:pt>
                <c:pt idx="5">
                  <c:v>2220</c:v>
                </c:pt>
                <c:pt idx="6">
                  <c:v>2806</c:v>
                </c:pt>
                <c:pt idx="7">
                  <c:v>5295</c:v>
                </c:pt>
                <c:pt idx="8">
                  <c:v>10334</c:v>
                </c:pt>
                <c:pt idx="9">
                  <c:v>339</c:v>
                </c:pt>
                <c:pt idx="10">
                  <c:v>4683</c:v>
                </c:pt>
                <c:pt idx="11">
                  <c:v>18660</c:v>
                </c:pt>
                <c:pt idx="12">
                  <c:v>12974</c:v>
                </c:pt>
                <c:pt idx="13">
                  <c:v>350</c:v>
                </c:pt>
                <c:pt idx="14">
                  <c:v>5042</c:v>
                </c:pt>
                <c:pt idx="15">
                  <c:v>2503</c:v>
                </c:pt>
                <c:pt idx="16">
                  <c:v>34100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9-4641-9E45-3A79164F6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79%</c:v>
                </c:pt>
                <c:pt idx="1">
                  <c:v>0%</c:v>
                </c:pt>
                <c:pt idx="2">
                  <c:v>100%</c:v>
                </c:pt>
                <c:pt idx="3">
                  <c:v>13%</c:v>
                </c:pt>
                <c:pt idx="4">
                  <c:v>38%</c:v>
                </c:pt>
                <c:pt idx="5">
                  <c:v>0%</c:v>
                </c:pt>
                <c:pt idx="6">
                  <c:v>63%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17%</c:v>
                </c:pt>
                <c:pt idx="14">
                  <c:v>100%</c:v>
                </c:pt>
                <c:pt idx="15">
                  <c:v>67%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0.79166666666666663</c:v>
                </c:pt>
                <c:pt idx="1">
                  <c:v>0</c:v>
                </c:pt>
                <c:pt idx="2">
                  <c:v>1</c:v>
                </c:pt>
                <c:pt idx="3">
                  <c:v>0.125</c:v>
                </c:pt>
                <c:pt idx="4">
                  <c:v>0.375</c:v>
                </c:pt>
                <c:pt idx="5">
                  <c:v>0</c:v>
                </c:pt>
                <c:pt idx="6">
                  <c:v>0.625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0.16666666666666666</c:v>
                </c:pt>
                <c:pt idx="14">
                  <c:v>1</c:v>
                </c:pt>
                <c:pt idx="15">
                  <c:v>0.66666666666666663</c:v>
                </c:pt>
                <c:pt idx="16">
                  <c:v>0.50029325513196488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E-4A7B-815C-E06F540ACDE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7E-4A7B-815C-E06F540ACD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SP</c:v>
                </c:pt>
                <c:pt idx="6">
                  <c:v>BASE</c:v>
                </c:pt>
                <c:pt idx="7">
                  <c:v>BOTTOM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0.47550744638031167</c:v>
                </c:pt>
                <c:pt idx="1">
                  <c:v>0.47550744638031167</c:v>
                </c:pt>
                <c:pt idx="2">
                  <c:v>0.47550744638031167</c:v>
                </c:pt>
                <c:pt idx="3">
                  <c:v>0.47550744638031167</c:v>
                </c:pt>
                <c:pt idx="4">
                  <c:v>0.47550744638031167</c:v>
                </c:pt>
                <c:pt idx="5">
                  <c:v>0.47550744638031167</c:v>
                </c:pt>
                <c:pt idx="6">
                  <c:v>0.47550744638031167</c:v>
                </c:pt>
                <c:pt idx="7">
                  <c:v>0.47550744638031167</c:v>
                </c:pt>
                <c:pt idx="8">
                  <c:v>0.47550744638031167</c:v>
                </c:pt>
                <c:pt idx="9">
                  <c:v>0.47550744638031167</c:v>
                </c:pt>
                <c:pt idx="10">
                  <c:v>0.47550744638031167</c:v>
                </c:pt>
                <c:pt idx="11">
                  <c:v>0.47550744638031167</c:v>
                </c:pt>
                <c:pt idx="12">
                  <c:v>0.47550744638031167</c:v>
                </c:pt>
                <c:pt idx="13">
                  <c:v>0.47550744638031167</c:v>
                </c:pt>
                <c:pt idx="14">
                  <c:v>0.47550744638031167</c:v>
                </c:pt>
                <c:pt idx="15">
                  <c:v>0.47550744638031167</c:v>
                </c:pt>
                <c:pt idx="16">
                  <c:v>0.47550744638031167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E-4A7B-815C-E06F540A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628-4969-A459-48EF8A06BB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8-4969-A459-48EF8A06B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28-4969-A459-48EF8A06BB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8-4969-A459-48EF8A06B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1950</c:v>
                </c:pt>
                <c:pt idx="2">
                  <c:v>5302</c:v>
                </c:pt>
                <c:pt idx="3">
                  <c:v>4102</c:v>
                </c:pt>
                <c:pt idx="4">
                  <c:v>4872</c:v>
                </c:pt>
                <c:pt idx="5">
                  <c:v>5234</c:v>
                </c:pt>
                <c:pt idx="6">
                  <c:v>4231</c:v>
                </c:pt>
                <c:pt idx="7">
                  <c:v>10336</c:v>
                </c:pt>
                <c:pt idx="10">
                  <c:v>3085</c:v>
                </c:pt>
                <c:pt idx="11">
                  <c:v>16623</c:v>
                </c:pt>
                <c:pt idx="12">
                  <c:v>360</c:v>
                </c:pt>
                <c:pt idx="13">
                  <c:v>2742</c:v>
                </c:pt>
                <c:pt idx="14">
                  <c:v>4146</c:v>
                </c:pt>
                <c:pt idx="15">
                  <c:v>40964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F-4ACB-9668-31AEACBEF32D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1950</c:v>
                </c:pt>
                <c:pt idx="1">
                  <c:v>5872</c:v>
                </c:pt>
                <c:pt idx="2">
                  <c:v>5302</c:v>
                </c:pt>
                <c:pt idx="3">
                  <c:v>4102</c:v>
                </c:pt>
                <c:pt idx="4">
                  <c:v>4872</c:v>
                </c:pt>
                <c:pt idx="5">
                  <c:v>5234</c:v>
                </c:pt>
                <c:pt idx="6">
                  <c:v>4231</c:v>
                </c:pt>
                <c:pt idx="7">
                  <c:v>10336</c:v>
                </c:pt>
                <c:pt idx="8">
                  <c:v>339</c:v>
                </c:pt>
                <c:pt idx="9">
                  <c:v>4683</c:v>
                </c:pt>
                <c:pt idx="10">
                  <c:v>3085</c:v>
                </c:pt>
                <c:pt idx="11">
                  <c:v>16623</c:v>
                </c:pt>
                <c:pt idx="12">
                  <c:v>360</c:v>
                </c:pt>
                <c:pt idx="13">
                  <c:v>2742</c:v>
                </c:pt>
                <c:pt idx="14">
                  <c:v>4146</c:v>
                </c:pt>
                <c:pt idx="15">
                  <c:v>40964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F-4ACB-9668-31AEACBE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54%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42%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100%</c:v>
                </c:pt>
                <c:pt idx="12">
                  <c:v>8%</c:v>
                </c:pt>
                <c:pt idx="13">
                  <c:v>63%</c:v>
                </c:pt>
                <c:pt idx="14">
                  <c:v>92%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0.41666666666666669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1</c:v>
                </c:pt>
                <c:pt idx="12">
                  <c:v>8.3333333333333329E-2</c:v>
                </c:pt>
                <c:pt idx="13">
                  <c:v>0.625</c:v>
                </c:pt>
                <c:pt idx="14">
                  <c:v>0.91666666666666663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C-46AE-B87A-2E6E4F4D3A4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FC-46AE-B87A-2E6E4F4D3A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0.59895833333333326</c:v>
                </c:pt>
                <c:pt idx="1">
                  <c:v>0.59895833333333326</c:v>
                </c:pt>
                <c:pt idx="2">
                  <c:v>0.59895833333333326</c:v>
                </c:pt>
                <c:pt idx="3">
                  <c:v>0.59895833333333326</c:v>
                </c:pt>
                <c:pt idx="4">
                  <c:v>0.59895833333333326</c:v>
                </c:pt>
                <c:pt idx="5">
                  <c:v>0.59895833333333326</c:v>
                </c:pt>
                <c:pt idx="6">
                  <c:v>0.59895833333333326</c:v>
                </c:pt>
                <c:pt idx="7">
                  <c:v>0.59895833333333326</c:v>
                </c:pt>
                <c:pt idx="8">
                  <c:v>0.59895833333333326</c:v>
                </c:pt>
                <c:pt idx="9">
                  <c:v>0.59895833333333326</c:v>
                </c:pt>
                <c:pt idx="10">
                  <c:v>0.59895833333333326</c:v>
                </c:pt>
                <c:pt idx="11">
                  <c:v>0.59895833333333326</c:v>
                </c:pt>
                <c:pt idx="12">
                  <c:v>0.59895833333333326</c:v>
                </c:pt>
                <c:pt idx="13">
                  <c:v>0.59895833333333326</c:v>
                </c:pt>
                <c:pt idx="14">
                  <c:v>0.59895833333333326</c:v>
                </c:pt>
                <c:pt idx="15">
                  <c:v>0.59895833333333326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FC-46AE-B87A-2E6E4F4D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1950</c:v>
                </c:pt>
                <c:pt idx="2">
                  <c:v>5302</c:v>
                </c:pt>
                <c:pt idx="3">
                  <c:v>4102</c:v>
                </c:pt>
                <c:pt idx="4">
                  <c:v>4872</c:v>
                </c:pt>
                <c:pt idx="5">
                  <c:v>5234</c:v>
                </c:pt>
                <c:pt idx="6">
                  <c:v>4231</c:v>
                </c:pt>
                <c:pt idx="7">
                  <c:v>10336</c:v>
                </c:pt>
                <c:pt idx="10">
                  <c:v>3085</c:v>
                </c:pt>
                <c:pt idx="11">
                  <c:v>16623</c:v>
                </c:pt>
                <c:pt idx="12">
                  <c:v>360</c:v>
                </c:pt>
                <c:pt idx="13">
                  <c:v>2742</c:v>
                </c:pt>
                <c:pt idx="14">
                  <c:v>4146</c:v>
                </c:pt>
                <c:pt idx="15">
                  <c:v>40964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6-4C45-8029-BF253B0B0FCD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1950</c:v>
                </c:pt>
                <c:pt idx="1">
                  <c:v>5872</c:v>
                </c:pt>
                <c:pt idx="2">
                  <c:v>5302</c:v>
                </c:pt>
                <c:pt idx="3">
                  <c:v>4102</c:v>
                </c:pt>
                <c:pt idx="4">
                  <c:v>4872</c:v>
                </c:pt>
                <c:pt idx="5">
                  <c:v>5234</c:v>
                </c:pt>
                <c:pt idx="6">
                  <c:v>4231</c:v>
                </c:pt>
                <c:pt idx="7">
                  <c:v>10336</c:v>
                </c:pt>
                <c:pt idx="8">
                  <c:v>339</c:v>
                </c:pt>
                <c:pt idx="9">
                  <c:v>4683</c:v>
                </c:pt>
                <c:pt idx="10">
                  <c:v>3085</c:v>
                </c:pt>
                <c:pt idx="11">
                  <c:v>16623</c:v>
                </c:pt>
                <c:pt idx="12">
                  <c:v>360</c:v>
                </c:pt>
                <c:pt idx="13">
                  <c:v>2742</c:v>
                </c:pt>
                <c:pt idx="14">
                  <c:v>4146</c:v>
                </c:pt>
                <c:pt idx="15">
                  <c:v>40964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6-4C45-8029-BF253B0B0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54%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42%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100%</c:v>
                </c:pt>
                <c:pt idx="12">
                  <c:v>8%</c:v>
                </c:pt>
                <c:pt idx="13">
                  <c:v>63%</c:v>
                </c:pt>
                <c:pt idx="14">
                  <c:v>92%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0.41666666666666669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1</c:v>
                </c:pt>
                <c:pt idx="12">
                  <c:v>8.3333333333333329E-2</c:v>
                </c:pt>
                <c:pt idx="13">
                  <c:v>0.625</c:v>
                </c:pt>
                <c:pt idx="14">
                  <c:v>0.91666666666666663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E-46F7-AE8E-2FACFF23FB9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AE-46F7-AE8E-2FACFF23FB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0.59895833333333326</c:v>
                </c:pt>
                <c:pt idx="1">
                  <c:v>0.59895833333333326</c:v>
                </c:pt>
                <c:pt idx="2">
                  <c:v>0.59895833333333326</c:v>
                </c:pt>
                <c:pt idx="3">
                  <c:v>0.59895833333333326</c:v>
                </c:pt>
                <c:pt idx="4">
                  <c:v>0.59895833333333326</c:v>
                </c:pt>
                <c:pt idx="5">
                  <c:v>0.59895833333333326</c:v>
                </c:pt>
                <c:pt idx="6">
                  <c:v>0.59895833333333326</c:v>
                </c:pt>
                <c:pt idx="7">
                  <c:v>0.59895833333333326</c:v>
                </c:pt>
                <c:pt idx="8">
                  <c:v>0.59895833333333326</c:v>
                </c:pt>
                <c:pt idx="9">
                  <c:v>0.59895833333333326</c:v>
                </c:pt>
                <c:pt idx="10">
                  <c:v>0.59895833333333326</c:v>
                </c:pt>
                <c:pt idx="11">
                  <c:v>0.59895833333333326</c:v>
                </c:pt>
                <c:pt idx="12">
                  <c:v>0.59895833333333326</c:v>
                </c:pt>
                <c:pt idx="13">
                  <c:v>0.59895833333333326</c:v>
                </c:pt>
                <c:pt idx="14">
                  <c:v>0.59895833333333326</c:v>
                </c:pt>
                <c:pt idx="15">
                  <c:v>0.59895833333333326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E-46F7-AE8E-2FACFF23F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E57-4403-B914-3FA2B58F53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7-4403-B914-3FA2B58F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57-4403-B914-3FA2B58F53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57-4403-B914-3FA2B58F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5173</c:v>
                </c:pt>
                <c:pt idx="1">
                  <c:v>4267</c:v>
                </c:pt>
                <c:pt idx="2">
                  <c:v>5279</c:v>
                </c:pt>
                <c:pt idx="3">
                  <c:v>1923</c:v>
                </c:pt>
                <c:pt idx="4">
                  <c:v>8516</c:v>
                </c:pt>
                <c:pt idx="5">
                  <c:v>5319</c:v>
                </c:pt>
                <c:pt idx="6">
                  <c:v>5295</c:v>
                </c:pt>
                <c:pt idx="7">
                  <c:v>10390</c:v>
                </c:pt>
                <c:pt idx="11">
                  <c:v>4905</c:v>
                </c:pt>
                <c:pt idx="12">
                  <c:v>420</c:v>
                </c:pt>
                <c:pt idx="13">
                  <c:v>5050</c:v>
                </c:pt>
                <c:pt idx="14">
                  <c:v>3422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2-49C8-B235-E0E744CB4B0E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5173</c:v>
                </c:pt>
                <c:pt idx="1">
                  <c:v>4267</c:v>
                </c:pt>
                <c:pt idx="2">
                  <c:v>5279</c:v>
                </c:pt>
                <c:pt idx="3">
                  <c:v>1923</c:v>
                </c:pt>
                <c:pt idx="4">
                  <c:v>8516</c:v>
                </c:pt>
                <c:pt idx="5">
                  <c:v>5319</c:v>
                </c:pt>
                <c:pt idx="6">
                  <c:v>5295</c:v>
                </c:pt>
                <c:pt idx="7">
                  <c:v>10390</c:v>
                </c:pt>
                <c:pt idx="8">
                  <c:v>339</c:v>
                </c:pt>
                <c:pt idx="9">
                  <c:v>4683</c:v>
                </c:pt>
                <c:pt idx="10">
                  <c:v>3085</c:v>
                </c:pt>
                <c:pt idx="11">
                  <c:v>4905</c:v>
                </c:pt>
                <c:pt idx="12">
                  <c:v>420</c:v>
                </c:pt>
                <c:pt idx="13">
                  <c:v>5050</c:v>
                </c:pt>
                <c:pt idx="14">
                  <c:v>3422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2-49C8-B235-E0E744CB4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100%</c:v>
                </c:pt>
                <c:pt idx="1">
                  <c:v>88%</c:v>
                </c:pt>
                <c:pt idx="2">
                  <c:v>100%</c:v>
                </c:pt>
                <c:pt idx="3">
                  <c:v>42%</c:v>
                </c:pt>
                <c:pt idx="4">
                  <c:v>75%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17%</c:v>
                </c:pt>
                <c:pt idx="13">
                  <c:v>100%</c:v>
                </c:pt>
                <c:pt idx="14">
                  <c:v>79%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1</c:v>
                </c:pt>
                <c:pt idx="1">
                  <c:v>0.875</c:v>
                </c:pt>
                <c:pt idx="2">
                  <c:v>1</c:v>
                </c:pt>
                <c:pt idx="3">
                  <c:v>0.41666666666666669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F-4AC8-9FFA-DF62FCC587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3F-4AC8-9FFA-DF62FCC587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0.6171875</c:v>
                </c:pt>
                <c:pt idx="1">
                  <c:v>0.6171875</c:v>
                </c:pt>
                <c:pt idx="2">
                  <c:v>0.6171875</c:v>
                </c:pt>
                <c:pt idx="3">
                  <c:v>0.6171875</c:v>
                </c:pt>
                <c:pt idx="4">
                  <c:v>0.6171875</c:v>
                </c:pt>
                <c:pt idx="5">
                  <c:v>0.6171875</c:v>
                </c:pt>
                <c:pt idx="6">
                  <c:v>0.6171875</c:v>
                </c:pt>
                <c:pt idx="7">
                  <c:v>0.6171875</c:v>
                </c:pt>
                <c:pt idx="8">
                  <c:v>0.6171875</c:v>
                </c:pt>
                <c:pt idx="9">
                  <c:v>0.6171875</c:v>
                </c:pt>
                <c:pt idx="10">
                  <c:v>0.6171875</c:v>
                </c:pt>
                <c:pt idx="11">
                  <c:v>0.6171875</c:v>
                </c:pt>
                <c:pt idx="12">
                  <c:v>0.6171875</c:v>
                </c:pt>
                <c:pt idx="13">
                  <c:v>0.6171875</c:v>
                </c:pt>
                <c:pt idx="14">
                  <c:v>0.6171875</c:v>
                </c:pt>
                <c:pt idx="15">
                  <c:v>0.6171875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3F-4AC8-9FFA-DF62FCC58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5173</c:v>
                </c:pt>
                <c:pt idx="1">
                  <c:v>4267</c:v>
                </c:pt>
                <c:pt idx="2">
                  <c:v>5279</c:v>
                </c:pt>
                <c:pt idx="3">
                  <c:v>1923</c:v>
                </c:pt>
                <c:pt idx="4">
                  <c:v>8516</c:v>
                </c:pt>
                <c:pt idx="5">
                  <c:v>5319</c:v>
                </c:pt>
                <c:pt idx="6">
                  <c:v>5295</c:v>
                </c:pt>
                <c:pt idx="7">
                  <c:v>10390</c:v>
                </c:pt>
                <c:pt idx="11">
                  <c:v>4905</c:v>
                </c:pt>
                <c:pt idx="12">
                  <c:v>420</c:v>
                </c:pt>
                <c:pt idx="13">
                  <c:v>5050</c:v>
                </c:pt>
                <c:pt idx="14">
                  <c:v>3422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C-41EE-98A1-DB746CE251C0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5173</c:v>
                </c:pt>
                <c:pt idx="1">
                  <c:v>4267</c:v>
                </c:pt>
                <c:pt idx="2">
                  <c:v>5279</c:v>
                </c:pt>
                <c:pt idx="3">
                  <c:v>1923</c:v>
                </c:pt>
                <c:pt idx="4">
                  <c:v>8516</c:v>
                </c:pt>
                <c:pt idx="5">
                  <c:v>5319</c:v>
                </c:pt>
                <c:pt idx="6">
                  <c:v>5295</c:v>
                </c:pt>
                <c:pt idx="7">
                  <c:v>10390</c:v>
                </c:pt>
                <c:pt idx="8">
                  <c:v>339</c:v>
                </c:pt>
                <c:pt idx="9">
                  <c:v>4683</c:v>
                </c:pt>
                <c:pt idx="10">
                  <c:v>3085</c:v>
                </c:pt>
                <c:pt idx="11">
                  <c:v>4905</c:v>
                </c:pt>
                <c:pt idx="12">
                  <c:v>420</c:v>
                </c:pt>
                <c:pt idx="13">
                  <c:v>5050</c:v>
                </c:pt>
                <c:pt idx="14">
                  <c:v>3422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C-41EE-98A1-DB746CE25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100%</c:v>
                </c:pt>
                <c:pt idx="1">
                  <c:v>88%</c:v>
                </c:pt>
                <c:pt idx="2">
                  <c:v>100%</c:v>
                </c:pt>
                <c:pt idx="3">
                  <c:v>42%</c:v>
                </c:pt>
                <c:pt idx="4">
                  <c:v>75%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17%</c:v>
                </c:pt>
                <c:pt idx="13">
                  <c:v>100%</c:v>
                </c:pt>
                <c:pt idx="14">
                  <c:v>79%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1</c:v>
                </c:pt>
                <c:pt idx="1">
                  <c:v>0.875</c:v>
                </c:pt>
                <c:pt idx="2">
                  <c:v>1</c:v>
                </c:pt>
                <c:pt idx="3">
                  <c:v>0.41666666666666669</c:v>
                </c:pt>
                <c:pt idx="4">
                  <c:v>0.75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9-4A85-9473-78C66029DB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59-4A85-9473-78C66029DB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PAD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0.6171875</c:v>
                </c:pt>
                <c:pt idx="1">
                  <c:v>0.6171875</c:v>
                </c:pt>
                <c:pt idx="2">
                  <c:v>0.6171875</c:v>
                </c:pt>
                <c:pt idx="3">
                  <c:v>0.6171875</c:v>
                </c:pt>
                <c:pt idx="4">
                  <c:v>0.6171875</c:v>
                </c:pt>
                <c:pt idx="5">
                  <c:v>0.6171875</c:v>
                </c:pt>
                <c:pt idx="6">
                  <c:v>0.6171875</c:v>
                </c:pt>
                <c:pt idx="7">
                  <c:v>0.6171875</c:v>
                </c:pt>
                <c:pt idx="8">
                  <c:v>0.6171875</c:v>
                </c:pt>
                <c:pt idx="9">
                  <c:v>0.6171875</c:v>
                </c:pt>
                <c:pt idx="10">
                  <c:v>0.6171875</c:v>
                </c:pt>
                <c:pt idx="11">
                  <c:v>0.6171875</c:v>
                </c:pt>
                <c:pt idx="12">
                  <c:v>0.6171875</c:v>
                </c:pt>
                <c:pt idx="13">
                  <c:v>0.6171875</c:v>
                </c:pt>
                <c:pt idx="14">
                  <c:v>0.6171875</c:v>
                </c:pt>
                <c:pt idx="15">
                  <c:v>0.6171875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9-4A85-9473-78C66029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822-4E32-B7B8-5BD6FCF3AC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2-4E32-B7B8-5BD6FCF3A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22-4E32-B7B8-5BD6FCF3AC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22-4E32-B7B8-5BD6FCF3A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5222</c:v>
                </c:pt>
                <c:pt idx="2">
                  <c:v>5324</c:v>
                </c:pt>
                <c:pt idx="3">
                  <c:v>3914</c:v>
                </c:pt>
                <c:pt idx="4">
                  <c:v>5126</c:v>
                </c:pt>
                <c:pt idx="5">
                  <c:v>5378</c:v>
                </c:pt>
                <c:pt idx="6">
                  <c:v>5295</c:v>
                </c:pt>
                <c:pt idx="7">
                  <c:v>7148</c:v>
                </c:pt>
                <c:pt idx="10">
                  <c:v>1869</c:v>
                </c:pt>
                <c:pt idx="12">
                  <c:v>4610</c:v>
                </c:pt>
                <c:pt idx="13">
                  <c:v>5068</c:v>
                </c:pt>
                <c:pt idx="14">
                  <c:v>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7-41C3-BCAB-9A8C406C30A9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5222</c:v>
                </c:pt>
                <c:pt idx="1">
                  <c:v>4267</c:v>
                </c:pt>
                <c:pt idx="2">
                  <c:v>5324</c:v>
                </c:pt>
                <c:pt idx="3">
                  <c:v>3914</c:v>
                </c:pt>
                <c:pt idx="4">
                  <c:v>5126</c:v>
                </c:pt>
                <c:pt idx="5">
                  <c:v>5378</c:v>
                </c:pt>
                <c:pt idx="6">
                  <c:v>5295</c:v>
                </c:pt>
                <c:pt idx="7">
                  <c:v>7148</c:v>
                </c:pt>
                <c:pt idx="8">
                  <c:v>339</c:v>
                </c:pt>
                <c:pt idx="9">
                  <c:v>4683</c:v>
                </c:pt>
                <c:pt idx="10">
                  <c:v>1869</c:v>
                </c:pt>
                <c:pt idx="11">
                  <c:v>4905</c:v>
                </c:pt>
                <c:pt idx="12">
                  <c:v>4610</c:v>
                </c:pt>
                <c:pt idx="13">
                  <c:v>5068</c:v>
                </c:pt>
                <c:pt idx="14">
                  <c:v>2211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7-41C3-BCAB-9A8C406C3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46%</c:v>
                </c:pt>
                <c:pt idx="5">
                  <c:v>100%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0.45833333333333331</c:v>
                </c:pt>
                <c:pt idx="5">
                  <c:v>1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2-46A2-B92B-78DED77550A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72-46A2-B92B-78DED77550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0.55468750000000011</c:v>
                </c:pt>
                <c:pt idx="1">
                  <c:v>0.55468750000000011</c:v>
                </c:pt>
                <c:pt idx="2">
                  <c:v>0.55468750000000011</c:v>
                </c:pt>
                <c:pt idx="3">
                  <c:v>0.55468750000000011</c:v>
                </c:pt>
                <c:pt idx="4">
                  <c:v>0.55468750000000011</c:v>
                </c:pt>
                <c:pt idx="5">
                  <c:v>0.55468750000000011</c:v>
                </c:pt>
                <c:pt idx="6">
                  <c:v>0.55468750000000011</c:v>
                </c:pt>
                <c:pt idx="7">
                  <c:v>0.55468750000000011</c:v>
                </c:pt>
                <c:pt idx="8">
                  <c:v>0.55468750000000011</c:v>
                </c:pt>
                <c:pt idx="9">
                  <c:v>0.55468750000000011</c:v>
                </c:pt>
                <c:pt idx="10">
                  <c:v>0.55468750000000011</c:v>
                </c:pt>
                <c:pt idx="11">
                  <c:v>0.55468750000000011</c:v>
                </c:pt>
                <c:pt idx="12">
                  <c:v>0.55468750000000011</c:v>
                </c:pt>
                <c:pt idx="13">
                  <c:v>0.55468750000000011</c:v>
                </c:pt>
                <c:pt idx="14">
                  <c:v>0.55468750000000011</c:v>
                </c:pt>
                <c:pt idx="15">
                  <c:v>0.55468750000000011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72-46A2-B92B-78DED7755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5222</c:v>
                </c:pt>
                <c:pt idx="2">
                  <c:v>5324</c:v>
                </c:pt>
                <c:pt idx="3">
                  <c:v>3914</c:v>
                </c:pt>
                <c:pt idx="4">
                  <c:v>5126</c:v>
                </c:pt>
                <c:pt idx="5">
                  <c:v>5378</c:v>
                </c:pt>
                <c:pt idx="6">
                  <c:v>5295</c:v>
                </c:pt>
                <c:pt idx="7">
                  <c:v>7148</c:v>
                </c:pt>
                <c:pt idx="10">
                  <c:v>1869</c:v>
                </c:pt>
                <c:pt idx="12">
                  <c:v>4610</c:v>
                </c:pt>
                <c:pt idx="13">
                  <c:v>5068</c:v>
                </c:pt>
                <c:pt idx="14">
                  <c:v>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2D-442D-9442-17847AFA2462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5222</c:v>
                </c:pt>
                <c:pt idx="1">
                  <c:v>4267</c:v>
                </c:pt>
                <c:pt idx="2">
                  <c:v>5324</c:v>
                </c:pt>
                <c:pt idx="3">
                  <c:v>3914</c:v>
                </c:pt>
                <c:pt idx="4">
                  <c:v>5126</c:v>
                </c:pt>
                <c:pt idx="5">
                  <c:v>5378</c:v>
                </c:pt>
                <c:pt idx="6">
                  <c:v>5295</c:v>
                </c:pt>
                <c:pt idx="7">
                  <c:v>7148</c:v>
                </c:pt>
                <c:pt idx="8">
                  <c:v>339</c:v>
                </c:pt>
                <c:pt idx="9">
                  <c:v>4683</c:v>
                </c:pt>
                <c:pt idx="10">
                  <c:v>1869</c:v>
                </c:pt>
                <c:pt idx="11">
                  <c:v>4905</c:v>
                </c:pt>
                <c:pt idx="12">
                  <c:v>4610</c:v>
                </c:pt>
                <c:pt idx="13">
                  <c:v>5068</c:v>
                </c:pt>
                <c:pt idx="14">
                  <c:v>2211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2D-442D-9442-17847AFA2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46%</c:v>
                </c:pt>
                <c:pt idx="5">
                  <c:v>100%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0.45833333333333331</c:v>
                </c:pt>
                <c:pt idx="5">
                  <c:v>1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8-40CF-891B-40C79F5AC8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78-40CF-891B-40C79F5AC8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SPACER</c:v>
                </c:pt>
                <c:pt idx="11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0.55468750000000011</c:v>
                </c:pt>
                <c:pt idx="1">
                  <c:v>0.55468750000000011</c:v>
                </c:pt>
                <c:pt idx="2">
                  <c:v>0.55468750000000011</c:v>
                </c:pt>
                <c:pt idx="3">
                  <c:v>0.55468750000000011</c:v>
                </c:pt>
                <c:pt idx="4">
                  <c:v>0.55468750000000011</c:v>
                </c:pt>
                <c:pt idx="5">
                  <c:v>0.55468750000000011</c:v>
                </c:pt>
                <c:pt idx="6">
                  <c:v>0.55468750000000011</c:v>
                </c:pt>
                <c:pt idx="7">
                  <c:v>0.55468750000000011</c:v>
                </c:pt>
                <c:pt idx="8">
                  <c:v>0.55468750000000011</c:v>
                </c:pt>
                <c:pt idx="9">
                  <c:v>0.55468750000000011</c:v>
                </c:pt>
                <c:pt idx="10">
                  <c:v>0.55468750000000011</c:v>
                </c:pt>
                <c:pt idx="11">
                  <c:v>0.55468750000000011</c:v>
                </c:pt>
                <c:pt idx="12">
                  <c:v>0.55468750000000011</c:v>
                </c:pt>
                <c:pt idx="13">
                  <c:v>0.55468750000000011</c:v>
                </c:pt>
                <c:pt idx="14">
                  <c:v>0.55468750000000011</c:v>
                </c:pt>
                <c:pt idx="15">
                  <c:v>0.55468750000000011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8-40CF-891B-40C79F5AC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DB6-477F-B6BB-DBB32A33B8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6-477F-B6BB-DBB32A33B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B6-477F-B6BB-DBB32A33B8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B6-477F-B6BB-DBB32A33B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3871</c:v>
                </c:pt>
                <c:pt idx="2">
                  <c:v>5264</c:v>
                </c:pt>
                <c:pt idx="3">
                  <c:v>3372</c:v>
                </c:pt>
                <c:pt idx="4">
                  <c:v>5600</c:v>
                </c:pt>
                <c:pt idx="5">
                  <c:v>5411</c:v>
                </c:pt>
                <c:pt idx="6">
                  <c:v>5281</c:v>
                </c:pt>
                <c:pt idx="7">
                  <c:v>8084</c:v>
                </c:pt>
                <c:pt idx="10">
                  <c:v>1680</c:v>
                </c:pt>
                <c:pt idx="11">
                  <c:v>4138</c:v>
                </c:pt>
                <c:pt idx="12">
                  <c:v>5739</c:v>
                </c:pt>
                <c:pt idx="13">
                  <c:v>4805</c:v>
                </c:pt>
                <c:pt idx="14">
                  <c:v>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A-44C0-B1FD-3F075F9E3160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3871</c:v>
                </c:pt>
                <c:pt idx="1">
                  <c:v>4267</c:v>
                </c:pt>
                <c:pt idx="2">
                  <c:v>5264</c:v>
                </c:pt>
                <c:pt idx="3">
                  <c:v>3372</c:v>
                </c:pt>
                <c:pt idx="4">
                  <c:v>5600</c:v>
                </c:pt>
                <c:pt idx="5">
                  <c:v>5411</c:v>
                </c:pt>
                <c:pt idx="6">
                  <c:v>5281</c:v>
                </c:pt>
                <c:pt idx="7">
                  <c:v>8084</c:v>
                </c:pt>
                <c:pt idx="8">
                  <c:v>339</c:v>
                </c:pt>
                <c:pt idx="9">
                  <c:v>4683</c:v>
                </c:pt>
                <c:pt idx="10">
                  <c:v>1680</c:v>
                </c:pt>
                <c:pt idx="11">
                  <c:v>4138</c:v>
                </c:pt>
                <c:pt idx="12">
                  <c:v>5739</c:v>
                </c:pt>
                <c:pt idx="13">
                  <c:v>4805</c:v>
                </c:pt>
                <c:pt idx="14">
                  <c:v>1805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A-44C0-B1FD-3F075F9E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88%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50%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46%</c:v>
                </c:pt>
                <c:pt idx="12">
                  <c:v>100%</c:v>
                </c:pt>
                <c:pt idx="13">
                  <c:v>100%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0.875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0.45833333333333331</c:v>
                </c:pt>
                <c:pt idx="12">
                  <c:v>1</c:v>
                </c:pt>
                <c:pt idx="13">
                  <c:v>1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9-4CA7-AB7E-D4D0D22D8DE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A9-4CA7-AB7E-D4D0D22D8DE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0.58072916666666663</c:v>
                </c:pt>
                <c:pt idx="1">
                  <c:v>0.58072916666666663</c:v>
                </c:pt>
                <c:pt idx="2">
                  <c:v>0.58072916666666663</c:v>
                </c:pt>
                <c:pt idx="3">
                  <c:v>0.58072916666666663</c:v>
                </c:pt>
                <c:pt idx="4">
                  <c:v>0.58072916666666663</c:v>
                </c:pt>
                <c:pt idx="5">
                  <c:v>0.58072916666666663</c:v>
                </c:pt>
                <c:pt idx="6">
                  <c:v>0.58072916666666663</c:v>
                </c:pt>
                <c:pt idx="7">
                  <c:v>0.58072916666666663</c:v>
                </c:pt>
                <c:pt idx="8">
                  <c:v>0.58072916666666663</c:v>
                </c:pt>
                <c:pt idx="9">
                  <c:v>0.58072916666666663</c:v>
                </c:pt>
                <c:pt idx="10">
                  <c:v>0.58072916666666663</c:v>
                </c:pt>
                <c:pt idx="11">
                  <c:v>0.58072916666666663</c:v>
                </c:pt>
                <c:pt idx="12">
                  <c:v>0.58072916666666663</c:v>
                </c:pt>
                <c:pt idx="13">
                  <c:v>0.58072916666666663</c:v>
                </c:pt>
                <c:pt idx="14">
                  <c:v>0.58072916666666663</c:v>
                </c:pt>
                <c:pt idx="15">
                  <c:v>0.58072916666666663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9-4CA7-AB7E-D4D0D22D8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3871</c:v>
                </c:pt>
                <c:pt idx="2">
                  <c:v>5264</c:v>
                </c:pt>
                <c:pt idx="3">
                  <c:v>3372</c:v>
                </c:pt>
                <c:pt idx="4">
                  <c:v>5600</c:v>
                </c:pt>
                <c:pt idx="5">
                  <c:v>5411</c:v>
                </c:pt>
                <c:pt idx="6">
                  <c:v>5281</c:v>
                </c:pt>
                <c:pt idx="7">
                  <c:v>8084</c:v>
                </c:pt>
                <c:pt idx="10">
                  <c:v>1680</c:v>
                </c:pt>
                <c:pt idx="11">
                  <c:v>4138</c:v>
                </c:pt>
                <c:pt idx="12">
                  <c:v>5739</c:v>
                </c:pt>
                <c:pt idx="13">
                  <c:v>4805</c:v>
                </c:pt>
                <c:pt idx="14">
                  <c:v>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2-4A12-8EDE-A783A3C88CA4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3871</c:v>
                </c:pt>
                <c:pt idx="1">
                  <c:v>4267</c:v>
                </c:pt>
                <c:pt idx="2">
                  <c:v>5264</c:v>
                </c:pt>
                <c:pt idx="3">
                  <c:v>3372</c:v>
                </c:pt>
                <c:pt idx="4">
                  <c:v>5600</c:v>
                </c:pt>
                <c:pt idx="5">
                  <c:v>5411</c:v>
                </c:pt>
                <c:pt idx="6">
                  <c:v>5281</c:v>
                </c:pt>
                <c:pt idx="7">
                  <c:v>8084</c:v>
                </c:pt>
                <c:pt idx="8">
                  <c:v>339</c:v>
                </c:pt>
                <c:pt idx="9">
                  <c:v>4683</c:v>
                </c:pt>
                <c:pt idx="10">
                  <c:v>1680</c:v>
                </c:pt>
                <c:pt idx="11">
                  <c:v>4138</c:v>
                </c:pt>
                <c:pt idx="12">
                  <c:v>5739</c:v>
                </c:pt>
                <c:pt idx="13">
                  <c:v>4805</c:v>
                </c:pt>
                <c:pt idx="14">
                  <c:v>1805</c:v>
                </c:pt>
                <c:pt idx="15">
                  <c:v>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2-4A12-8EDE-A783A3C88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88%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50%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46%</c:v>
                </c:pt>
                <c:pt idx="12">
                  <c:v>100%</c:v>
                </c:pt>
                <c:pt idx="13">
                  <c:v>100%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0.875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0.45833333333333331</c:v>
                </c:pt>
                <c:pt idx="12">
                  <c:v>1</c:v>
                </c:pt>
                <c:pt idx="13">
                  <c:v>1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8-4D10-A485-FED47173508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48-4D10-A485-FED47173508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0.58072916666666663</c:v>
                </c:pt>
                <c:pt idx="1">
                  <c:v>0.58072916666666663</c:v>
                </c:pt>
                <c:pt idx="2">
                  <c:v>0.58072916666666663</c:v>
                </c:pt>
                <c:pt idx="3">
                  <c:v>0.58072916666666663</c:v>
                </c:pt>
                <c:pt idx="4">
                  <c:v>0.58072916666666663</c:v>
                </c:pt>
                <c:pt idx="5">
                  <c:v>0.58072916666666663</c:v>
                </c:pt>
                <c:pt idx="6">
                  <c:v>0.58072916666666663</c:v>
                </c:pt>
                <c:pt idx="7">
                  <c:v>0.58072916666666663</c:v>
                </c:pt>
                <c:pt idx="8">
                  <c:v>0.58072916666666663</c:v>
                </c:pt>
                <c:pt idx="9">
                  <c:v>0.58072916666666663</c:v>
                </c:pt>
                <c:pt idx="10">
                  <c:v>0.58072916666666663</c:v>
                </c:pt>
                <c:pt idx="11">
                  <c:v>0.58072916666666663</c:v>
                </c:pt>
                <c:pt idx="12">
                  <c:v>0.58072916666666663</c:v>
                </c:pt>
                <c:pt idx="13">
                  <c:v>0.58072916666666663</c:v>
                </c:pt>
                <c:pt idx="14">
                  <c:v>0.58072916666666663</c:v>
                </c:pt>
                <c:pt idx="15">
                  <c:v>0.58072916666666663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8-4D10-A485-FED47173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0D-43E9-8390-E63D4EC873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D-43E9-8390-E63D4EC87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0D-43E9-8390-E63D4EC873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0D-43E9-8390-E63D4EC87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0">
                  <c:v>2279</c:v>
                </c:pt>
                <c:pt idx="2">
                  <c:v>2359</c:v>
                </c:pt>
                <c:pt idx="5">
                  <c:v>789</c:v>
                </c:pt>
                <c:pt idx="6">
                  <c:v>840</c:v>
                </c:pt>
                <c:pt idx="7">
                  <c:v>1120</c:v>
                </c:pt>
                <c:pt idx="10">
                  <c:v>1842</c:v>
                </c:pt>
                <c:pt idx="12">
                  <c:v>2510</c:v>
                </c:pt>
                <c:pt idx="13">
                  <c:v>2245</c:v>
                </c:pt>
                <c:pt idx="14">
                  <c:v>550</c:v>
                </c:pt>
                <c:pt idx="15">
                  <c:v>23862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5-40F0-A82C-02D02E84651F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2279</c:v>
                </c:pt>
                <c:pt idx="1">
                  <c:v>4267</c:v>
                </c:pt>
                <c:pt idx="2">
                  <c:v>2359</c:v>
                </c:pt>
                <c:pt idx="3">
                  <c:v>3372</c:v>
                </c:pt>
                <c:pt idx="4">
                  <c:v>5600</c:v>
                </c:pt>
                <c:pt idx="5">
                  <c:v>789</c:v>
                </c:pt>
                <c:pt idx="6">
                  <c:v>840</c:v>
                </c:pt>
                <c:pt idx="7">
                  <c:v>1120</c:v>
                </c:pt>
                <c:pt idx="8">
                  <c:v>339</c:v>
                </c:pt>
                <c:pt idx="9">
                  <c:v>4683</c:v>
                </c:pt>
                <c:pt idx="10">
                  <c:v>1842</c:v>
                </c:pt>
                <c:pt idx="11">
                  <c:v>4138</c:v>
                </c:pt>
                <c:pt idx="12">
                  <c:v>2510</c:v>
                </c:pt>
                <c:pt idx="13">
                  <c:v>2245</c:v>
                </c:pt>
                <c:pt idx="14">
                  <c:v>550</c:v>
                </c:pt>
                <c:pt idx="15">
                  <c:v>23862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5-40F0-A82C-02D02E846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42%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0%</c:v>
                </c:pt>
                <c:pt idx="5">
                  <c:v>21%</c:v>
                </c:pt>
                <c:pt idx="6">
                  <c:v>21%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0%</c:v>
                </c:pt>
                <c:pt idx="12">
                  <c:v>42%</c:v>
                </c:pt>
                <c:pt idx="13">
                  <c:v>42%</c:v>
                </c:pt>
                <c:pt idx="14">
                  <c:v>13%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0</c:v>
                </c:pt>
                <c:pt idx="5">
                  <c:v>0.20833333333333334</c:v>
                </c:pt>
                <c:pt idx="6">
                  <c:v>0.20833333333333334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0.125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C-43D5-8BE2-936FC15CC5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4C-43D5-8BE2-936FC15CC5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0.20312499999999997</c:v>
                </c:pt>
                <c:pt idx="1">
                  <c:v>0.20312499999999997</c:v>
                </c:pt>
                <c:pt idx="2">
                  <c:v>0.20312499999999997</c:v>
                </c:pt>
                <c:pt idx="3">
                  <c:v>0.20312499999999997</c:v>
                </c:pt>
                <c:pt idx="4">
                  <c:v>0.20312499999999997</c:v>
                </c:pt>
                <c:pt idx="5">
                  <c:v>0.20312499999999997</c:v>
                </c:pt>
                <c:pt idx="6">
                  <c:v>0.20312499999999997</c:v>
                </c:pt>
                <c:pt idx="7">
                  <c:v>0.20312499999999997</c:v>
                </c:pt>
                <c:pt idx="8">
                  <c:v>0.20312499999999997</c:v>
                </c:pt>
                <c:pt idx="9">
                  <c:v>0.20312499999999997</c:v>
                </c:pt>
                <c:pt idx="10">
                  <c:v>0.20312499999999997</c:v>
                </c:pt>
                <c:pt idx="11">
                  <c:v>0.20312499999999997</c:v>
                </c:pt>
                <c:pt idx="12">
                  <c:v>0.20312499999999997</c:v>
                </c:pt>
                <c:pt idx="13">
                  <c:v>0.20312499999999997</c:v>
                </c:pt>
                <c:pt idx="14">
                  <c:v>0.20312499999999997</c:v>
                </c:pt>
                <c:pt idx="15">
                  <c:v>0.20312499999999997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C-43D5-8BE2-936FC15CC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0">
                  <c:v>2279</c:v>
                </c:pt>
                <c:pt idx="2">
                  <c:v>2359</c:v>
                </c:pt>
                <c:pt idx="5">
                  <c:v>789</c:v>
                </c:pt>
                <c:pt idx="6">
                  <c:v>840</c:v>
                </c:pt>
                <c:pt idx="7">
                  <c:v>1120</c:v>
                </c:pt>
                <c:pt idx="10">
                  <c:v>1842</c:v>
                </c:pt>
                <c:pt idx="12">
                  <c:v>2510</c:v>
                </c:pt>
                <c:pt idx="13">
                  <c:v>2245</c:v>
                </c:pt>
                <c:pt idx="14">
                  <c:v>550</c:v>
                </c:pt>
                <c:pt idx="15">
                  <c:v>23862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9-4070-BF3D-46736F35253F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2279</c:v>
                </c:pt>
                <c:pt idx="1">
                  <c:v>4267</c:v>
                </c:pt>
                <c:pt idx="2">
                  <c:v>2359</c:v>
                </c:pt>
                <c:pt idx="3">
                  <c:v>3372</c:v>
                </c:pt>
                <c:pt idx="4">
                  <c:v>5600</c:v>
                </c:pt>
                <c:pt idx="5">
                  <c:v>789</c:v>
                </c:pt>
                <c:pt idx="6">
                  <c:v>840</c:v>
                </c:pt>
                <c:pt idx="7">
                  <c:v>1120</c:v>
                </c:pt>
                <c:pt idx="8">
                  <c:v>339</c:v>
                </c:pt>
                <c:pt idx="9">
                  <c:v>4683</c:v>
                </c:pt>
                <c:pt idx="10">
                  <c:v>1842</c:v>
                </c:pt>
                <c:pt idx="11">
                  <c:v>4138</c:v>
                </c:pt>
                <c:pt idx="12">
                  <c:v>2510</c:v>
                </c:pt>
                <c:pt idx="13">
                  <c:v>2245</c:v>
                </c:pt>
                <c:pt idx="14">
                  <c:v>550</c:v>
                </c:pt>
                <c:pt idx="15">
                  <c:v>23862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9-4070-BF3D-46736F352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42%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0%</c:v>
                </c:pt>
                <c:pt idx="5">
                  <c:v>21%</c:v>
                </c:pt>
                <c:pt idx="6">
                  <c:v>21%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0%</c:v>
                </c:pt>
                <c:pt idx="12">
                  <c:v>42%</c:v>
                </c:pt>
                <c:pt idx="13">
                  <c:v>42%</c:v>
                </c:pt>
                <c:pt idx="14">
                  <c:v>13%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0</c:v>
                </c:pt>
                <c:pt idx="5">
                  <c:v>0.20833333333333334</c:v>
                </c:pt>
                <c:pt idx="6">
                  <c:v>0.20833333333333334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0.125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6-4057-AC65-233F692EED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D6-4057-AC65-233F692EED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0.20312499999999997</c:v>
                </c:pt>
                <c:pt idx="1">
                  <c:v>0.20312499999999997</c:v>
                </c:pt>
                <c:pt idx="2">
                  <c:v>0.20312499999999997</c:v>
                </c:pt>
                <c:pt idx="3">
                  <c:v>0.20312499999999997</c:v>
                </c:pt>
                <c:pt idx="4">
                  <c:v>0.20312499999999997</c:v>
                </c:pt>
                <c:pt idx="5">
                  <c:v>0.20312499999999997</c:v>
                </c:pt>
                <c:pt idx="6">
                  <c:v>0.20312499999999997</c:v>
                </c:pt>
                <c:pt idx="7">
                  <c:v>0.20312499999999997</c:v>
                </c:pt>
                <c:pt idx="8">
                  <c:v>0.20312499999999997</c:v>
                </c:pt>
                <c:pt idx="9">
                  <c:v>0.20312499999999997</c:v>
                </c:pt>
                <c:pt idx="10">
                  <c:v>0.20312499999999997</c:v>
                </c:pt>
                <c:pt idx="11">
                  <c:v>0.20312499999999997</c:v>
                </c:pt>
                <c:pt idx="12">
                  <c:v>0.20312499999999997</c:v>
                </c:pt>
                <c:pt idx="13">
                  <c:v>0.20312499999999997</c:v>
                </c:pt>
                <c:pt idx="14">
                  <c:v>0.20312499999999997</c:v>
                </c:pt>
                <c:pt idx="15">
                  <c:v>0.20312499999999997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6-4057-AC65-233F692EE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BF3-4F49-93C4-495850E883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3-4F49-93C4-495850E88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F3-4F49-93C4-495850E883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F3-4F49-93C4-495850E88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0">
                  <c:v>3624</c:v>
                </c:pt>
                <c:pt idx="2">
                  <c:v>4584</c:v>
                </c:pt>
                <c:pt idx="3">
                  <c:v>5279</c:v>
                </c:pt>
                <c:pt idx="5">
                  <c:v>4935</c:v>
                </c:pt>
                <c:pt idx="6">
                  <c:v>3474</c:v>
                </c:pt>
                <c:pt idx="7">
                  <c:v>1525</c:v>
                </c:pt>
                <c:pt idx="8">
                  <c:v>4688</c:v>
                </c:pt>
                <c:pt idx="10">
                  <c:v>4960</c:v>
                </c:pt>
                <c:pt idx="11">
                  <c:v>4677</c:v>
                </c:pt>
                <c:pt idx="13">
                  <c:v>3290</c:v>
                </c:pt>
                <c:pt idx="14">
                  <c:v>4856</c:v>
                </c:pt>
                <c:pt idx="15">
                  <c:v>1849</c:v>
                </c:pt>
                <c:pt idx="16">
                  <c:v>26907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9-4ABF-AB22-F554E7B2A733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3624</c:v>
                </c:pt>
                <c:pt idx="1">
                  <c:v>4267</c:v>
                </c:pt>
                <c:pt idx="2">
                  <c:v>4584</c:v>
                </c:pt>
                <c:pt idx="3">
                  <c:v>5279</c:v>
                </c:pt>
                <c:pt idx="4">
                  <c:v>5600</c:v>
                </c:pt>
                <c:pt idx="5">
                  <c:v>4935</c:v>
                </c:pt>
                <c:pt idx="6">
                  <c:v>3474</c:v>
                </c:pt>
                <c:pt idx="7">
                  <c:v>1525</c:v>
                </c:pt>
                <c:pt idx="8">
                  <c:v>4688</c:v>
                </c:pt>
                <c:pt idx="9">
                  <c:v>339</c:v>
                </c:pt>
                <c:pt idx="10">
                  <c:v>4960</c:v>
                </c:pt>
                <c:pt idx="11">
                  <c:v>4677</c:v>
                </c:pt>
                <c:pt idx="12">
                  <c:v>4138</c:v>
                </c:pt>
                <c:pt idx="13">
                  <c:v>3290</c:v>
                </c:pt>
                <c:pt idx="14">
                  <c:v>4856</c:v>
                </c:pt>
                <c:pt idx="15">
                  <c:v>1849</c:v>
                </c:pt>
                <c:pt idx="16">
                  <c:v>26907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9-4ABF-AB22-F554E7B2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83%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79%</c:v>
                </c:pt>
                <c:pt idx="7">
                  <c:v>25%</c:v>
                </c:pt>
                <c:pt idx="8">
                  <c:v>71%</c:v>
                </c:pt>
                <c:pt idx="9">
                  <c:v>0%</c:v>
                </c:pt>
                <c:pt idx="10">
                  <c:v>92%</c:v>
                </c:pt>
                <c:pt idx="11">
                  <c:v>100%</c:v>
                </c:pt>
                <c:pt idx="12">
                  <c:v>0%</c:v>
                </c:pt>
                <c:pt idx="13">
                  <c:v>75%</c:v>
                </c:pt>
                <c:pt idx="14">
                  <c:v>100%</c:v>
                </c:pt>
                <c:pt idx="15">
                  <c:v>42%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0.79166666666666663</c:v>
                </c:pt>
                <c:pt idx="7">
                  <c:v>0.25</c:v>
                </c:pt>
                <c:pt idx="8">
                  <c:v>0.70833333333333337</c:v>
                </c:pt>
                <c:pt idx="9">
                  <c:v>0</c:v>
                </c:pt>
                <c:pt idx="10">
                  <c:v>0.91666666666666663</c:v>
                </c:pt>
                <c:pt idx="11">
                  <c:v>1</c:v>
                </c:pt>
                <c:pt idx="12">
                  <c:v>0</c:v>
                </c:pt>
                <c:pt idx="13">
                  <c:v>0.75</c:v>
                </c:pt>
                <c:pt idx="14">
                  <c:v>1</c:v>
                </c:pt>
                <c:pt idx="15">
                  <c:v>0.41666666666666669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1-4695-B3AA-C2B49C754A6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E1-4695-B3AA-C2B49C754A6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0.59313725490196068</c:v>
                </c:pt>
                <c:pt idx="1">
                  <c:v>0.59313725490196068</c:v>
                </c:pt>
                <c:pt idx="2">
                  <c:v>0.59313725490196068</c:v>
                </c:pt>
                <c:pt idx="3">
                  <c:v>0.59313725490196068</c:v>
                </c:pt>
                <c:pt idx="4">
                  <c:v>0.59313725490196068</c:v>
                </c:pt>
                <c:pt idx="5">
                  <c:v>0.59313725490196068</c:v>
                </c:pt>
                <c:pt idx="6">
                  <c:v>0.59313725490196068</c:v>
                </c:pt>
                <c:pt idx="7">
                  <c:v>0.59313725490196068</c:v>
                </c:pt>
                <c:pt idx="8">
                  <c:v>0.59313725490196068</c:v>
                </c:pt>
                <c:pt idx="9">
                  <c:v>0.59313725490196068</c:v>
                </c:pt>
                <c:pt idx="10">
                  <c:v>0.59313725490196068</c:v>
                </c:pt>
                <c:pt idx="11">
                  <c:v>0.59313725490196068</c:v>
                </c:pt>
                <c:pt idx="12">
                  <c:v>0.59313725490196068</c:v>
                </c:pt>
                <c:pt idx="13">
                  <c:v>0.59313725490196068</c:v>
                </c:pt>
                <c:pt idx="14">
                  <c:v>0.59313725490196068</c:v>
                </c:pt>
                <c:pt idx="15">
                  <c:v>0.59313725490196068</c:v>
                </c:pt>
                <c:pt idx="16">
                  <c:v>0.59313725490196068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E1-4695-B3AA-C2B49C754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0">
                  <c:v>3624</c:v>
                </c:pt>
                <c:pt idx="2">
                  <c:v>4584</c:v>
                </c:pt>
                <c:pt idx="3">
                  <c:v>5279</c:v>
                </c:pt>
                <c:pt idx="5">
                  <c:v>4935</c:v>
                </c:pt>
                <c:pt idx="6">
                  <c:v>3474</c:v>
                </c:pt>
                <c:pt idx="7">
                  <c:v>1525</c:v>
                </c:pt>
                <c:pt idx="8">
                  <c:v>4688</c:v>
                </c:pt>
                <c:pt idx="10">
                  <c:v>4960</c:v>
                </c:pt>
                <c:pt idx="11">
                  <c:v>4677</c:v>
                </c:pt>
                <c:pt idx="13">
                  <c:v>3290</c:v>
                </c:pt>
                <c:pt idx="14">
                  <c:v>4856</c:v>
                </c:pt>
                <c:pt idx="15">
                  <c:v>1849</c:v>
                </c:pt>
                <c:pt idx="16">
                  <c:v>26907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E-46A0-84F5-D22819B7511C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3624</c:v>
                </c:pt>
                <c:pt idx="1">
                  <c:v>4267</c:v>
                </c:pt>
                <c:pt idx="2">
                  <c:v>4584</c:v>
                </c:pt>
                <c:pt idx="3">
                  <c:v>5279</c:v>
                </c:pt>
                <c:pt idx="4">
                  <c:v>5600</c:v>
                </c:pt>
                <c:pt idx="5">
                  <c:v>4935</c:v>
                </c:pt>
                <c:pt idx="6">
                  <c:v>3474</c:v>
                </c:pt>
                <c:pt idx="7">
                  <c:v>1525</c:v>
                </c:pt>
                <c:pt idx="8">
                  <c:v>4688</c:v>
                </c:pt>
                <c:pt idx="9">
                  <c:v>339</c:v>
                </c:pt>
                <c:pt idx="10">
                  <c:v>4960</c:v>
                </c:pt>
                <c:pt idx="11">
                  <c:v>4677</c:v>
                </c:pt>
                <c:pt idx="12">
                  <c:v>4138</c:v>
                </c:pt>
                <c:pt idx="13">
                  <c:v>3290</c:v>
                </c:pt>
                <c:pt idx="14">
                  <c:v>4856</c:v>
                </c:pt>
                <c:pt idx="15">
                  <c:v>1849</c:v>
                </c:pt>
                <c:pt idx="16">
                  <c:v>26907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E-46A0-84F5-D22819B75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83%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79%</c:v>
                </c:pt>
                <c:pt idx="7">
                  <c:v>25%</c:v>
                </c:pt>
                <c:pt idx="8">
                  <c:v>71%</c:v>
                </c:pt>
                <c:pt idx="9">
                  <c:v>0%</c:v>
                </c:pt>
                <c:pt idx="10">
                  <c:v>92%</c:v>
                </c:pt>
                <c:pt idx="11">
                  <c:v>100%</c:v>
                </c:pt>
                <c:pt idx="12">
                  <c:v>0%</c:v>
                </c:pt>
                <c:pt idx="13">
                  <c:v>75%</c:v>
                </c:pt>
                <c:pt idx="14">
                  <c:v>100%</c:v>
                </c:pt>
                <c:pt idx="15">
                  <c:v>42%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0.83333333333333337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0.79166666666666663</c:v>
                </c:pt>
                <c:pt idx="7">
                  <c:v>0.25</c:v>
                </c:pt>
                <c:pt idx="8">
                  <c:v>0.70833333333333337</c:v>
                </c:pt>
                <c:pt idx="9">
                  <c:v>0</c:v>
                </c:pt>
                <c:pt idx="10">
                  <c:v>0.91666666666666663</c:v>
                </c:pt>
                <c:pt idx="11">
                  <c:v>1</c:v>
                </c:pt>
                <c:pt idx="12">
                  <c:v>0</c:v>
                </c:pt>
                <c:pt idx="13">
                  <c:v>0.75</c:v>
                </c:pt>
                <c:pt idx="14">
                  <c:v>1</c:v>
                </c:pt>
                <c:pt idx="15">
                  <c:v>0.41666666666666669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B-4239-9D7D-4C00D75659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BB-4239-9D7D-4C00D75659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7">
                  <c:v>SPACER</c:v>
                </c:pt>
                <c:pt idx="8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0.59313725490196068</c:v>
                </c:pt>
                <c:pt idx="1">
                  <c:v>0.59313725490196068</c:v>
                </c:pt>
                <c:pt idx="2">
                  <c:v>0.59313725490196068</c:v>
                </c:pt>
                <c:pt idx="3">
                  <c:v>0.59313725490196068</c:v>
                </c:pt>
                <c:pt idx="4">
                  <c:v>0.59313725490196068</c:v>
                </c:pt>
                <c:pt idx="5">
                  <c:v>0.59313725490196068</c:v>
                </c:pt>
                <c:pt idx="6">
                  <c:v>0.59313725490196068</c:v>
                </c:pt>
                <c:pt idx="7">
                  <c:v>0.59313725490196068</c:v>
                </c:pt>
                <c:pt idx="8">
                  <c:v>0.59313725490196068</c:v>
                </c:pt>
                <c:pt idx="9">
                  <c:v>0.59313725490196068</c:v>
                </c:pt>
                <c:pt idx="10">
                  <c:v>0.59313725490196068</c:v>
                </c:pt>
                <c:pt idx="11">
                  <c:v>0.59313725490196068</c:v>
                </c:pt>
                <c:pt idx="12">
                  <c:v>0.59313725490196068</c:v>
                </c:pt>
                <c:pt idx="13">
                  <c:v>0.59313725490196068</c:v>
                </c:pt>
                <c:pt idx="14">
                  <c:v>0.59313725490196068</c:v>
                </c:pt>
                <c:pt idx="15">
                  <c:v>0.59313725490196068</c:v>
                </c:pt>
                <c:pt idx="16">
                  <c:v>0.59313725490196068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B-4239-9D7D-4C00D756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FBD-4C2C-A754-1620DADEEF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D-4C2C-A754-1620DADEE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BD-4C2C-A754-1620DADEEF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BD-4C2C-A754-1620DADEE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0">
                  <c:v>800</c:v>
                </c:pt>
                <c:pt idx="2">
                  <c:v>5168</c:v>
                </c:pt>
                <c:pt idx="3">
                  <c:v>5254</c:v>
                </c:pt>
                <c:pt idx="5">
                  <c:v>3007</c:v>
                </c:pt>
                <c:pt idx="6">
                  <c:v>4762</c:v>
                </c:pt>
                <c:pt idx="7">
                  <c:v>1426</c:v>
                </c:pt>
                <c:pt idx="8">
                  <c:v>3416</c:v>
                </c:pt>
                <c:pt idx="10">
                  <c:v>2504</c:v>
                </c:pt>
                <c:pt idx="11">
                  <c:v>2965</c:v>
                </c:pt>
                <c:pt idx="12">
                  <c:v>3989</c:v>
                </c:pt>
                <c:pt idx="14">
                  <c:v>5785</c:v>
                </c:pt>
                <c:pt idx="15">
                  <c:v>4964</c:v>
                </c:pt>
                <c:pt idx="16">
                  <c:v>2614</c:v>
                </c:pt>
                <c:pt idx="17">
                  <c:v>28221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5-4862-870B-A2AEBC81EC20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800</c:v>
                </c:pt>
                <c:pt idx="1">
                  <c:v>4267</c:v>
                </c:pt>
                <c:pt idx="2">
                  <c:v>5168</c:v>
                </c:pt>
                <c:pt idx="3">
                  <c:v>5254</c:v>
                </c:pt>
                <c:pt idx="4">
                  <c:v>5600</c:v>
                </c:pt>
                <c:pt idx="5">
                  <c:v>3007</c:v>
                </c:pt>
                <c:pt idx="6">
                  <c:v>4762</c:v>
                </c:pt>
                <c:pt idx="7">
                  <c:v>1426</c:v>
                </c:pt>
                <c:pt idx="8">
                  <c:v>4688</c:v>
                </c:pt>
                <c:pt idx="9">
                  <c:v>339</c:v>
                </c:pt>
                <c:pt idx="10">
                  <c:v>2504</c:v>
                </c:pt>
                <c:pt idx="11">
                  <c:v>2965</c:v>
                </c:pt>
                <c:pt idx="12">
                  <c:v>3989</c:v>
                </c:pt>
                <c:pt idx="13">
                  <c:v>4138</c:v>
                </c:pt>
                <c:pt idx="14">
                  <c:v>5785</c:v>
                </c:pt>
                <c:pt idx="15">
                  <c:v>4964</c:v>
                </c:pt>
                <c:pt idx="16">
                  <c:v>2614</c:v>
                </c:pt>
                <c:pt idx="17">
                  <c:v>28221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5-4862-870B-A2AEBC81E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21%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71%</c:v>
                </c:pt>
                <c:pt idx="6">
                  <c:v>88%</c:v>
                </c:pt>
                <c:pt idx="7">
                  <c:v>29%</c:v>
                </c:pt>
                <c:pt idx="8">
                  <c:v>27%</c:v>
                </c:pt>
                <c:pt idx="9">
                  <c:v>0%</c:v>
                </c:pt>
                <c:pt idx="10">
                  <c:v>46%</c:v>
                </c:pt>
                <c:pt idx="11">
                  <c:v>46%</c:v>
                </c:pt>
                <c:pt idx="12">
                  <c:v>88%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0.20833333333333334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0.70833333333333337</c:v>
                </c:pt>
                <c:pt idx="6">
                  <c:v>0.875</c:v>
                </c:pt>
                <c:pt idx="7">
                  <c:v>0.29166666666666669</c:v>
                </c:pt>
                <c:pt idx="8">
                  <c:v>0.27325085324232079</c:v>
                </c:pt>
                <c:pt idx="9">
                  <c:v>0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0.875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1-45A7-88F4-0705AB8986F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11-45A7-88F4-0705AB8986F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0.50823615851346227</c:v>
                </c:pt>
                <c:pt idx="1">
                  <c:v>0.50823615851346227</c:v>
                </c:pt>
                <c:pt idx="2">
                  <c:v>0.50823615851346227</c:v>
                </c:pt>
                <c:pt idx="3">
                  <c:v>0.50823615851346227</c:v>
                </c:pt>
                <c:pt idx="4">
                  <c:v>0.50823615851346227</c:v>
                </c:pt>
                <c:pt idx="5">
                  <c:v>0.50823615851346227</c:v>
                </c:pt>
                <c:pt idx="6">
                  <c:v>0.50823615851346227</c:v>
                </c:pt>
                <c:pt idx="7">
                  <c:v>0.50823615851346227</c:v>
                </c:pt>
                <c:pt idx="8">
                  <c:v>0.50823615851346227</c:v>
                </c:pt>
                <c:pt idx="9">
                  <c:v>0.50823615851346227</c:v>
                </c:pt>
                <c:pt idx="10">
                  <c:v>0.50823615851346227</c:v>
                </c:pt>
                <c:pt idx="11">
                  <c:v>0.50823615851346227</c:v>
                </c:pt>
                <c:pt idx="12">
                  <c:v>0.50823615851346227</c:v>
                </c:pt>
                <c:pt idx="13">
                  <c:v>0.50823615851346227</c:v>
                </c:pt>
                <c:pt idx="14">
                  <c:v>0.50823615851346227</c:v>
                </c:pt>
                <c:pt idx="15">
                  <c:v>0.50823615851346227</c:v>
                </c:pt>
                <c:pt idx="16">
                  <c:v>0.50823615851346227</c:v>
                </c:pt>
                <c:pt idx="17">
                  <c:v>0.50823615851346227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1-45A7-88F4-0705AB898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0">
                  <c:v>800</c:v>
                </c:pt>
                <c:pt idx="2">
                  <c:v>5168</c:v>
                </c:pt>
                <c:pt idx="3">
                  <c:v>5254</c:v>
                </c:pt>
                <c:pt idx="5">
                  <c:v>3007</c:v>
                </c:pt>
                <c:pt idx="6">
                  <c:v>4762</c:v>
                </c:pt>
                <c:pt idx="7">
                  <c:v>1426</c:v>
                </c:pt>
                <c:pt idx="8">
                  <c:v>3416</c:v>
                </c:pt>
                <c:pt idx="10">
                  <c:v>2504</c:v>
                </c:pt>
                <c:pt idx="11">
                  <c:v>2965</c:v>
                </c:pt>
                <c:pt idx="12">
                  <c:v>3989</c:v>
                </c:pt>
                <c:pt idx="14">
                  <c:v>5785</c:v>
                </c:pt>
                <c:pt idx="15">
                  <c:v>4964</c:v>
                </c:pt>
                <c:pt idx="16">
                  <c:v>2614</c:v>
                </c:pt>
                <c:pt idx="17">
                  <c:v>28221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8-4B80-900E-E97D274CDA6C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800</c:v>
                </c:pt>
                <c:pt idx="1">
                  <c:v>4267</c:v>
                </c:pt>
                <c:pt idx="2">
                  <c:v>5168</c:v>
                </c:pt>
                <c:pt idx="3">
                  <c:v>5254</c:v>
                </c:pt>
                <c:pt idx="4">
                  <c:v>5600</c:v>
                </c:pt>
                <c:pt idx="5">
                  <c:v>3007</c:v>
                </c:pt>
                <c:pt idx="6">
                  <c:v>4762</c:v>
                </c:pt>
                <c:pt idx="7">
                  <c:v>1426</c:v>
                </c:pt>
                <c:pt idx="8">
                  <c:v>4688</c:v>
                </c:pt>
                <c:pt idx="9">
                  <c:v>339</c:v>
                </c:pt>
                <c:pt idx="10">
                  <c:v>2504</c:v>
                </c:pt>
                <c:pt idx="11">
                  <c:v>2965</c:v>
                </c:pt>
                <c:pt idx="12">
                  <c:v>3989</c:v>
                </c:pt>
                <c:pt idx="13">
                  <c:v>4138</c:v>
                </c:pt>
                <c:pt idx="14">
                  <c:v>5785</c:v>
                </c:pt>
                <c:pt idx="15">
                  <c:v>4964</c:v>
                </c:pt>
                <c:pt idx="16">
                  <c:v>2614</c:v>
                </c:pt>
                <c:pt idx="17">
                  <c:v>28221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8-4B80-900E-E97D274CD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21%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71%</c:v>
                </c:pt>
                <c:pt idx="6">
                  <c:v>88%</c:v>
                </c:pt>
                <c:pt idx="7">
                  <c:v>29%</c:v>
                </c:pt>
                <c:pt idx="8">
                  <c:v>27%</c:v>
                </c:pt>
                <c:pt idx="9">
                  <c:v>0%</c:v>
                </c:pt>
                <c:pt idx="10">
                  <c:v>46%</c:v>
                </c:pt>
                <c:pt idx="11">
                  <c:v>46%</c:v>
                </c:pt>
                <c:pt idx="12">
                  <c:v>88%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0.20833333333333334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0.70833333333333337</c:v>
                </c:pt>
                <c:pt idx="6">
                  <c:v>0.875</c:v>
                </c:pt>
                <c:pt idx="7">
                  <c:v>0.29166666666666669</c:v>
                </c:pt>
                <c:pt idx="8">
                  <c:v>0.27325085324232079</c:v>
                </c:pt>
                <c:pt idx="9">
                  <c:v>0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0.875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9-4096-9ABC-9FF8AB18D0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B9-4096-9ABC-9FF8AB18D0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0">
                  <c:v>F/ADAPTER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SP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9">
                  <c:v>BASE</c:v>
                </c:pt>
                <c:pt idx="12">
                  <c:v>COVER</c:v>
                </c:pt>
                <c:pt idx="13">
                  <c:v>LATCH PLATE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0.50823615851346227</c:v>
                </c:pt>
                <c:pt idx="1">
                  <c:v>0.50823615851346227</c:v>
                </c:pt>
                <c:pt idx="2">
                  <c:v>0.50823615851346227</c:v>
                </c:pt>
                <c:pt idx="3">
                  <c:v>0.50823615851346227</c:v>
                </c:pt>
                <c:pt idx="4">
                  <c:v>0.50823615851346227</c:v>
                </c:pt>
                <c:pt idx="5">
                  <c:v>0.50823615851346227</c:v>
                </c:pt>
                <c:pt idx="6">
                  <c:v>0.50823615851346227</c:v>
                </c:pt>
                <c:pt idx="7">
                  <c:v>0.50823615851346227</c:v>
                </c:pt>
                <c:pt idx="8">
                  <c:v>0.50823615851346227</c:v>
                </c:pt>
                <c:pt idx="9">
                  <c:v>0.50823615851346227</c:v>
                </c:pt>
                <c:pt idx="10">
                  <c:v>0.50823615851346227</c:v>
                </c:pt>
                <c:pt idx="11">
                  <c:v>0.50823615851346227</c:v>
                </c:pt>
                <c:pt idx="12">
                  <c:v>0.50823615851346227</c:v>
                </c:pt>
                <c:pt idx="13">
                  <c:v>0.50823615851346227</c:v>
                </c:pt>
                <c:pt idx="14">
                  <c:v>0.50823615851346227</c:v>
                </c:pt>
                <c:pt idx="15">
                  <c:v>0.50823615851346227</c:v>
                </c:pt>
                <c:pt idx="16">
                  <c:v>0.50823615851346227</c:v>
                </c:pt>
                <c:pt idx="17">
                  <c:v>0.50823615851346227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B9-4096-9ABC-9FF8AB18D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E08-44D3-840D-75B72E009A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8-44D3-840D-75B72E00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08-44D3-840D-75B72E009A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8-44D3-840D-75B72E00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0">
                  <c:v>5017</c:v>
                </c:pt>
                <c:pt idx="2">
                  <c:v>1036</c:v>
                </c:pt>
                <c:pt idx="3">
                  <c:v>4150</c:v>
                </c:pt>
                <c:pt idx="4">
                  <c:v>3597</c:v>
                </c:pt>
                <c:pt idx="5">
                  <c:v>25160</c:v>
                </c:pt>
                <c:pt idx="6">
                  <c:v>4151</c:v>
                </c:pt>
                <c:pt idx="7">
                  <c:v>3115</c:v>
                </c:pt>
                <c:pt idx="8">
                  <c:v>5092</c:v>
                </c:pt>
                <c:pt idx="10">
                  <c:v>3839</c:v>
                </c:pt>
                <c:pt idx="12">
                  <c:v>22960</c:v>
                </c:pt>
                <c:pt idx="13">
                  <c:v>4155</c:v>
                </c:pt>
                <c:pt idx="14">
                  <c:v>5099</c:v>
                </c:pt>
                <c:pt idx="15">
                  <c:v>2495</c:v>
                </c:pt>
                <c:pt idx="16">
                  <c:v>30837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F-4700-9554-2D7A5EDB0983}"/>
            </c:ext>
          </c:extLst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5017</c:v>
                </c:pt>
                <c:pt idx="1">
                  <c:v>4267</c:v>
                </c:pt>
                <c:pt idx="2">
                  <c:v>1036</c:v>
                </c:pt>
                <c:pt idx="3">
                  <c:v>4150</c:v>
                </c:pt>
                <c:pt idx="4">
                  <c:v>3597</c:v>
                </c:pt>
                <c:pt idx="5">
                  <c:v>25160</c:v>
                </c:pt>
                <c:pt idx="6">
                  <c:v>4151</c:v>
                </c:pt>
                <c:pt idx="7">
                  <c:v>3115</c:v>
                </c:pt>
                <c:pt idx="8">
                  <c:v>5092</c:v>
                </c:pt>
                <c:pt idx="9">
                  <c:v>339</c:v>
                </c:pt>
                <c:pt idx="10">
                  <c:v>3839</c:v>
                </c:pt>
                <c:pt idx="11">
                  <c:v>3989</c:v>
                </c:pt>
                <c:pt idx="12">
                  <c:v>22960</c:v>
                </c:pt>
                <c:pt idx="13">
                  <c:v>4155</c:v>
                </c:pt>
                <c:pt idx="14">
                  <c:v>5099</c:v>
                </c:pt>
                <c:pt idx="15">
                  <c:v>2495</c:v>
                </c:pt>
                <c:pt idx="16">
                  <c:v>30837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F-4700-9554-2D7A5EDB0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21%</c:v>
                </c:pt>
                <c:pt idx="3">
                  <c:v>75%</c:v>
                </c:pt>
                <c:pt idx="4">
                  <c:v>67%</c:v>
                </c:pt>
                <c:pt idx="5">
                  <c:v>79%</c:v>
                </c:pt>
                <c:pt idx="6">
                  <c:v>88%</c:v>
                </c:pt>
                <c:pt idx="7">
                  <c:v>71%</c:v>
                </c:pt>
                <c:pt idx="8">
                  <c:v>96%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100%</c:v>
                </c:pt>
                <c:pt idx="15">
                  <c:v>54%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0.20833333333333334</c:v>
                </c:pt>
                <c:pt idx="3">
                  <c:v>0.75</c:v>
                </c:pt>
                <c:pt idx="4">
                  <c:v>0.66666666666666663</c:v>
                </c:pt>
                <c:pt idx="5">
                  <c:v>0.79166666666666663</c:v>
                </c:pt>
                <c:pt idx="6">
                  <c:v>0.875</c:v>
                </c:pt>
                <c:pt idx="7">
                  <c:v>0.70833333333333337</c:v>
                </c:pt>
                <c:pt idx="8">
                  <c:v>0.95833333333333337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0.54166666666666663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6-41C3-8205-6E47BCF6E77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D6-41C3-8205-6E47BCF6E7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0.62009803921568618</c:v>
                </c:pt>
                <c:pt idx="2">
                  <c:v>0.62009803921568618</c:v>
                </c:pt>
                <c:pt idx="3">
                  <c:v>0.62009803921568618</c:v>
                </c:pt>
                <c:pt idx="4">
                  <c:v>0.62009803921568618</c:v>
                </c:pt>
                <c:pt idx="5">
                  <c:v>0.62009803921568618</c:v>
                </c:pt>
                <c:pt idx="6">
                  <c:v>0.62009803921568618</c:v>
                </c:pt>
                <c:pt idx="7">
                  <c:v>0.62009803921568618</c:v>
                </c:pt>
                <c:pt idx="8">
                  <c:v>0.62009803921568618</c:v>
                </c:pt>
                <c:pt idx="9">
                  <c:v>0.62009803921568618</c:v>
                </c:pt>
                <c:pt idx="10">
                  <c:v>0.62009803921568618</c:v>
                </c:pt>
                <c:pt idx="11">
                  <c:v>0.62009803921568618</c:v>
                </c:pt>
                <c:pt idx="12">
                  <c:v>0.62009803921568618</c:v>
                </c:pt>
                <c:pt idx="13">
                  <c:v>0.62009803921568618</c:v>
                </c:pt>
                <c:pt idx="14">
                  <c:v>0.62009803921568618</c:v>
                </c:pt>
                <c:pt idx="15">
                  <c:v>0.62009803921568618</c:v>
                </c:pt>
                <c:pt idx="16">
                  <c:v>0.62009803921568618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6-41C3-8205-6E47BCF6E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0">
                  <c:v>5017</c:v>
                </c:pt>
                <c:pt idx="2">
                  <c:v>1036</c:v>
                </c:pt>
                <c:pt idx="3">
                  <c:v>4150</c:v>
                </c:pt>
                <c:pt idx="4">
                  <c:v>3597</c:v>
                </c:pt>
                <c:pt idx="5">
                  <c:v>25160</c:v>
                </c:pt>
                <c:pt idx="6">
                  <c:v>4151</c:v>
                </c:pt>
                <c:pt idx="7">
                  <c:v>3115</c:v>
                </c:pt>
                <c:pt idx="8">
                  <c:v>5092</c:v>
                </c:pt>
                <c:pt idx="10">
                  <c:v>3839</c:v>
                </c:pt>
                <c:pt idx="12">
                  <c:v>22960</c:v>
                </c:pt>
                <c:pt idx="13">
                  <c:v>4155</c:v>
                </c:pt>
                <c:pt idx="14">
                  <c:v>5099</c:v>
                </c:pt>
                <c:pt idx="15">
                  <c:v>2495</c:v>
                </c:pt>
                <c:pt idx="16">
                  <c:v>30837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1-4985-BD8F-5D31AA55A954}"/>
            </c:ext>
          </c:extLst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5017</c:v>
                </c:pt>
                <c:pt idx="1">
                  <c:v>4267</c:v>
                </c:pt>
                <c:pt idx="2">
                  <c:v>1036</c:v>
                </c:pt>
                <c:pt idx="3">
                  <c:v>4150</c:v>
                </c:pt>
                <c:pt idx="4">
                  <c:v>3597</c:v>
                </c:pt>
                <c:pt idx="5">
                  <c:v>25160</c:v>
                </c:pt>
                <c:pt idx="6">
                  <c:v>4151</c:v>
                </c:pt>
                <c:pt idx="7">
                  <c:v>3115</c:v>
                </c:pt>
                <c:pt idx="8">
                  <c:v>5092</c:v>
                </c:pt>
                <c:pt idx="9">
                  <c:v>339</c:v>
                </c:pt>
                <c:pt idx="10">
                  <c:v>3839</c:v>
                </c:pt>
                <c:pt idx="11">
                  <c:v>3989</c:v>
                </c:pt>
                <c:pt idx="12">
                  <c:v>22960</c:v>
                </c:pt>
                <c:pt idx="13">
                  <c:v>4155</c:v>
                </c:pt>
                <c:pt idx="14">
                  <c:v>5099</c:v>
                </c:pt>
                <c:pt idx="15">
                  <c:v>2495</c:v>
                </c:pt>
                <c:pt idx="16">
                  <c:v>30837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1-4985-BD8F-5D31AA55A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21%</c:v>
                </c:pt>
                <c:pt idx="3">
                  <c:v>75%</c:v>
                </c:pt>
                <c:pt idx="4">
                  <c:v>67%</c:v>
                </c:pt>
                <c:pt idx="5">
                  <c:v>79%</c:v>
                </c:pt>
                <c:pt idx="6">
                  <c:v>88%</c:v>
                </c:pt>
                <c:pt idx="7">
                  <c:v>71%</c:v>
                </c:pt>
                <c:pt idx="8">
                  <c:v>96%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100%</c:v>
                </c:pt>
                <c:pt idx="15">
                  <c:v>54%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0.20833333333333334</c:v>
                </c:pt>
                <c:pt idx="3">
                  <c:v>0.75</c:v>
                </c:pt>
                <c:pt idx="4">
                  <c:v>0.66666666666666663</c:v>
                </c:pt>
                <c:pt idx="5">
                  <c:v>0.79166666666666663</c:v>
                </c:pt>
                <c:pt idx="6">
                  <c:v>0.875</c:v>
                </c:pt>
                <c:pt idx="7">
                  <c:v>0.70833333333333337</c:v>
                </c:pt>
                <c:pt idx="8">
                  <c:v>0.95833333333333337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0.54166666666666663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D-4A2A-A320-BB2B42E00F2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DD-4A2A-A320-BB2B42E00F2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COVER</c:v>
                </c:pt>
                <c:pt idx="4">
                  <c:v>LEAD GUIDE</c:v>
                </c:pt>
                <c:pt idx="6">
                  <c:v>BASE</c:v>
                </c:pt>
                <c:pt idx="7">
                  <c:v>BOTTOM</c:v>
                </c:pt>
                <c:pt idx="8">
                  <c:v>38P</c:v>
                </c:pt>
                <c:pt idx="9">
                  <c:v>BASE</c:v>
                </c:pt>
                <c:pt idx="11">
                  <c:v>SP-A</c:v>
                </c:pt>
                <c:pt idx="12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0.41666666666666669</c:v>
                </c:pt>
                <c:pt idx="1">
                  <c:v>0.62009803921568618</c:v>
                </c:pt>
                <c:pt idx="2">
                  <c:v>0.62009803921568618</c:v>
                </c:pt>
                <c:pt idx="3">
                  <c:v>0.62009803921568618</c:v>
                </c:pt>
                <c:pt idx="4">
                  <c:v>0.62009803921568618</c:v>
                </c:pt>
                <c:pt idx="5">
                  <c:v>0.62009803921568618</c:v>
                </c:pt>
                <c:pt idx="6">
                  <c:v>0.62009803921568618</c:v>
                </c:pt>
                <c:pt idx="7">
                  <c:v>0.62009803921568618</c:v>
                </c:pt>
                <c:pt idx="8">
                  <c:v>0.62009803921568618</c:v>
                </c:pt>
                <c:pt idx="9">
                  <c:v>0.62009803921568618</c:v>
                </c:pt>
                <c:pt idx="10">
                  <c:v>0.62009803921568618</c:v>
                </c:pt>
                <c:pt idx="11">
                  <c:v>0.62009803921568618</c:v>
                </c:pt>
                <c:pt idx="12">
                  <c:v>0.62009803921568618</c:v>
                </c:pt>
                <c:pt idx="13">
                  <c:v>0.62009803921568618</c:v>
                </c:pt>
                <c:pt idx="14">
                  <c:v>0.62009803921568618</c:v>
                </c:pt>
                <c:pt idx="15">
                  <c:v>0.62009803921568618</c:v>
                </c:pt>
                <c:pt idx="16">
                  <c:v>0.62009803921568618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DD-4A2A-A320-BB2B42E00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138-43ED-B030-8EDA56E645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8-43ED-B030-8EDA56E6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38-43ED-B030-8EDA56E645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38-43ED-B030-8EDA56E6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1223</c:v>
                </c:pt>
                <c:pt idx="2">
                  <c:v>5381</c:v>
                </c:pt>
                <c:pt idx="3">
                  <c:v>5540</c:v>
                </c:pt>
                <c:pt idx="4">
                  <c:v>41576</c:v>
                </c:pt>
                <c:pt idx="5">
                  <c:v>5463</c:v>
                </c:pt>
                <c:pt idx="6">
                  <c:v>2852</c:v>
                </c:pt>
                <c:pt idx="7">
                  <c:v>5090</c:v>
                </c:pt>
                <c:pt idx="10">
                  <c:v>3598</c:v>
                </c:pt>
                <c:pt idx="11">
                  <c:v>16824</c:v>
                </c:pt>
                <c:pt idx="12">
                  <c:v>5551</c:v>
                </c:pt>
                <c:pt idx="13">
                  <c:v>5040</c:v>
                </c:pt>
                <c:pt idx="14">
                  <c:v>1614</c:v>
                </c:pt>
                <c:pt idx="15">
                  <c:v>31647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D-4D4F-B98F-DB74D4C2C26F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1223</c:v>
                </c:pt>
                <c:pt idx="2">
                  <c:v>5381</c:v>
                </c:pt>
                <c:pt idx="3">
                  <c:v>5540</c:v>
                </c:pt>
                <c:pt idx="4">
                  <c:v>41576</c:v>
                </c:pt>
                <c:pt idx="5">
                  <c:v>5463</c:v>
                </c:pt>
                <c:pt idx="6">
                  <c:v>2852</c:v>
                </c:pt>
                <c:pt idx="7">
                  <c:v>5090</c:v>
                </c:pt>
                <c:pt idx="8">
                  <c:v>339</c:v>
                </c:pt>
                <c:pt idx="9">
                  <c:v>3839</c:v>
                </c:pt>
                <c:pt idx="10">
                  <c:v>3598</c:v>
                </c:pt>
                <c:pt idx="11">
                  <c:v>16824</c:v>
                </c:pt>
                <c:pt idx="12">
                  <c:v>5551</c:v>
                </c:pt>
                <c:pt idx="13">
                  <c:v>5040</c:v>
                </c:pt>
                <c:pt idx="14">
                  <c:v>1614</c:v>
                </c:pt>
                <c:pt idx="15">
                  <c:v>31647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D-4D4F-B98F-DB74D4C2C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29%</c:v>
                </c:pt>
                <c:pt idx="1">
                  <c:v>25%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92%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71%</c:v>
                </c:pt>
                <c:pt idx="12">
                  <c:v>100%</c:v>
                </c:pt>
                <c:pt idx="13">
                  <c:v>100%</c:v>
                </c:pt>
                <c:pt idx="14">
                  <c:v>38%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0.25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0.91666666666666663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0.70833333333333337</c:v>
                </c:pt>
                <c:pt idx="12">
                  <c:v>1</c:v>
                </c:pt>
                <c:pt idx="13">
                  <c:v>1</c:v>
                </c:pt>
                <c:pt idx="14">
                  <c:v>0.375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B-4A4F-8730-63F2FFCE9B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9B-4A4F-8730-63F2FFCE9B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0.640625</c:v>
                </c:pt>
                <c:pt idx="2">
                  <c:v>0.640625</c:v>
                </c:pt>
                <c:pt idx="3">
                  <c:v>0.640625</c:v>
                </c:pt>
                <c:pt idx="4">
                  <c:v>0.640625</c:v>
                </c:pt>
                <c:pt idx="5">
                  <c:v>0.640625</c:v>
                </c:pt>
                <c:pt idx="6">
                  <c:v>0.640625</c:v>
                </c:pt>
                <c:pt idx="7">
                  <c:v>0.640625</c:v>
                </c:pt>
                <c:pt idx="8">
                  <c:v>0.640625</c:v>
                </c:pt>
                <c:pt idx="9">
                  <c:v>0.640625</c:v>
                </c:pt>
                <c:pt idx="10">
                  <c:v>0.640625</c:v>
                </c:pt>
                <c:pt idx="11">
                  <c:v>0.640625</c:v>
                </c:pt>
                <c:pt idx="12">
                  <c:v>0.640625</c:v>
                </c:pt>
                <c:pt idx="13">
                  <c:v>0.640625</c:v>
                </c:pt>
                <c:pt idx="14">
                  <c:v>0.640625</c:v>
                </c:pt>
                <c:pt idx="15">
                  <c:v>0.640625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9B-4A4F-8730-63F2FFCE9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1223</c:v>
                </c:pt>
                <c:pt idx="2">
                  <c:v>5381</c:v>
                </c:pt>
                <c:pt idx="3">
                  <c:v>5540</c:v>
                </c:pt>
                <c:pt idx="4">
                  <c:v>41576</c:v>
                </c:pt>
                <c:pt idx="5">
                  <c:v>5463</c:v>
                </c:pt>
                <c:pt idx="6">
                  <c:v>2852</c:v>
                </c:pt>
                <c:pt idx="7">
                  <c:v>5090</c:v>
                </c:pt>
                <c:pt idx="10">
                  <c:v>3598</c:v>
                </c:pt>
                <c:pt idx="11">
                  <c:v>16824</c:v>
                </c:pt>
                <c:pt idx="12">
                  <c:v>5551</c:v>
                </c:pt>
                <c:pt idx="13">
                  <c:v>5040</c:v>
                </c:pt>
                <c:pt idx="14">
                  <c:v>1614</c:v>
                </c:pt>
                <c:pt idx="15">
                  <c:v>31647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0-43E5-80EF-5603BBCEFCF4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1408</c:v>
                </c:pt>
                <c:pt idx="1">
                  <c:v>1223</c:v>
                </c:pt>
                <c:pt idx="2">
                  <c:v>5381</c:v>
                </c:pt>
                <c:pt idx="3">
                  <c:v>5540</c:v>
                </c:pt>
                <c:pt idx="4">
                  <c:v>41576</c:v>
                </c:pt>
                <c:pt idx="5">
                  <c:v>5463</c:v>
                </c:pt>
                <c:pt idx="6">
                  <c:v>2852</c:v>
                </c:pt>
                <c:pt idx="7">
                  <c:v>5090</c:v>
                </c:pt>
                <c:pt idx="8">
                  <c:v>339</c:v>
                </c:pt>
                <c:pt idx="9">
                  <c:v>3839</c:v>
                </c:pt>
                <c:pt idx="10">
                  <c:v>3598</c:v>
                </c:pt>
                <c:pt idx="11">
                  <c:v>16824</c:v>
                </c:pt>
                <c:pt idx="12">
                  <c:v>5551</c:v>
                </c:pt>
                <c:pt idx="13">
                  <c:v>5040</c:v>
                </c:pt>
                <c:pt idx="14">
                  <c:v>1614</c:v>
                </c:pt>
                <c:pt idx="15">
                  <c:v>31647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0-43E5-80EF-5603BBCEF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29%</c:v>
                </c:pt>
                <c:pt idx="1">
                  <c:v>25%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92%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71%</c:v>
                </c:pt>
                <c:pt idx="12">
                  <c:v>100%</c:v>
                </c:pt>
                <c:pt idx="13">
                  <c:v>100%</c:v>
                </c:pt>
                <c:pt idx="14">
                  <c:v>38%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0.25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0.91666666666666663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0.70833333333333337</c:v>
                </c:pt>
                <c:pt idx="12">
                  <c:v>1</c:v>
                </c:pt>
                <c:pt idx="13">
                  <c:v>1</c:v>
                </c:pt>
                <c:pt idx="14">
                  <c:v>0.375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A-4481-B486-CEB75C1EC0E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6A-4481-B486-CEB75C1EC0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LEAD GUIDE</c:v>
                </c:pt>
                <c:pt idx="5">
                  <c:v>BASE</c:v>
                </c:pt>
                <c:pt idx="6">
                  <c:v>BOTTOM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0.640625</c:v>
                </c:pt>
                <c:pt idx="2">
                  <c:v>0.640625</c:v>
                </c:pt>
                <c:pt idx="3">
                  <c:v>0.640625</c:v>
                </c:pt>
                <c:pt idx="4">
                  <c:v>0.640625</c:v>
                </c:pt>
                <c:pt idx="5">
                  <c:v>0.640625</c:v>
                </c:pt>
                <c:pt idx="6">
                  <c:v>0.640625</c:v>
                </c:pt>
                <c:pt idx="7">
                  <c:v>0.640625</c:v>
                </c:pt>
                <c:pt idx="8">
                  <c:v>0.640625</c:v>
                </c:pt>
                <c:pt idx="9">
                  <c:v>0.640625</c:v>
                </c:pt>
                <c:pt idx="10">
                  <c:v>0.640625</c:v>
                </c:pt>
                <c:pt idx="11">
                  <c:v>0.640625</c:v>
                </c:pt>
                <c:pt idx="12">
                  <c:v>0.640625</c:v>
                </c:pt>
                <c:pt idx="13">
                  <c:v>0.640625</c:v>
                </c:pt>
                <c:pt idx="14">
                  <c:v>0.640625</c:v>
                </c:pt>
                <c:pt idx="15">
                  <c:v>0.640625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A-4481-B486-CEB75C1E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FAB-46C8-9374-C3282AE50B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B-46C8-9374-C3282AE50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AB-46C8-9374-C3282AE50B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AB-46C8-9374-C3282AE50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04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0.55787037037037035</c:v>
                </c:pt>
                <c:pt idx="1">
                  <c:v>0.62745098039215674</c:v>
                </c:pt>
                <c:pt idx="2">
                  <c:v>0.61197916666666652</c:v>
                </c:pt>
                <c:pt idx="5">
                  <c:v>0.6015625</c:v>
                </c:pt>
                <c:pt idx="6">
                  <c:v>0.53385416666666663</c:v>
                </c:pt>
                <c:pt idx="7">
                  <c:v>0.52083333333333337</c:v>
                </c:pt>
                <c:pt idx="8">
                  <c:v>0.45572916666666663</c:v>
                </c:pt>
                <c:pt idx="9">
                  <c:v>0.52773432374006313</c:v>
                </c:pt>
                <c:pt idx="10">
                  <c:v>0.53385416666666663</c:v>
                </c:pt>
                <c:pt idx="12">
                  <c:v>0.3217592592592593</c:v>
                </c:pt>
                <c:pt idx="13">
                  <c:v>0.46568627450980388</c:v>
                </c:pt>
                <c:pt idx="14">
                  <c:v>0.5234375</c:v>
                </c:pt>
                <c:pt idx="15">
                  <c:v>0.54166666666666674</c:v>
                </c:pt>
                <c:pt idx="16">
                  <c:v>0.70052083333333326</c:v>
                </c:pt>
                <c:pt idx="17">
                  <c:v>0.5859375</c:v>
                </c:pt>
                <c:pt idx="18">
                  <c:v>0.2265625</c:v>
                </c:pt>
                <c:pt idx="19">
                  <c:v>0.51470588235294112</c:v>
                </c:pt>
                <c:pt idx="20">
                  <c:v>0.47550744638031167</c:v>
                </c:pt>
                <c:pt idx="21">
                  <c:v>0.59895833333333326</c:v>
                </c:pt>
                <c:pt idx="22">
                  <c:v>0.6171875</c:v>
                </c:pt>
                <c:pt idx="23">
                  <c:v>0.55468750000000011</c:v>
                </c:pt>
                <c:pt idx="24">
                  <c:v>0.58072916666666663</c:v>
                </c:pt>
                <c:pt idx="25">
                  <c:v>0.20312499999999997</c:v>
                </c:pt>
                <c:pt idx="26">
                  <c:v>0.59313725490196068</c:v>
                </c:pt>
                <c:pt idx="27">
                  <c:v>0.50823615851346227</c:v>
                </c:pt>
                <c:pt idx="28">
                  <c:v>0.62009803921568618</c:v>
                </c:pt>
                <c:pt idx="29">
                  <c:v>0.640625</c:v>
                </c:pt>
                <c:pt idx="31">
                  <c:v>0.47478119965453386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04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0.50555555555555554</c:v>
                </c:pt>
                <c:pt idx="1">
                  <c:v>0.28055555555555556</c:v>
                </c:pt>
                <c:pt idx="2">
                  <c:v>0.85</c:v>
                </c:pt>
                <c:pt idx="3">
                  <c:v>0.68194444444444458</c:v>
                </c:pt>
                <c:pt idx="4">
                  <c:v>0.35694444444444445</c:v>
                </c:pt>
                <c:pt idx="5">
                  <c:v>0.68099389456381343</c:v>
                </c:pt>
                <c:pt idx="6">
                  <c:v>0.77916666666666656</c:v>
                </c:pt>
                <c:pt idx="7">
                  <c:v>0.70216391733029959</c:v>
                </c:pt>
                <c:pt idx="8">
                  <c:v>6.9444444444444449E-3</c:v>
                </c:pt>
                <c:pt idx="9">
                  <c:v>0.28472222222222227</c:v>
                </c:pt>
                <c:pt idx="10">
                  <c:v>0.15</c:v>
                </c:pt>
                <c:pt idx="11">
                  <c:v>0.58194444444444438</c:v>
                </c:pt>
                <c:pt idx="12">
                  <c:v>0.45833333333333326</c:v>
                </c:pt>
                <c:pt idx="13">
                  <c:v>0.65</c:v>
                </c:pt>
                <c:pt idx="14">
                  <c:v>0.51527777777777772</c:v>
                </c:pt>
                <c:pt idx="15">
                  <c:v>0.36667644183773201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7.xml"/><Relationship Id="rId1" Type="http://schemas.openxmlformats.org/officeDocument/2006/relationships/chart" Target="../charts/chart126.xml"/><Relationship Id="rId6" Type="http://schemas.openxmlformats.org/officeDocument/2006/relationships/chart" Target="../charts/chart130.xml"/><Relationship Id="rId5" Type="http://schemas.openxmlformats.org/officeDocument/2006/relationships/chart" Target="../charts/chart129.xml"/><Relationship Id="rId4" Type="http://schemas.openxmlformats.org/officeDocument/2006/relationships/chart" Target="../charts/chart128.xml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2.xml"/><Relationship Id="rId1" Type="http://schemas.openxmlformats.org/officeDocument/2006/relationships/chart" Target="../charts/chart131.xml"/><Relationship Id="rId6" Type="http://schemas.openxmlformats.org/officeDocument/2006/relationships/chart" Target="../charts/chart135.xml"/><Relationship Id="rId5" Type="http://schemas.openxmlformats.org/officeDocument/2006/relationships/chart" Target="../charts/chart134.xml"/><Relationship Id="rId4" Type="http://schemas.openxmlformats.org/officeDocument/2006/relationships/chart" Target="../charts/chart133.xml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7.xml"/><Relationship Id="rId1" Type="http://schemas.openxmlformats.org/officeDocument/2006/relationships/chart" Target="../charts/chart1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246D58-FF53-419B-A348-D96D2F73F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5AA7DB3-20D0-4B6D-A0A1-DAE91CF18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DC083E2-1026-47F1-B209-3574B8CE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86EF088-D196-4D55-B46C-1411EF6DF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292BBF-E90B-4301-9096-BE2566214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E20FA7F-18F9-4314-B36F-94A0DADF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FB79C4F-7D46-41BD-A93C-E99D85380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FEA887-BFAA-42DF-A7AB-67BDB8CA0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E88BC35-7EEE-422B-ADE8-D80A15EC8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9082799-E493-4EFD-8A72-DE167B39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0F8569-8F7C-4AAB-8996-519AA5A20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BDE87D3-4860-43C2-B7A9-F9AD10D74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ECE15F-144B-46C2-B577-B4A9E3418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C8C7EE9-C469-4CB0-A412-A84CA2E09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BB6BF18-9548-4F93-AF35-6254CD782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055C88C-CD6B-4CD4-8E8A-D530D7125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711C9FD-9745-42BD-B286-6EAD02341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94DEB0B-3066-4728-BFEC-90EB5F824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320244E-EEDF-4A78-9AC5-2DC6378A5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E74174C-39D1-4442-BD81-4CD72C10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0622FA2-1D12-463B-8779-14041EF62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9E3ACC-031F-4BC0-BB41-FABEF3892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56A463-ADE7-4057-A9B6-CCAEC53B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9FBA2CF-8FC3-4ABE-8AE5-4199DA0C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2CB3D0B-48EC-48E2-9278-AE75E8652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070EF10-0FDD-4208-BB6C-C32F1A76E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425BA17-990E-4684-8577-621F9299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9BD9FF6-AD60-4A8D-9598-DFCB5EBD8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0C81DF9-03CF-46BD-912C-0B2D91682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CE46B3A-38D4-4BC6-82C7-3E1E8DC4A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8844DA4-BEFD-468C-9A39-FDB408A9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C4EA7A9-13CA-4448-98A9-CB6BB48FB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9A565F3-555A-427B-ACDC-CEF83DA76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3F6159-EED9-47E4-8387-E6BDC470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F497766-8468-4D96-B005-46237A931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79F1A0-F240-4C2F-8622-305151184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EA5D44-E6F9-48BC-AA7A-4C7226B5F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A70082E-12FA-4E49-A577-A12AA917D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6050F9B-BBFE-450E-96C4-8BA97976C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ACB78DA-2C85-4165-AEAD-78F575685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56CC3B-142E-4BA1-AB70-A44EE1785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28138E6-A09A-48F4-B25F-2F5385FC5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556658F-3DE6-4A5E-9D91-633B8B9A0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7781B0E-216D-4F2D-B878-C2FF47B8E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E4CFE3F-296C-402C-9880-6DF9EE96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09F1B4D-8667-497D-811D-0E9491731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635B91D-12DC-45CD-9FEE-21F640624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9A260C3-D978-4F48-A3DB-06622FE9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1CB3C0D-7586-4C12-BA31-2C6DB578E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7C8CA7-C0EF-4B1C-A2A8-1B14C2621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C7F6D29-3C82-4391-A54C-4FA2988B5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BD3D990-FF7A-4DB2-B98C-96AA86F5B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FF3248D-DB50-47B6-AF89-FE1704C2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3E92EAC-A0F3-4A28-9DFF-83DE24873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D6006E0-12C5-408B-B0B4-15297D6F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89EC4E8-8EE8-48A6-AB5D-FC55C81FF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B2B828E-E008-48B6-8D3B-A47FC41C4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E82AD8-B328-44E3-A3C0-3FA1FF6C6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E0F7A27-9C5B-4D42-A0E6-885BD6B4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52CFCCE-74C0-4C59-8599-EDAAA593F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F337620-B1A0-4E58-AFA8-F857A844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D60F7B6-F822-4A02-B366-1DF9E9267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F5AFAF5-2F6B-46E5-91C5-2A4A63E52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A5F2676-BAE2-41BB-BE23-11746196A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FA91CFD-EB6C-4957-850C-DDF8AF297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C41D8A1-467C-4455-BD25-CD31D2205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A9865AA-212F-46BD-9C7B-BAAB24FC1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B7B5398-BEA8-48B0-B882-C1BAF957A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92D2A59-3B3F-4669-9C3F-59226A1C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953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95C726C-1839-41C4-9217-ABE0FFEC9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18E0A9D-4A2B-43BC-96D2-B4565B5AF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D547AB7-40EE-4972-83BE-C20D59CD5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C518B4A-ECB5-45A4-BAC3-693E5680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EBDFC3E-14B2-497F-8DCB-9A575EB45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CA7C267-6950-44E7-8E4D-16DD06CB4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96CBABD-BC42-4B0E-B3F7-984F67F3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1F4E767-6DE7-4F0E-9C82-3A27A66BA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F0D1E92-7BE4-4522-B45C-A4E44FC5C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19CBF30-56CB-45E4-9367-73CB65095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E77C1F3-6B8E-4CD5-B4E1-9BCFB17F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0F9EA53-341A-4C26-BB03-0B1879084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877CA55-DFEA-4B0A-BCF8-A942196FF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81DBE37-E16F-4001-AEAB-995500FA0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CE1D43E-8A9E-42C5-A529-39D3AA870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47A1C0-6981-4301-AE26-6488FB9D8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B2F4166-F81A-4048-8CF5-68C6B196C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8D886C-D7D3-4BDE-8E75-3547D7C5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CFF1ABA-78DA-4795-B38A-B711560FF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3B4A353-5147-4E9F-BFC2-E20F1BE45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448FC47-A4AB-431E-AB64-C0CF5BCA0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1DC817E-D01A-480F-B0E6-FBCA66754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529CE0-7554-4F1B-A45F-7DDDF44E9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330220D-8256-4963-B066-AC9895CEC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A27DDF9-66DA-44D8-A118-55715A1AB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746760D-CC7E-4E21-AEF6-6F15FADCC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E0013E3-01D0-4A08-BE69-B6EB34ADD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E8B7588-CEFD-4CBF-9CE6-0A2DB2FB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A9E9235-E5EB-4C06-8086-DAE9DC131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7700AE9-88B5-4E80-8046-1692086CB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FD3403-B6D2-4C6B-88E4-186957992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841FF6D-ED9B-4B3A-9F83-27985601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508A7C2-B8A1-4710-9AE7-D45DA8E1F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B0476F7-6311-4240-AD94-41C0271FE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ED81A73-0F4B-45E5-9A27-A3238EAA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F821465-79B0-441B-B46F-AA6F7470C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2D8A30B-4AB4-43FF-8B8F-83A1D1030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7C47B9-4FDE-493A-BBB8-9357D3ED0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DAA58D5-777C-43AF-8EB5-74891BAB8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3CDFD11-D579-49B9-A3B2-7308FB257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9346867-24D0-42C5-8486-C8FBE356F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429168B-6A61-4896-B8B1-B795162E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054B48C-3158-42D6-8A64-732276745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DDC994-C20E-4ACA-B8A1-FA43E47BB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9A2525-67FF-4902-BC5C-25D3CD77F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FA854C3-A252-431E-9B3D-36268BEA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97B56E6-D0E1-4DD8-907E-B512A24AD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E14B3F1-59AB-4D06-9C57-90E651A12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453530A-A897-4A69-8A71-A0C4E1AC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159345-262B-41DE-9923-788A18B52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DA41360-2CC2-4A72-B4D7-B857A0D12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788B7D-C7E7-41A4-B499-B284E565B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A5C1038-4B10-4D8D-9B52-6A1DF876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82CF210-1CF3-4FFB-BD98-62F7D4A3F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9FBFF8B-9CA3-43C9-9906-01BE36174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333CCBD-8337-4735-9B14-9AB6FD3D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8F9C574-6D07-42F9-838F-A8BBCF6CC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3EA0ED-2494-4065-B32C-2D3B7187A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4708760-660C-4C5D-BB2B-40006999B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86439A-3897-4E5C-AC6D-25F3675F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7892E2C-440A-4846-B0B5-A2267E86C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91987B-A7C7-446A-822D-4F7DE53C2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5856FBD-B7FD-4235-BD84-D9426179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1F1998B-E900-4B6E-ABEA-DF4B1E3C8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A87FFB9-4517-4D29-AD33-328265958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A6787A4-7C80-48A7-AC62-061DB87F9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26BA6E2-2A79-434E-8EC0-ABAB5D64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D00BD5E-C302-4950-9D48-542BE12C4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6AF702A-702E-4599-B8F8-64E4BE12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F4FB9F7-5DCF-49D0-B3F9-5A58FFE6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21B9B70-7534-44CB-A280-E6D500B71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0743CD4-4B31-4E8D-8C68-810623DEB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90FF176-7762-4FCE-99CF-A9E8576E8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DA0CA62-B27C-473B-8514-D9BEFDD7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59426B3-F4DB-4F43-9DD7-A0ACC01A2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DEC3E27-C232-4998-B683-75C6DE9F5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9847BF-001A-46E8-812A-D5204423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CD4E305-740B-419E-81E8-E17886C5B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28A350-A497-445F-9D93-F8242B0E9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DF60CC2-DE76-4AED-9B16-DB4C6BDED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6E5DEFA-4336-4C65-BFE7-6DA268BF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ADA0060-098D-447A-B35D-B168A1B59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C39389A-A6F1-4BAC-AB0B-2991F3484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52C9E78-D762-4679-BEAA-9F40A4C0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083E8B7-2E0A-498E-B6CE-8F8DA91B0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183423-CF9A-4CC8-A331-522850B51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5BEAFA7-E8BE-4FE3-8F16-61362DC38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8B83704-64C2-4415-9C52-E8A30607A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67A05A2-B229-44D1-9357-85E03A8B9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635629A-FA77-488A-8864-1CB6B4EBC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ADA82C5-B626-43E9-A426-3FCF3725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2F90A80-61D7-47AB-970E-F4E5CA3D3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57B537F-1404-4FE7-AA96-9C74221B6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C4A2F4C-99A1-41EC-83B0-FB05ED830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B17D64B-5603-4418-A35B-9F0E4E2CB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77E9F80-4EA0-4F5A-BDF3-56D853294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98BD717-6E94-41A3-936F-9037DF43F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2480CC0-2ABC-4065-A808-8D58AD25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0A924E1-B0D8-44F6-A752-CD1A84D65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4F9E1E7-6B04-4841-9D04-FB46B5170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80F3F4E-F438-4269-BD38-20D70ED50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5626F6-A6F7-4385-901B-B6458691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3841528-9323-4DDC-89A9-359110142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C7C57F8-9B65-459C-8983-85CFB49FD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DC85818-9DD3-44E6-8ECF-D7134435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3704B19-A317-448E-954A-7B81CF2ED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B604A9C-B918-4828-A623-C4A160D96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22E8704-6AB1-495E-95C8-62FB54121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D405753-D0DC-45BA-AF1F-82773CEF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771D0C-61AC-4029-A46A-DD7E4A175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A065258-0143-4586-BD29-DB99C6377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2C06FA7-128D-48B4-8881-BE7788C4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97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CF9BACA-5F86-4D56-B1D4-C8E86D044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3EC807-59E2-49E7-A1B6-802B24F15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7F500D-20A6-4623-8FEB-5EEC4E0DE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80F149-F91F-4631-B303-5ABA3E44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4F5015C-3B0E-4362-A37E-DE14BE26A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E7A20BC-B302-43E6-982C-5119F734F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526B639-DEE9-4619-BA79-593EAEE9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5478" y="54428"/>
          <a:ext cx="32072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A9DABAE-DD69-4278-8DBC-F24B65E8C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6901-0365-4A8F-9B5A-77C3274367FC}">
  <dimension ref="A1:AF89"/>
  <sheetViews>
    <sheetView view="pageBreakPreview" zoomScale="70" zoomScaleNormal="72" zoomScaleSheetLayoutView="70" workbookViewId="0">
      <selection activeCell="W19" sqref="W1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176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31" t="s">
        <v>17</v>
      </c>
      <c r="L5" s="131" t="s">
        <v>18</v>
      </c>
      <c r="M5" s="131" t="s">
        <v>19</v>
      </c>
      <c r="N5" s="1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167</v>
      </c>
      <c r="F6" s="30" t="s">
        <v>136</v>
      </c>
      <c r="G6" s="12">
        <v>1</v>
      </c>
      <c r="H6" s="13">
        <v>24</v>
      </c>
      <c r="I6" s="31">
        <v>800</v>
      </c>
      <c r="J6" s="5">
        <v>863</v>
      </c>
      <c r="K6" s="15">
        <f>L6</f>
        <v>863</v>
      </c>
      <c r="L6" s="15">
        <v>863</v>
      </c>
      <c r="M6" s="15">
        <f t="shared" ref="M6:M23" si="0">L6-N6</f>
        <v>863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5</v>
      </c>
      <c r="Q6" s="40">
        <f t="shared" ref="Q6:Q23" si="3">SUM(R6:AA6)</f>
        <v>19</v>
      </c>
      <c r="R6" s="7"/>
      <c r="S6" s="6"/>
      <c r="T6" s="16"/>
      <c r="U6" s="16"/>
      <c r="V6" s="17"/>
      <c r="W6" s="5">
        <v>19</v>
      </c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0.20833333333333334</v>
      </c>
      <c r="AD6" s="10">
        <f t="shared" ref="AD6:AD23" si="6">AC6*AB6*(1-O6)</f>
        <v>0.20833333333333334</v>
      </c>
      <c r="AE6" s="36">
        <f t="shared" ref="AE6:AE23" si="7">$AD$24</f>
        <v>0.55787037037037035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3721</v>
      </c>
      <c r="K7" s="15">
        <f>L7</f>
        <v>3721</v>
      </c>
      <c r="L7" s="15">
        <f>765+2956</f>
        <v>3721</v>
      </c>
      <c r="M7" s="15">
        <f t="shared" si="0"/>
        <v>3721</v>
      </c>
      <c r="N7" s="15">
        <v>0</v>
      </c>
      <c r="O7" s="58">
        <f t="shared" si="1"/>
        <v>0</v>
      </c>
      <c r="P7" s="39">
        <f t="shared" si="2"/>
        <v>19</v>
      </c>
      <c r="Q7" s="40">
        <f t="shared" si="3"/>
        <v>5</v>
      </c>
      <c r="R7" s="7"/>
      <c r="S7" s="6">
        <v>5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0.79166666666666663</v>
      </c>
      <c r="AD7" s="10">
        <f t="shared" si="6"/>
        <v>0.79166666666666663</v>
      </c>
      <c r="AE7" s="36">
        <f t="shared" si="7"/>
        <v>0.55787037037037035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126</v>
      </c>
      <c r="E8" s="53" t="s">
        <v>140</v>
      </c>
      <c r="F8" s="30" t="s">
        <v>137</v>
      </c>
      <c r="G8" s="33">
        <v>1</v>
      </c>
      <c r="H8" s="35">
        <v>24</v>
      </c>
      <c r="I8" s="7">
        <v>20000</v>
      </c>
      <c r="J8" s="14">
        <v>5685</v>
      </c>
      <c r="K8" s="15">
        <f>L8+4301+5543</f>
        <v>15529</v>
      </c>
      <c r="L8" s="15">
        <f>2928+2757</f>
        <v>5685</v>
      </c>
      <c r="M8" s="15">
        <f t="shared" si="0"/>
        <v>5685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0.55787037037037035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123</v>
      </c>
      <c r="D9" s="52" t="s">
        <v>171</v>
      </c>
      <c r="E9" s="53" t="s">
        <v>175</v>
      </c>
      <c r="F9" s="30" t="s">
        <v>154</v>
      </c>
      <c r="G9" s="33">
        <v>1</v>
      </c>
      <c r="H9" s="35">
        <v>24</v>
      </c>
      <c r="I9" s="7">
        <v>5300</v>
      </c>
      <c r="J9" s="14">
        <v>4051</v>
      </c>
      <c r="K9" s="15">
        <f>L9</f>
        <v>4051</v>
      </c>
      <c r="L9" s="15">
        <f>1441+2610</f>
        <v>4051</v>
      </c>
      <c r="M9" s="15">
        <f t="shared" si="0"/>
        <v>4051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0.55787037037037035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127</v>
      </c>
      <c r="E10" s="53" t="s">
        <v>141</v>
      </c>
      <c r="F10" s="30" t="s">
        <v>124</v>
      </c>
      <c r="G10" s="33">
        <v>1</v>
      </c>
      <c r="H10" s="35">
        <v>24</v>
      </c>
      <c r="I10" s="7">
        <v>100000</v>
      </c>
      <c r="J10" s="5">
        <v>3346</v>
      </c>
      <c r="K10" s="15">
        <f>L10</f>
        <v>3346</v>
      </c>
      <c r="L10" s="15">
        <f>652+2694</f>
        <v>3346</v>
      </c>
      <c r="M10" s="15">
        <f t="shared" si="0"/>
        <v>3346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/>
      <c r="T10" s="16">
        <v>6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>AC10*AB10*(1-O10)</f>
        <v>0.75</v>
      </c>
      <c r="AE10" s="36">
        <f t="shared" si="7"/>
        <v>0.55787037037037035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129</v>
      </c>
      <c r="E11" s="53" t="s">
        <v>142</v>
      </c>
      <c r="F11" s="30" t="s">
        <v>130</v>
      </c>
      <c r="G11" s="12">
        <v>20</v>
      </c>
      <c r="H11" s="13">
        <v>28</v>
      </c>
      <c r="I11" s="7">
        <v>100000</v>
      </c>
      <c r="J11" s="14">
        <v>72200</v>
      </c>
      <c r="K11" s="15">
        <f>L11+75900</f>
        <v>148100</v>
      </c>
      <c r="L11" s="15">
        <f>3610*20</f>
        <v>72200</v>
      </c>
      <c r="M11" s="15">
        <f t="shared" si="0"/>
        <v>72200</v>
      </c>
      <c r="N11" s="15">
        <v>0</v>
      </c>
      <c r="O11" s="58">
        <f t="shared" si="1"/>
        <v>0</v>
      </c>
      <c r="P11" s="39">
        <f t="shared" si="2"/>
        <v>11</v>
      </c>
      <c r="Q11" s="40">
        <f t="shared" si="3"/>
        <v>13</v>
      </c>
      <c r="R11" s="7"/>
      <c r="S11" s="6"/>
      <c r="T11" s="16"/>
      <c r="U11" s="16"/>
      <c r="V11" s="17"/>
      <c r="W11" s="5">
        <v>13</v>
      </c>
      <c r="X11" s="16"/>
      <c r="Y11" s="16"/>
      <c r="Z11" s="16"/>
      <c r="AA11" s="18"/>
      <c r="AB11" s="8">
        <f t="shared" si="4"/>
        <v>1</v>
      </c>
      <c r="AC11" s="9">
        <f t="shared" si="5"/>
        <v>0.45833333333333331</v>
      </c>
      <c r="AD11" s="10">
        <f t="shared" ref="AD11:AD15" si="9">AC11*AB11*(1-O11)</f>
        <v>0.45833333333333331</v>
      </c>
      <c r="AE11" s="36">
        <f t="shared" si="7"/>
        <v>0.55787037037037035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127</v>
      </c>
      <c r="E12" s="53" t="s">
        <v>163</v>
      </c>
      <c r="F12" s="30" t="s">
        <v>149</v>
      </c>
      <c r="G12" s="33">
        <v>2</v>
      </c>
      <c r="H12" s="35">
        <v>24</v>
      </c>
      <c r="I12" s="7">
        <v>20000</v>
      </c>
      <c r="J12" s="14">
        <v>2068</v>
      </c>
      <c r="K12" s="15">
        <f>L12+10146+9078+1018</f>
        <v>22310</v>
      </c>
      <c r="L12" s="15">
        <f>1034*2</f>
        <v>2068</v>
      </c>
      <c r="M12" s="15">
        <f t="shared" si="0"/>
        <v>2068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/>
      <c r="T12" s="16"/>
      <c r="U12" s="16"/>
      <c r="V12" s="17"/>
      <c r="W12" s="5">
        <v>18</v>
      </c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9"/>
        <v>0.25</v>
      </c>
      <c r="AE12" s="36">
        <f t="shared" si="7"/>
        <v>0.55787037037037035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11" t="s">
        <v>112</v>
      </c>
      <c r="D13" s="52" t="s">
        <v>126</v>
      </c>
      <c r="E13" s="53" t="s">
        <v>168</v>
      </c>
      <c r="F13" s="30" t="s">
        <v>137</v>
      </c>
      <c r="G13" s="33">
        <v>1</v>
      </c>
      <c r="H13" s="35">
        <v>24</v>
      </c>
      <c r="I13" s="7">
        <v>20000</v>
      </c>
      <c r="J13" s="14">
        <v>3072</v>
      </c>
      <c r="K13" s="15">
        <f>L13</f>
        <v>3072</v>
      </c>
      <c r="L13" s="15">
        <f>593+2479</f>
        <v>3072</v>
      </c>
      <c r="M13" s="15">
        <f t="shared" ref="M13" si="10">L13-N13</f>
        <v>3072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17</v>
      </c>
      <c r="Q13" s="40">
        <f t="shared" ref="Q13" si="13">SUM(R13:AA13)</f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0.70833333333333337</v>
      </c>
      <c r="AD13" s="10">
        <f t="shared" ref="AD13" si="16">AC13*AB13*(1-O13)</f>
        <v>0.70833333333333337</v>
      </c>
      <c r="AE13" s="36">
        <f t="shared" si="7"/>
        <v>0.55787037037037035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158</v>
      </c>
      <c r="F14" s="30" t="s">
        <v>125</v>
      </c>
      <c r="G14" s="33">
        <v>3</v>
      </c>
      <c r="H14" s="35">
        <v>24</v>
      </c>
      <c r="I14" s="7">
        <v>500000</v>
      </c>
      <c r="J14" s="5">
        <v>16704</v>
      </c>
      <c r="K14" s="15">
        <f>L14+12212+20232+16256+9762+15771+11739</f>
        <v>102676</v>
      </c>
      <c r="L14" s="15">
        <f>2857*3+2711*3</f>
        <v>16704</v>
      </c>
      <c r="M14" s="15">
        <f t="shared" si="0"/>
        <v>16704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>AC14*AB14*(1-O14)</f>
        <v>1</v>
      </c>
      <c r="AE14" s="36">
        <f t="shared" si="7"/>
        <v>0.55787037037037035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</f>
        <v>339</v>
      </c>
      <c r="L15" s="15">
        <v>339</v>
      </c>
      <c r="M15" s="15">
        <f t="shared" si="0"/>
        <v>339</v>
      </c>
      <c r="N15" s="15">
        <v>0</v>
      </c>
      <c r="O15" s="58">
        <f t="shared" si="1"/>
        <v>0</v>
      </c>
      <c r="P15" s="39">
        <f t="shared" si="2"/>
        <v>5</v>
      </c>
      <c r="Q15" s="40">
        <f t="shared" si="3"/>
        <v>19</v>
      </c>
      <c r="R15" s="7"/>
      <c r="S15" s="6"/>
      <c r="T15" s="16"/>
      <c r="U15" s="16"/>
      <c r="V15" s="17"/>
      <c r="W15" s="5">
        <v>19</v>
      </c>
      <c r="X15" s="16"/>
      <c r="Y15" s="16"/>
      <c r="Z15" s="16"/>
      <c r="AA15" s="18"/>
      <c r="AB15" s="8">
        <f t="shared" si="4"/>
        <v>1</v>
      </c>
      <c r="AC15" s="9">
        <f t="shared" si="5"/>
        <v>0.20833333333333334</v>
      </c>
      <c r="AD15" s="10">
        <f t="shared" si="9"/>
        <v>0.20833333333333334</v>
      </c>
      <c r="AE15" s="36">
        <f t="shared" si="7"/>
        <v>0.55787037037037035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172</v>
      </c>
      <c r="D16" s="52"/>
      <c r="E16" s="53" t="s">
        <v>173</v>
      </c>
      <c r="F16" s="12" t="s">
        <v>165</v>
      </c>
      <c r="G16" s="12">
        <v>5</v>
      </c>
      <c r="H16" s="13">
        <v>24</v>
      </c>
      <c r="I16" s="31">
        <v>40000</v>
      </c>
      <c r="J16" s="14">
        <v>4830</v>
      </c>
      <c r="K16" s="15">
        <f>L16+4830</f>
        <v>4830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0.55787037037037035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127</v>
      </c>
      <c r="E17" s="53" t="s">
        <v>161</v>
      </c>
      <c r="F17" s="30" t="s">
        <v>149</v>
      </c>
      <c r="G17" s="12">
        <v>4</v>
      </c>
      <c r="H17" s="13">
        <v>28</v>
      </c>
      <c r="I17" s="7">
        <f>105000-16000</f>
        <v>89000</v>
      </c>
      <c r="J17" s="14">
        <v>2740</v>
      </c>
      <c r="K17" s="15">
        <f>L17+13804+13644+15168+9596+5796+2740</f>
        <v>60748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0.55787037037037035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127</v>
      </c>
      <c r="E18" s="53" t="s">
        <v>166</v>
      </c>
      <c r="F18" s="30" t="s">
        <v>128</v>
      </c>
      <c r="G18" s="33">
        <v>4</v>
      </c>
      <c r="H18" s="35">
        <v>24</v>
      </c>
      <c r="I18" s="7">
        <v>500000</v>
      </c>
      <c r="J18" s="5">
        <v>22084</v>
      </c>
      <c r="K18" s="15">
        <f>L18+19272+21812+22172+21128+22260+20792+21416</f>
        <v>170936</v>
      </c>
      <c r="L18" s="15">
        <f>2835*4+2686*4</f>
        <v>22084</v>
      </c>
      <c r="M18" s="15">
        <f t="shared" si="0"/>
        <v>22084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0.55787037037037035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127</v>
      </c>
      <c r="E19" s="53" t="s">
        <v>179</v>
      </c>
      <c r="F19" s="30" t="s">
        <v>149</v>
      </c>
      <c r="G19" s="12">
        <v>1</v>
      </c>
      <c r="H19" s="13">
        <v>28</v>
      </c>
      <c r="I19" s="31">
        <v>1000</v>
      </c>
      <c r="J19" s="5">
        <v>1041</v>
      </c>
      <c r="K19" s="15">
        <f>L19</f>
        <v>1041</v>
      </c>
      <c r="L19" s="15">
        <f>1041</f>
        <v>1041</v>
      </c>
      <c r="M19" s="15">
        <f t="shared" si="0"/>
        <v>1041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 t="shared" si="6"/>
        <v>0.20833333333333334</v>
      </c>
      <c r="AE19" s="36">
        <f t="shared" si="7"/>
        <v>0.55787037037037035</v>
      </c>
      <c r="AF19" s="84">
        <f t="shared" si="8"/>
        <v>13</v>
      </c>
    </row>
    <row r="20" spans="1:32" ht="27" customHeight="1">
      <c r="A20" s="113">
        <v>13</v>
      </c>
      <c r="B20" s="11" t="s">
        <v>57</v>
      </c>
      <c r="C20" s="34" t="s">
        <v>120</v>
      </c>
      <c r="D20" s="52" t="s">
        <v>115</v>
      </c>
      <c r="E20" s="53" t="s">
        <v>180</v>
      </c>
      <c r="F20" s="30" t="s">
        <v>150</v>
      </c>
      <c r="G20" s="12">
        <v>1</v>
      </c>
      <c r="H20" s="13">
        <v>28</v>
      </c>
      <c r="I20" s="31">
        <v>500</v>
      </c>
      <c r="J20" s="5">
        <v>620</v>
      </c>
      <c r="K20" s="15">
        <f>L20</f>
        <v>620</v>
      </c>
      <c r="L20" s="15">
        <v>620</v>
      </c>
      <c r="M20" s="15">
        <f t="shared" ref="M20" si="18">L20-N20</f>
        <v>620</v>
      </c>
      <c r="N20" s="15">
        <v>0</v>
      </c>
      <c r="O20" s="58">
        <f t="shared" ref="O20" si="19">IF(L20=0,"0",N20/L20)</f>
        <v>0</v>
      </c>
      <c r="P20" s="39">
        <f t="shared" ref="P20" si="20">IF(L20=0,"0",(24-Q20))</f>
        <v>4</v>
      </c>
      <c r="Q20" s="40">
        <f t="shared" ref="Q20" si="21">SUM(R20:AA20)</f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ref="AB20" si="22">IF(J20=0,"0",(L20/J20))</f>
        <v>1</v>
      </c>
      <c r="AC20" s="9">
        <f t="shared" ref="AC20" si="23">IF(P20=0,"0",(P20/24))</f>
        <v>0.16666666666666666</v>
      </c>
      <c r="AD20" s="10">
        <f t="shared" ref="AD20" si="24">AC20*AB20*(1-O20)</f>
        <v>0.16666666666666666</v>
      </c>
      <c r="AE20" s="36">
        <f t="shared" si="7"/>
        <v>0.55787037037037035</v>
      </c>
      <c r="AF20" s="84">
        <f t="shared" ref="AF20" si="25">A20</f>
        <v>13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127</v>
      </c>
      <c r="E21" s="53" t="s">
        <v>169</v>
      </c>
      <c r="F21" s="30" t="s">
        <v>124</v>
      </c>
      <c r="G21" s="33">
        <v>1</v>
      </c>
      <c r="H21" s="35">
        <v>24</v>
      </c>
      <c r="I21" s="7">
        <v>12000</v>
      </c>
      <c r="J21" s="5">
        <v>4456</v>
      </c>
      <c r="K21" s="15">
        <f>L21+4353+4555</f>
        <v>13364</v>
      </c>
      <c r="L21" s="15">
        <f>2190+2266</f>
        <v>4456</v>
      </c>
      <c r="M21" s="15">
        <f t="shared" si="0"/>
        <v>4456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>AC21*AB21*(1-O21)</f>
        <v>1</v>
      </c>
      <c r="AE21" s="36">
        <f t="shared" si="7"/>
        <v>0.55787037037037035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164</v>
      </c>
      <c r="F22" s="30" t="s">
        <v>119</v>
      </c>
      <c r="G22" s="33">
        <v>1</v>
      </c>
      <c r="H22" s="35">
        <v>24</v>
      </c>
      <c r="I22" s="7">
        <v>64000</v>
      </c>
      <c r="J22" s="14">
        <v>5645</v>
      </c>
      <c r="K22" s="15">
        <f>L22+4204+5394+5278+1522+3899+5224+5152+5164+2208+4924+654+3141+5593+2079+5343+5450+440+2090+4864+5654+5372+4913</f>
        <v>94207</v>
      </c>
      <c r="L22" s="15">
        <f>2905+2740</f>
        <v>5645</v>
      </c>
      <c r="M22" s="15">
        <f t="shared" si="0"/>
        <v>5645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0.55787037037037035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162</v>
      </c>
      <c r="F23" s="12" t="s">
        <v>114</v>
      </c>
      <c r="G23" s="12">
        <v>4</v>
      </c>
      <c r="H23" s="35">
        <v>20</v>
      </c>
      <c r="I23" s="7">
        <v>500000</v>
      </c>
      <c r="J23" s="14">
        <v>37868</v>
      </c>
      <c r="K23" s="15">
        <f>L23+16808+39112+38440+39748+31140+68844+45656+37140+73976+32892+39440</f>
        <v>501064</v>
      </c>
      <c r="L23" s="15">
        <f>9467*4</f>
        <v>37868</v>
      </c>
      <c r="M23" s="15">
        <f t="shared" si="0"/>
        <v>37868</v>
      </c>
      <c r="N23" s="15">
        <v>0</v>
      </c>
      <c r="O23" s="58">
        <f t="shared" si="1"/>
        <v>0</v>
      </c>
      <c r="P23" s="39">
        <f t="shared" si="2"/>
        <v>10</v>
      </c>
      <c r="Q23" s="40">
        <f t="shared" si="3"/>
        <v>14</v>
      </c>
      <c r="R23" s="7"/>
      <c r="S23" s="6"/>
      <c r="T23" s="16"/>
      <c r="U23" s="16"/>
      <c r="V23" s="17">
        <v>14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0.41666666666666669</v>
      </c>
      <c r="AD23" s="10">
        <f t="shared" si="6"/>
        <v>0.41666666666666669</v>
      </c>
      <c r="AE23" s="36">
        <f t="shared" si="7"/>
        <v>0.55787037037037035</v>
      </c>
      <c r="AF23" s="84">
        <f t="shared" si="8"/>
        <v>16</v>
      </c>
    </row>
    <row r="24" spans="1:32" ht="31.5" customHeight="1" thickBot="1">
      <c r="A24" s="424" t="s">
        <v>34</v>
      </c>
      <c r="B24" s="425"/>
      <c r="C24" s="425"/>
      <c r="D24" s="425"/>
      <c r="E24" s="425"/>
      <c r="F24" s="425"/>
      <c r="G24" s="425"/>
      <c r="H24" s="426"/>
      <c r="I24" s="22">
        <f t="shared" ref="I24:N24" si="26">SUM(I6:I23)</f>
        <v>1982900</v>
      </c>
      <c r="J24" s="19">
        <f t="shared" si="26"/>
        <v>191333</v>
      </c>
      <c r="K24" s="20">
        <f t="shared" si="26"/>
        <v>1150817</v>
      </c>
      <c r="L24" s="21">
        <f t="shared" si="26"/>
        <v>183763</v>
      </c>
      <c r="M24" s="20">
        <f t="shared" si="26"/>
        <v>183763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241</v>
      </c>
      <c r="Q24" s="43">
        <f t="shared" si="27"/>
        <v>191</v>
      </c>
      <c r="R24" s="23">
        <f t="shared" si="27"/>
        <v>24</v>
      </c>
      <c r="S24" s="24">
        <f t="shared" si="27"/>
        <v>39</v>
      </c>
      <c r="T24" s="24">
        <f t="shared" si="27"/>
        <v>6</v>
      </c>
      <c r="U24" s="24">
        <f t="shared" si="27"/>
        <v>0</v>
      </c>
      <c r="V24" s="25">
        <f t="shared" si="27"/>
        <v>14</v>
      </c>
      <c r="W24" s="26">
        <f t="shared" si="27"/>
        <v>108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0</v>
      </c>
      <c r="AB24" s="28">
        <f>AVERAGE(AB6:AB23)</f>
        <v>0.88888888888888884</v>
      </c>
      <c r="AC24" s="4">
        <f>AVERAGE(AC6:AC23)</f>
        <v>0.55787037037037035</v>
      </c>
      <c r="AD24" s="4">
        <f>AVERAGE(AD6:AD23)</f>
        <v>0.55787037037037035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27" t="s">
        <v>45</v>
      </c>
      <c r="B51" s="427"/>
      <c r="C51" s="427"/>
      <c r="D51" s="427"/>
      <c r="E51" s="42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28" t="s">
        <v>182</v>
      </c>
      <c r="B52" s="429"/>
      <c r="C52" s="429"/>
      <c r="D52" s="429"/>
      <c r="E52" s="429"/>
      <c r="F52" s="429"/>
      <c r="G52" s="429"/>
      <c r="H52" s="429"/>
      <c r="I52" s="429"/>
      <c r="J52" s="429"/>
      <c r="K52" s="429"/>
      <c r="L52" s="429"/>
      <c r="M52" s="430"/>
      <c r="N52" s="431" t="s">
        <v>187</v>
      </c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  <c r="AA52" s="432"/>
      <c r="AB52" s="432"/>
      <c r="AC52" s="432"/>
      <c r="AD52" s="433"/>
    </row>
    <row r="53" spans="1:32" ht="27" customHeight="1">
      <c r="A53" s="434" t="s">
        <v>2</v>
      </c>
      <c r="B53" s="435"/>
      <c r="C53" s="130" t="s">
        <v>46</v>
      </c>
      <c r="D53" s="130" t="s">
        <v>47</v>
      </c>
      <c r="E53" s="130" t="s">
        <v>107</v>
      </c>
      <c r="F53" s="436" t="s">
        <v>106</v>
      </c>
      <c r="G53" s="437"/>
      <c r="H53" s="437"/>
      <c r="I53" s="437"/>
      <c r="J53" s="437"/>
      <c r="K53" s="437"/>
      <c r="L53" s="437"/>
      <c r="M53" s="438"/>
      <c r="N53" s="67" t="s">
        <v>110</v>
      </c>
      <c r="O53" s="130" t="s">
        <v>46</v>
      </c>
      <c r="P53" s="436" t="s">
        <v>47</v>
      </c>
      <c r="Q53" s="439"/>
      <c r="R53" s="436" t="s">
        <v>38</v>
      </c>
      <c r="S53" s="437"/>
      <c r="T53" s="437"/>
      <c r="U53" s="439"/>
      <c r="V53" s="436" t="s">
        <v>48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50" t="s">
        <v>120</v>
      </c>
      <c r="B54" s="451"/>
      <c r="C54" s="127" t="s">
        <v>145</v>
      </c>
      <c r="D54" s="127" t="s">
        <v>143</v>
      </c>
      <c r="E54" s="127" t="s">
        <v>167</v>
      </c>
      <c r="F54" s="452" t="s">
        <v>160</v>
      </c>
      <c r="G54" s="453"/>
      <c r="H54" s="453"/>
      <c r="I54" s="453"/>
      <c r="J54" s="453"/>
      <c r="K54" s="453"/>
      <c r="L54" s="453"/>
      <c r="M54" s="454"/>
      <c r="N54" s="126" t="s">
        <v>120</v>
      </c>
      <c r="O54" s="124" t="s">
        <v>145</v>
      </c>
      <c r="P54" s="455" t="s">
        <v>143</v>
      </c>
      <c r="Q54" s="456"/>
      <c r="R54" s="455" t="s">
        <v>170</v>
      </c>
      <c r="S54" s="457"/>
      <c r="T54" s="457"/>
      <c r="U54" s="456"/>
      <c r="V54" s="458" t="s">
        <v>174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127" t="s">
        <v>131</v>
      </c>
      <c r="D55" s="127" t="s">
        <v>183</v>
      </c>
      <c r="E55" s="127" t="s">
        <v>178</v>
      </c>
      <c r="F55" s="452" t="s">
        <v>159</v>
      </c>
      <c r="G55" s="453"/>
      <c r="H55" s="453"/>
      <c r="I55" s="453"/>
      <c r="J55" s="453"/>
      <c r="K55" s="453"/>
      <c r="L55" s="453"/>
      <c r="M55" s="454"/>
      <c r="N55" s="126" t="s">
        <v>112</v>
      </c>
      <c r="O55" s="124" t="s">
        <v>157</v>
      </c>
      <c r="P55" s="455" t="s">
        <v>155</v>
      </c>
      <c r="Q55" s="456"/>
      <c r="R55" s="455" t="s">
        <v>156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112</v>
      </c>
      <c r="B56" s="451"/>
      <c r="C56" s="127" t="s">
        <v>152</v>
      </c>
      <c r="D56" s="127" t="s">
        <v>126</v>
      </c>
      <c r="E56" s="127" t="s">
        <v>168</v>
      </c>
      <c r="F56" s="452" t="s">
        <v>139</v>
      </c>
      <c r="G56" s="453"/>
      <c r="H56" s="453"/>
      <c r="I56" s="453"/>
      <c r="J56" s="453"/>
      <c r="K56" s="453"/>
      <c r="L56" s="453"/>
      <c r="M56" s="454"/>
      <c r="N56" s="133" t="s">
        <v>123</v>
      </c>
      <c r="O56" s="132" t="s">
        <v>144</v>
      </c>
      <c r="P56" s="455"/>
      <c r="Q56" s="456"/>
      <c r="R56" s="455" t="s">
        <v>188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123</v>
      </c>
      <c r="B57" s="451"/>
      <c r="C57" s="127" t="s">
        <v>135</v>
      </c>
      <c r="D57" s="127" t="s">
        <v>171</v>
      </c>
      <c r="E57" s="127" t="s">
        <v>175</v>
      </c>
      <c r="F57" s="452" t="s">
        <v>174</v>
      </c>
      <c r="G57" s="453"/>
      <c r="H57" s="453"/>
      <c r="I57" s="453"/>
      <c r="J57" s="453"/>
      <c r="K57" s="453"/>
      <c r="L57" s="453"/>
      <c r="M57" s="454"/>
      <c r="N57" s="126" t="s">
        <v>112</v>
      </c>
      <c r="O57" s="124" t="s">
        <v>184</v>
      </c>
      <c r="P57" s="455" t="s">
        <v>190</v>
      </c>
      <c r="Q57" s="456"/>
      <c r="R57" s="455" t="s">
        <v>189</v>
      </c>
      <c r="S57" s="457"/>
      <c r="T57" s="457"/>
      <c r="U57" s="456"/>
      <c r="V57" s="458" t="s">
        <v>118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112</v>
      </c>
      <c r="B58" s="451"/>
      <c r="C58" s="127" t="s">
        <v>151</v>
      </c>
      <c r="D58" s="127" t="s">
        <v>127</v>
      </c>
      <c r="E58" s="127" t="s">
        <v>141</v>
      </c>
      <c r="F58" s="452" t="s">
        <v>118</v>
      </c>
      <c r="G58" s="453"/>
      <c r="H58" s="453"/>
      <c r="I58" s="453"/>
      <c r="J58" s="453"/>
      <c r="K58" s="453"/>
      <c r="L58" s="453"/>
      <c r="M58" s="454"/>
      <c r="N58" s="126" t="s">
        <v>112</v>
      </c>
      <c r="O58" s="124" t="s">
        <v>193</v>
      </c>
      <c r="P58" s="455" t="s">
        <v>190</v>
      </c>
      <c r="Q58" s="456"/>
      <c r="R58" s="455" t="s">
        <v>191</v>
      </c>
      <c r="S58" s="457"/>
      <c r="T58" s="457"/>
      <c r="U58" s="456"/>
      <c r="V58" s="458" t="s">
        <v>192</v>
      </c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112</v>
      </c>
      <c r="B59" s="451"/>
      <c r="C59" s="127" t="s">
        <v>148</v>
      </c>
      <c r="D59" s="127" t="s">
        <v>115</v>
      </c>
      <c r="E59" s="127" t="s">
        <v>146</v>
      </c>
      <c r="F59" s="452" t="s">
        <v>118</v>
      </c>
      <c r="G59" s="453"/>
      <c r="H59" s="453"/>
      <c r="I59" s="453"/>
      <c r="J59" s="453"/>
      <c r="K59" s="453"/>
      <c r="L59" s="453"/>
      <c r="M59" s="454"/>
      <c r="N59" s="126"/>
      <c r="O59" s="124"/>
      <c r="P59" s="455"/>
      <c r="Q59" s="456"/>
      <c r="R59" s="455"/>
      <c r="S59" s="457"/>
      <c r="T59" s="457"/>
      <c r="U59" s="456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 t="s">
        <v>120</v>
      </c>
      <c r="B60" s="451"/>
      <c r="C60" s="127" t="s">
        <v>138</v>
      </c>
      <c r="D60" s="127" t="s">
        <v>127</v>
      </c>
      <c r="E60" s="127" t="s">
        <v>179</v>
      </c>
      <c r="F60" s="452" t="s">
        <v>118</v>
      </c>
      <c r="G60" s="453"/>
      <c r="H60" s="453"/>
      <c r="I60" s="453"/>
      <c r="J60" s="453"/>
      <c r="K60" s="453"/>
      <c r="L60" s="453"/>
      <c r="M60" s="454"/>
      <c r="N60" s="126"/>
      <c r="O60" s="124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 t="s">
        <v>120</v>
      </c>
      <c r="B61" s="451"/>
      <c r="C61" s="127" t="s">
        <v>184</v>
      </c>
      <c r="D61" s="127" t="s">
        <v>115</v>
      </c>
      <c r="E61" s="127" t="s">
        <v>185</v>
      </c>
      <c r="F61" s="452" t="s">
        <v>186</v>
      </c>
      <c r="G61" s="453"/>
      <c r="H61" s="453"/>
      <c r="I61" s="453"/>
      <c r="J61" s="453"/>
      <c r="K61" s="453"/>
      <c r="L61" s="453"/>
      <c r="M61" s="454"/>
      <c r="N61" s="126"/>
      <c r="O61" s="124"/>
      <c r="P61" s="455"/>
      <c r="Q61" s="456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</row>
    <row r="62" spans="1:32" ht="27" customHeight="1">
      <c r="A62" s="450"/>
      <c r="B62" s="451"/>
      <c r="C62" s="127"/>
      <c r="D62" s="127"/>
      <c r="E62" s="127"/>
      <c r="F62" s="452"/>
      <c r="G62" s="453"/>
      <c r="H62" s="453"/>
      <c r="I62" s="453"/>
      <c r="J62" s="453"/>
      <c r="K62" s="453"/>
      <c r="L62" s="453"/>
      <c r="M62" s="454"/>
      <c r="N62" s="126"/>
      <c r="O62" s="124"/>
      <c r="P62" s="451"/>
      <c r="Q62" s="451"/>
      <c r="R62" s="451"/>
      <c r="S62" s="451"/>
      <c r="T62" s="451"/>
      <c r="U62" s="451"/>
      <c r="V62" s="458"/>
      <c r="W62" s="458"/>
      <c r="X62" s="458"/>
      <c r="Y62" s="458"/>
      <c r="Z62" s="458"/>
      <c r="AA62" s="458"/>
      <c r="AB62" s="458"/>
      <c r="AC62" s="458"/>
      <c r="AD62" s="459"/>
      <c r="AF62" s="84">
        <f>8*3000</f>
        <v>24000</v>
      </c>
    </row>
    <row r="63" spans="1:32" ht="27" customHeight="1" thickBot="1">
      <c r="A63" s="460"/>
      <c r="B63" s="461"/>
      <c r="C63" s="128"/>
      <c r="D63" s="129"/>
      <c r="E63" s="129"/>
      <c r="F63" s="462"/>
      <c r="G63" s="463"/>
      <c r="H63" s="463"/>
      <c r="I63" s="463"/>
      <c r="J63" s="463"/>
      <c r="K63" s="463"/>
      <c r="L63" s="463"/>
      <c r="M63" s="464"/>
      <c r="N63" s="112"/>
      <c r="O63" s="103"/>
      <c r="P63" s="465"/>
      <c r="Q63" s="465"/>
      <c r="R63" s="465"/>
      <c r="S63" s="465"/>
      <c r="T63" s="465"/>
      <c r="U63" s="465"/>
      <c r="V63" s="466"/>
      <c r="W63" s="466"/>
      <c r="X63" s="466"/>
      <c r="Y63" s="466"/>
      <c r="Z63" s="466"/>
      <c r="AA63" s="466"/>
      <c r="AB63" s="466"/>
      <c r="AC63" s="466"/>
      <c r="AD63" s="467"/>
      <c r="AF63" s="84">
        <f>16*3000</f>
        <v>48000</v>
      </c>
    </row>
    <row r="64" spans="1:32" ht="27.75" thickBot="1">
      <c r="A64" s="468" t="s">
        <v>194</v>
      </c>
      <c r="B64" s="468"/>
      <c r="C64" s="468"/>
      <c r="D64" s="468"/>
      <c r="E64" s="468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69" t="s">
        <v>111</v>
      </c>
      <c r="B65" s="470"/>
      <c r="C65" s="125" t="s">
        <v>2</v>
      </c>
      <c r="D65" s="125" t="s">
        <v>37</v>
      </c>
      <c r="E65" s="125" t="s">
        <v>3</v>
      </c>
      <c r="F65" s="470" t="s">
        <v>109</v>
      </c>
      <c r="G65" s="470"/>
      <c r="H65" s="470"/>
      <c r="I65" s="470"/>
      <c r="J65" s="470"/>
      <c r="K65" s="470" t="s">
        <v>39</v>
      </c>
      <c r="L65" s="470"/>
      <c r="M65" s="125" t="s">
        <v>40</v>
      </c>
      <c r="N65" s="470" t="s">
        <v>41</v>
      </c>
      <c r="O65" s="470"/>
      <c r="P65" s="471" t="s">
        <v>42</v>
      </c>
      <c r="Q65" s="472"/>
      <c r="R65" s="471" t="s">
        <v>43</v>
      </c>
      <c r="S65" s="473"/>
      <c r="T65" s="473"/>
      <c r="U65" s="473"/>
      <c r="V65" s="473"/>
      <c r="W65" s="473"/>
      <c r="X65" s="473"/>
      <c r="Y65" s="473"/>
      <c r="Z65" s="473"/>
      <c r="AA65" s="472"/>
      <c r="AB65" s="470" t="s">
        <v>44</v>
      </c>
      <c r="AC65" s="470"/>
      <c r="AD65" s="474"/>
      <c r="AF65" s="84">
        <f>SUM(AF62:AF64)</f>
        <v>96000</v>
      </c>
    </row>
    <row r="66" spans="1:32" ht="25.5" customHeight="1">
      <c r="A66" s="475">
        <v>1</v>
      </c>
      <c r="B66" s="476"/>
      <c r="C66" s="105" t="s">
        <v>203</v>
      </c>
      <c r="D66" s="120"/>
      <c r="E66" s="123" t="s">
        <v>204</v>
      </c>
      <c r="F66" s="477" t="s">
        <v>195</v>
      </c>
      <c r="G66" s="478"/>
      <c r="H66" s="478"/>
      <c r="I66" s="478"/>
      <c r="J66" s="479"/>
      <c r="K66" s="480" t="s">
        <v>196</v>
      </c>
      <c r="L66" s="480"/>
      <c r="M66" s="51" t="s">
        <v>147</v>
      </c>
      <c r="N66" s="481" t="s">
        <v>145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3"/>
      <c r="AC66" s="484"/>
      <c r="AD66" s="485"/>
      <c r="AF66" s="50"/>
    </row>
    <row r="67" spans="1:32" ht="25.5" customHeight="1">
      <c r="A67" s="475">
        <v>2</v>
      </c>
      <c r="B67" s="476"/>
      <c r="C67" s="105" t="s">
        <v>203</v>
      </c>
      <c r="D67" s="120"/>
      <c r="E67" s="123" t="s">
        <v>205</v>
      </c>
      <c r="F67" s="477" t="s">
        <v>197</v>
      </c>
      <c r="G67" s="478"/>
      <c r="H67" s="478"/>
      <c r="I67" s="478"/>
      <c r="J67" s="479"/>
      <c r="K67" s="480" t="s">
        <v>198</v>
      </c>
      <c r="L67" s="480"/>
      <c r="M67" s="51" t="s">
        <v>153</v>
      </c>
      <c r="N67" s="481" t="s">
        <v>152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3</v>
      </c>
      <c r="B68" s="476"/>
      <c r="C68" s="105" t="s">
        <v>203</v>
      </c>
      <c r="D68" s="120"/>
      <c r="E68" s="123" t="s">
        <v>205</v>
      </c>
      <c r="F68" s="477" t="s">
        <v>199</v>
      </c>
      <c r="G68" s="478"/>
      <c r="H68" s="478"/>
      <c r="I68" s="478"/>
      <c r="J68" s="479"/>
      <c r="K68" s="480" t="s">
        <v>198</v>
      </c>
      <c r="L68" s="480"/>
      <c r="M68" s="51" t="s">
        <v>153</v>
      </c>
      <c r="N68" s="481" t="s">
        <v>138</v>
      </c>
      <c r="O68" s="481"/>
      <c r="P68" s="482">
        <v>50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4</v>
      </c>
      <c r="B69" s="476"/>
      <c r="C69" s="105" t="s">
        <v>203</v>
      </c>
      <c r="D69" s="120"/>
      <c r="E69" s="123" t="s">
        <v>205</v>
      </c>
      <c r="F69" s="477" t="s">
        <v>200</v>
      </c>
      <c r="G69" s="478"/>
      <c r="H69" s="478"/>
      <c r="I69" s="478"/>
      <c r="J69" s="479"/>
      <c r="K69" s="480" t="s">
        <v>198</v>
      </c>
      <c r="L69" s="480"/>
      <c r="M69" s="51" t="s">
        <v>153</v>
      </c>
      <c r="N69" s="481" t="s">
        <v>138</v>
      </c>
      <c r="O69" s="481"/>
      <c r="P69" s="482">
        <v>50</v>
      </c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5</v>
      </c>
      <c r="B70" s="476"/>
      <c r="C70" s="105" t="s">
        <v>203</v>
      </c>
      <c r="D70" s="120"/>
      <c r="E70" s="123" t="s">
        <v>115</v>
      </c>
      <c r="F70" s="477" t="s">
        <v>201</v>
      </c>
      <c r="G70" s="478"/>
      <c r="H70" s="478"/>
      <c r="I70" s="478"/>
      <c r="J70" s="479"/>
      <c r="K70" s="480">
        <v>7301</v>
      </c>
      <c r="L70" s="480"/>
      <c r="M70" s="51" t="s">
        <v>153</v>
      </c>
      <c r="N70" s="481" t="s">
        <v>138</v>
      </c>
      <c r="O70" s="481"/>
      <c r="P70" s="482">
        <v>50</v>
      </c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6</v>
      </c>
      <c r="B71" s="476"/>
      <c r="C71" s="105" t="s">
        <v>203</v>
      </c>
      <c r="D71" s="120"/>
      <c r="E71" s="123" t="s">
        <v>115</v>
      </c>
      <c r="F71" s="477" t="s">
        <v>185</v>
      </c>
      <c r="G71" s="478"/>
      <c r="H71" s="478"/>
      <c r="I71" s="478"/>
      <c r="J71" s="479"/>
      <c r="K71" s="480">
        <v>7301</v>
      </c>
      <c r="L71" s="480"/>
      <c r="M71" s="51" t="s">
        <v>153</v>
      </c>
      <c r="N71" s="481" t="s">
        <v>138</v>
      </c>
      <c r="O71" s="481"/>
      <c r="P71" s="482">
        <v>50</v>
      </c>
      <c r="Q71" s="482"/>
      <c r="R71" s="458" t="s">
        <v>202</v>
      </c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7</v>
      </c>
      <c r="B72" s="476"/>
      <c r="C72" s="105"/>
      <c r="D72" s="120"/>
      <c r="E72" s="12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8</v>
      </c>
      <c r="B73" s="476"/>
      <c r="C73" s="105"/>
      <c r="D73" s="120"/>
      <c r="E73" s="12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9</v>
      </c>
      <c r="B74" s="476"/>
      <c r="C74" s="105"/>
      <c r="D74" s="120"/>
      <c r="E74" s="123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5.5" customHeight="1">
      <c r="A75" s="475">
        <v>10</v>
      </c>
      <c r="B75" s="476"/>
      <c r="C75" s="105"/>
      <c r="D75" s="120"/>
      <c r="E75" s="123"/>
      <c r="F75" s="487"/>
      <c r="G75" s="480"/>
      <c r="H75" s="480"/>
      <c r="I75" s="480"/>
      <c r="J75" s="480"/>
      <c r="K75" s="480"/>
      <c r="L75" s="480"/>
      <c r="M75" s="51"/>
      <c r="N75" s="481"/>
      <c r="O75" s="481"/>
      <c r="P75" s="482"/>
      <c r="Q75" s="482"/>
      <c r="R75" s="458"/>
      <c r="S75" s="458"/>
      <c r="T75" s="458"/>
      <c r="U75" s="458"/>
      <c r="V75" s="458"/>
      <c r="W75" s="458"/>
      <c r="X75" s="458"/>
      <c r="Y75" s="458"/>
      <c r="Z75" s="458"/>
      <c r="AA75" s="458"/>
      <c r="AB75" s="480"/>
      <c r="AC75" s="480"/>
      <c r="AD75" s="486"/>
      <c r="AF75" s="50"/>
    </row>
    <row r="76" spans="1:32" ht="26.25" customHeight="1" thickBot="1">
      <c r="A76" s="488" t="s">
        <v>206</v>
      </c>
      <c r="B76" s="488"/>
      <c r="C76" s="488"/>
      <c r="D76" s="488"/>
      <c r="E76" s="488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89" t="s">
        <v>111</v>
      </c>
      <c r="B77" s="490"/>
      <c r="C77" s="122" t="s">
        <v>2</v>
      </c>
      <c r="D77" s="122" t="s">
        <v>37</v>
      </c>
      <c r="E77" s="122" t="s">
        <v>3</v>
      </c>
      <c r="F77" s="490" t="s">
        <v>38</v>
      </c>
      <c r="G77" s="490"/>
      <c r="H77" s="490"/>
      <c r="I77" s="490"/>
      <c r="J77" s="490"/>
      <c r="K77" s="491" t="s">
        <v>58</v>
      </c>
      <c r="L77" s="492"/>
      <c r="M77" s="492"/>
      <c r="N77" s="492"/>
      <c r="O77" s="492"/>
      <c r="P77" s="492"/>
      <c r="Q77" s="492"/>
      <c r="R77" s="492"/>
      <c r="S77" s="493"/>
      <c r="T77" s="490" t="s">
        <v>49</v>
      </c>
      <c r="U77" s="490"/>
      <c r="V77" s="491" t="s">
        <v>50</v>
      </c>
      <c r="W77" s="493"/>
      <c r="X77" s="492" t="s">
        <v>51</v>
      </c>
      <c r="Y77" s="492"/>
      <c r="Z77" s="492"/>
      <c r="AA77" s="492"/>
      <c r="AB77" s="492"/>
      <c r="AC77" s="492"/>
      <c r="AD77" s="494"/>
      <c r="AF77" s="50"/>
    </row>
    <row r="78" spans="1:32" ht="33.75" customHeight="1">
      <c r="A78" s="503">
        <v>1</v>
      </c>
      <c r="B78" s="504"/>
      <c r="C78" s="121" t="s">
        <v>112</v>
      </c>
      <c r="D78" s="121"/>
      <c r="E78" s="65" t="s">
        <v>117</v>
      </c>
      <c r="F78" s="505" t="s">
        <v>116</v>
      </c>
      <c r="G78" s="506"/>
      <c r="H78" s="506"/>
      <c r="I78" s="506"/>
      <c r="J78" s="507"/>
      <c r="K78" s="508" t="s">
        <v>122</v>
      </c>
      <c r="L78" s="509"/>
      <c r="M78" s="509"/>
      <c r="N78" s="509"/>
      <c r="O78" s="509"/>
      <c r="P78" s="509"/>
      <c r="Q78" s="509"/>
      <c r="R78" s="509"/>
      <c r="S78" s="510"/>
      <c r="T78" s="511">
        <v>43675</v>
      </c>
      <c r="U78" s="512"/>
      <c r="V78" s="513"/>
      <c r="W78" s="513"/>
      <c r="X78" s="514"/>
      <c r="Y78" s="514"/>
      <c r="Z78" s="514"/>
      <c r="AA78" s="514"/>
      <c r="AB78" s="514"/>
      <c r="AC78" s="514"/>
      <c r="AD78" s="515"/>
      <c r="AF78" s="50"/>
    </row>
    <row r="79" spans="1:32" ht="30" customHeight="1">
      <c r="A79" s="495">
        <f>A78+1</f>
        <v>2</v>
      </c>
      <c r="B79" s="496"/>
      <c r="C79" s="120"/>
      <c r="D79" s="120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ref="A80:A84" si="28">A79+1</f>
        <v>3</v>
      </c>
      <c r="B80" s="496"/>
      <c r="C80" s="120"/>
      <c r="D80" s="120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8"/>
        <v>4</v>
      </c>
      <c r="B81" s="496"/>
      <c r="C81" s="120"/>
      <c r="D81" s="120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8"/>
        <v>5</v>
      </c>
      <c r="B82" s="496"/>
      <c r="C82" s="120"/>
      <c r="D82" s="120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8"/>
        <v>6</v>
      </c>
      <c r="B83" s="496"/>
      <c r="C83" s="120"/>
      <c r="D83" s="120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0" customHeight="1">
      <c r="A84" s="495">
        <f t="shared" si="28"/>
        <v>7</v>
      </c>
      <c r="B84" s="496"/>
      <c r="C84" s="120"/>
      <c r="D84" s="120"/>
      <c r="E84" s="32"/>
      <c r="F84" s="496"/>
      <c r="G84" s="496"/>
      <c r="H84" s="496"/>
      <c r="I84" s="496"/>
      <c r="J84" s="496"/>
      <c r="K84" s="497"/>
      <c r="L84" s="498"/>
      <c r="M84" s="498"/>
      <c r="N84" s="498"/>
      <c r="O84" s="498"/>
      <c r="P84" s="498"/>
      <c r="Q84" s="498"/>
      <c r="R84" s="498"/>
      <c r="S84" s="499"/>
      <c r="T84" s="500"/>
      <c r="U84" s="500"/>
      <c r="V84" s="500"/>
      <c r="W84" s="500"/>
      <c r="X84" s="501"/>
      <c r="Y84" s="501"/>
      <c r="Z84" s="501"/>
      <c r="AA84" s="501"/>
      <c r="AB84" s="501"/>
      <c r="AC84" s="501"/>
      <c r="AD84" s="502"/>
      <c r="AF84" s="50"/>
    </row>
    <row r="85" spans="1:32" ht="36" thickBot="1">
      <c r="A85" s="488" t="s">
        <v>207</v>
      </c>
      <c r="B85" s="488"/>
      <c r="C85" s="488"/>
      <c r="D85" s="488"/>
      <c r="E85" s="488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89" t="s">
        <v>111</v>
      </c>
      <c r="B86" s="490"/>
      <c r="C86" s="516" t="s">
        <v>52</v>
      </c>
      <c r="D86" s="516"/>
      <c r="E86" s="516" t="s">
        <v>53</v>
      </c>
      <c r="F86" s="516"/>
      <c r="G86" s="516"/>
      <c r="H86" s="516"/>
      <c r="I86" s="516"/>
      <c r="J86" s="516"/>
      <c r="K86" s="516" t="s">
        <v>54</v>
      </c>
      <c r="L86" s="516"/>
      <c r="M86" s="516"/>
      <c r="N86" s="516"/>
      <c r="O86" s="516"/>
      <c r="P86" s="516"/>
      <c r="Q86" s="516"/>
      <c r="R86" s="516"/>
      <c r="S86" s="516"/>
      <c r="T86" s="516" t="s">
        <v>55</v>
      </c>
      <c r="U86" s="516"/>
      <c r="V86" s="516" t="s">
        <v>56</v>
      </c>
      <c r="W86" s="516"/>
      <c r="X86" s="516"/>
      <c r="Y86" s="516" t="s">
        <v>51</v>
      </c>
      <c r="Z86" s="516"/>
      <c r="AA86" s="516"/>
      <c r="AB86" s="516"/>
      <c r="AC86" s="516"/>
      <c r="AD86" s="517"/>
      <c r="AF86" s="50"/>
    </row>
    <row r="87" spans="1:32" ht="30.75" customHeight="1">
      <c r="A87" s="503">
        <v>1</v>
      </c>
      <c r="B87" s="504"/>
      <c r="C87" s="518"/>
      <c r="D87" s="518"/>
      <c r="E87" s="518"/>
      <c r="F87" s="518"/>
      <c r="G87" s="518"/>
      <c r="H87" s="518"/>
      <c r="I87" s="518"/>
      <c r="J87" s="518"/>
      <c r="K87" s="518"/>
      <c r="L87" s="518"/>
      <c r="M87" s="518"/>
      <c r="N87" s="518"/>
      <c r="O87" s="518"/>
      <c r="P87" s="518"/>
      <c r="Q87" s="518"/>
      <c r="R87" s="518"/>
      <c r="S87" s="518"/>
      <c r="T87" s="518"/>
      <c r="U87" s="518"/>
      <c r="V87" s="519"/>
      <c r="W87" s="519"/>
      <c r="X87" s="519"/>
      <c r="Y87" s="520"/>
      <c r="Z87" s="520"/>
      <c r="AA87" s="520"/>
      <c r="AB87" s="520"/>
      <c r="AC87" s="520"/>
      <c r="AD87" s="521"/>
      <c r="AF87" s="50"/>
    </row>
    <row r="88" spans="1:32" ht="30.75" customHeight="1">
      <c r="A88" s="495">
        <v>2</v>
      </c>
      <c r="B88" s="496"/>
      <c r="C88" s="529"/>
      <c r="D88" s="529"/>
      <c r="E88" s="529"/>
      <c r="F88" s="529"/>
      <c r="G88" s="529"/>
      <c r="H88" s="529"/>
      <c r="I88" s="529"/>
      <c r="J88" s="529"/>
      <c r="K88" s="529"/>
      <c r="L88" s="529"/>
      <c r="M88" s="529"/>
      <c r="N88" s="529"/>
      <c r="O88" s="529"/>
      <c r="P88" s="529"/>
      <c r="Q88" s="529"/>
      <c r="R88" s="529"/>
      <c r="S88" s="529"/>
      <c r="T88" s="530"/>
      <c r="U88" s="530"/>
      <c r="V88" s="531"/>
      <c r="W88" s="531"/>
      <c r="X88" s="531"/>
      <c r="Y88" s="522"/>
      <c r="Z88" s="522"/>
      <c r="AA88" s="522"/>
      <c r="AB88" s="522"/>
      <c r="AC88" s="522"/>
      <c r="AD88" s="523"/>
      <c r="AF88" s="50"/>
    </row>
    <row r="89" spans="1:32" ht="30.75" customHeight="1" thickBot="1">
      <c r="A89" s="524">
        <v>3</v>
      </c>
      <c r="B89" s="525"/>
      <c r="C89" s="526"/>
      <c r="D89" s="526"/>
      <c r="E89" s="526"/>
      <c r="F89" s="526"/>
      <c r="G89" s="526"/>
      <c r="H89" s="526"/>
      <c r="I89" s="526"/>
      <c r="J89" s="526"/>
      <c r="K89" s="526"/>
      <c r="L89" s="526"/>
      <c r="M89" s="526"/>
      <c r="N89" s="526"/>
      <c r="O89" s="526"/>
      <c r="P89" s="526"/>
      <c r="Q89" s="526"/>
      <c r="R89" s="526"/>
      <c r="S89" s="526"/>
      <c r="T89" s="526"/>
      <c r="U89" s="526"/>
      <c r="V89" s="526"/>
      <c r="W89" s="526"/>
      <c r="X89" s="526"/>
      <c r="Y89" s="527"/>
      <c r="Z89" s="527"/>
      <c r="AA89" s="527"/>
      <c r="AB89" s="527"/>
      <c r="AC89" s="527"/>
      <c r="AD89" s="528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6488-81CC-497E-9891-0A7CE7F8AF04}">
  <dimension ref="A1:AF88"/>
  <sheetViews>
    <sheetView view="pageBreakPreview" topLeftCell="A64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208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34" t="s">
        <v>17</v>
      </c>
      <c r="L5" s="134" t="s">
        <v>18</v>
      </c>
      <c r="M5" s="134" t="s">
        <v>19</v>
      </c>
      <c r="N5" s="1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170</v>
      </c>
      <c r="F6" s="30" t="s">
        <v>209</v>
      </c>
      <c r="G6" s="12">
        <v>1</v>
      </c>
      <c r="H6" s="13">
        <v>24</v>
      </c>
      <c r="I6" s="31">
        <v>700</v>
      </c>
      <c r="J6" s="5">
        <v>862</v>
      </c>
      <c r="K6" s="15">
        <f>L6</f>
        <v>862</v>
      </c>
      <c r="L6" s="15">
        <f>862</f>
        <v>862</v>
      </c>
      <c r="M6" s="15">
        <f t="shared" ref="M6:M22" si="0">L6-N6</f>
        <v>862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5</v>
      </c>
      <c r="Q6" s="40">
        <f t="shared" ref="Q6:Q22" si="3">SUM(R6:AA6)</f>
        <v>19</v>
      </c>
      <c r="R6" s="7"/>
      <c r="S6" s="6">
        <v>2</v>
      </c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0.20833333333333334</v>
      </c>
      <c r="AD6" s="10">
        <f t="shared" ref="AD6:AD22" si="6">AC6*AB6*(1-O6)</f>
        <v>0.20833333333333334</v>
      </c>
      <c r="AE6" s="36">
        <f t="shared" ref="AE6:AE22" si="7">$AD$23</f>
        <v>0.62745098039215674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6061</v>
      </c>
      <c r="K7" s="15">
        <f>L7+3721</f>
        <v>9782</v>
      </c>
      <c r="L7" s="15">
        <f>3011+3050</f>
        <v>6061</v>
      </c>
      <c r="M7" s="15">
        <f t="shared" si="0"/>
        <v>6061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0.62745098039215674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126</v>
      </c>
      <c r="E8" s="53" t="s">
        <v>140</v>
      </c>
      <c r="F8" s="30" t="s">
        <v>137</v>
      </c>
      <c r="G8" s="33">
        <v>1</v>
      </c>
      <c r="H8" s="35">
        <v>24</v>
      </c>
      <c r="I8" s="7">
        <v>20000</v>
      </c>
      <c r="J8" s="14">
        <v>5743</v>
      </c>
      <c r="K8" s="15">
        <f>L8+4301+5543+5685</f>
        <v>21272</v>
      </c>
      <c r="L8" s="15">
        <f>2852+2891</f>
        <v>5743</v>
      </c>
      <c r="M8" s="15">
        <f t="shared" si="0"/>
        <v>5743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0.62745098039215674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123</v>
      </c>
      <c r="D9" s="52" t="s">
        <v>171</v>
      </c>
      <c r="E9" s="53" t="s">
        <v>175</v>
      </c>
      <c r="F9" s="30" t="s">
        <v>154</v>
      </c>
      <c r="G9" s="33">
        <v>1</v>
      </c>
      <c r="H9" s="35">
        <v>24</v>
      </c>
      <c r="I9" s="7">
        <v>5300</v>
      </c>
      <c r="J9" s="14">
        <v>2179</v>
      </c>
      <c r="K9" s="15">
        <f>L9+4051</f>
        <v>6230</v>
      </c>
      <c r="L9" s="15">
        <v>2179</v>
      </c>
      <c r="M9" s="15">
        <f t="shared" si="0"/>
        <v>2179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/>
      <c r="T9" s="16"/>
      <c r="U9" s="16"/>
      <c r="V9" s="17"/>
      <c r="W9" s="5">
        <v>14</v>
      </c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0.62745098039215674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127</v>
      </c>
      <c r="E10" s="53" t="s">
        <v>141</v>
      </c>
      <c r="F10" s="30" t="s">
        <v>124</v>
      </c>
      <c r="G10" s="33">
        <v>1</v>
      </c>
      <c r="H10" s="35">
        <v>24</v>
      </c>
      <c r="I10" s="7">
        <v>100000</v>
      </c>
      <c r="J10" s="5">
        <v>5070</v>
      </c>
      <c r="K10" s="15">
        <f>L10+3346</f>
        <v>8416</v>
      </c>
      <c r="L10" s="15">
        <f>2250+2820</f>
        <v>5070</v>
      </c>
      <c r="M10" s="15">
        <f t="shared" si="0"/>
        <v>5070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0.62745098039215674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112</v>
      </c>
      <c r="D11" s="52" t="s">
        <v>155</v>
      </c>
      <c r="E11" s="53" t="s">
        <v>156</v>
      </c>
      <c r="F11" s="30" t="s">
        <v>124</v>
      </c>
      <c r="G11" s="12">
        <v>1</v>
      </c>
      <c r="H11" s="13">
        <v>28</v>
      </c>
      <c r="I11" s="7">
        <v>60000</v>
      </c>
      <c r="J11" s="14">
        <v>4355</v>
      </c>
      <c r="K11" s="15">
        <f>L11</f>
        <v>4355</v>
      </c>
      <c r="L11" s="15">
        <f>1765+2590</f>
        <v>4355</v>
      </c>
      <c r="M11" s="15">
        <f t="shared" si="0"/>
        <v>4355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7"/>
        <v>0.62745098039215674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126</v>
      </c>
      <c r="E12" s="53" t="s">
        <v>168</v>
      </c>
      <c r="F12" s="30" t="s">
        <v>137</v>
      </c>
      <c r="G12" s="33">
        <v>1</v>
      </c>
      <c r="H12" s="35">
        <v>24</v>
      </c>
      <c r="I12" s="7">
        <v>20000</v>
      </c>
      <c r="J12" s="14">
        <v>4682</v>
      </c>
      <c r="K12" s="15">
        <f>L12+3072</f>
        <v>7754</v>
      </c>
      <c r="L12" s="15">
        <f>2118+2564</f>
        <v>4682</v>
      </c>
      <c r="M12" s="15">
        <f t="shared" si="0"/>
        <v>4682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9"/>
        <v>0.91666666666666663</v>
      </c>
      <c r="AE12" s="36">
        <f t="shared" si="7"/>
        <v>0.62745098039215674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16779</v>
      </c>
      <c r="K13" s="15">
        <f>L13+12212+20232+16256+9762+15771+11739+16704</f>
        <v>119455</v>
      </c>
      <c r="L13" s="15">
        <f>2790*3+2803*3</f>
        <v>16779</v>
      </c>
      <c r="M13" s="15">
        <f t="shared" si="0"/>
        <v>16779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0.62745098039215674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0.62745098039215674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188</v>
      </c>
      <c r="F15" s="12" t="s">
        <v>210</v>
      </c>
      <c r="G15" s="12">
        <v>1</v>
      </c>
      <c r="H15" s="13">
        <v>24</v>
      </c>
      <c r="I15" s="31">
        <v>14000</v>
      </c>
      <c r="J15" s="14">
        <v>4988</v>
      </c>
      <c r="K15" s="15">
        <f>L15</f>
        <v>4988</v>
      </c>
      <c r="L15" s="15">
        <f>2352+2636</f>
        <v>4988</v>
      </c>
      <c r="M15" s="15">
        <f t="shared" si="0"/>
        <v>4988</v>
      </c>
      <c r="N15" s="15">
        <v>0</v>
      </c>
      <c r="O15" s="58">
        <f t="shared" si="1"/>
        <v>0</v>
      </c>
      <c r="P15" s="39">
        <f t="shared" si="2"/>
        <v>23</v>
      </c>
      <c r="Q15" s="40">
        <f t="shared" si="3"/>
        <v>1</v>
      </c>
      <c r="R15" s="7"/>
      <c r="S15" s="6"/>
      <c r="T15" s="16">
        <v>1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0.95833333333333337</v>
      </c>
      <c r="AD15" s="10">
        <f t="shared" si="6"/>
        <v>0.95833333333333337</v>
      </c>
      <c r="AE15" s="36">
        <f t="shared" si="7"/>
        <v>0.62745098039215674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161</v>
      </c>
      <c r="F16" s="30" t="s">
        <v>149</v>
      </c>
      <c r="G16" s="12">
        <v>4</v>
      </c>
      <c r="H16" s="13">
        <v>28</v>
      </c>
      <c r="I16" s="7">
        <f>105000-16000</f>
        <v>89000</v>
      </c>
      <c r="J16" s="14">
        <v>2740</v>
      </c>
      <c r="K16" s="15">
        <f>L16+13804+13644+15168+9596+5796+2740</f>
        <v>60748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0.62745098039215674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166</v>
      </c>
      <c r="F17" s="30" t="s">
        <v>128</v>
      </c>
      <c r="G17" s="33">
        <v>4</v>
      </c>
      <c r="H17" s="35">
        <v>24</v>
      </c>
      <c r="I17" s="7">
        <v>500000</v>
      </c>
      <c r="J17" s="5">
        <v>22344</v>
      </c>
      <c r="K17" s="15">
        <f>L17+19272+21812+22172+21128+22260+20792+21416+22084</f>
        <v>193280</v>
      </c>
      <c r="L17" s="15">
        <f>2775*4+2811*4</f>
        <v>22344</v>
      </c>
      <c r="M17" s="15">
        <f t="shared" si="0"/>
        <v>22344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0.62745098039215674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112</v>
      </c>
      <c r="D18" s="52" t="s">
        <v>115</v>
      </c>
      <c r="E18" s="53" t="s">
        <v>189</v>
      </c>
      <c r="F18" s="30" t="s">
        <v>137</v>
      </c>
      <c r="G18" s="12">
        <v>1</v>
      </c>
      <c r="H18" s="13">
        <v>28</v>
      </c>
      <c r="I18" s="31">
        <v>1000</v>
      </c>
      <c r="J18" s="5">
        <v>1462</v>
      </c>
      <c r="K18" s="15">
        <f>L18</f>
        <v>1462</v>
      </c>
      <c r="L18" s="15">
        <v>1462</v>
      </c>
      <c r="M18" s="15">
        <f t="shared" si="0"/>
        <v>1462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0.62745098039215674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120</v>
      </c>
      <c r="D19" s="52" t="s">
        <v>127</v>
      </c>
      <c r="E19" s="53" t="s">
        <v>169</v>
      </c>
      <c r="F19" s="30" t="s">
        <v>124</v>
      </c>
      <c r="G19" s="33">
        <v>1</v>
      </c>
      <c r="H19" s="35">
        <v>24</v>
      </c>
      <c r="I19" s="7">
        <v>12000</v>
      </c>
      <c r="J19" s="5">
        <v>875</v>
      </c>
      <c r="K19" s="15">
        <f>L19+4353+4555+4456</f>
        <v>14239</v>
      </c>
      <c r="L19" s="15">
        <v>875</v>
      </c>
      <c r="M19" s="15">
        <f t="shared" si="0"/>
        <v>875</v>
      </c>
      <c r="N19" s="15">
        <v>0</v>
      </c>
      <c r="O19" s="58">
        <f t="shared" si="1"/>
        <v>0</v>
      </c>
      <c r="P19" s="39">
        <f t="shared" si="2"/>
        <v>4</v>
      </c>
      <c r="Q19" s="40">
        <f t="shared" si="3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4"/>
        <v>1</v>
      </c>
      <c r="AC19" s="9">
        <f t="shared" si="5"/>
        <v>0.16666666666666666</v>
      </c>
      <c r="AD19" s="10">
        <f>AC19*AB19*(1-O19)</f>
        <v>0.16666666666666666</v>
      </c>
      <c r="AE19" s="36">
        <f t="shared" si="7"/>
        <v>0.62745098039215674</v>
      </c>
      <c r="AF19" s="84">
        <f t="shared" si="8"/>
        <v>14</v>
      </c>
    </row>
    <row r="20" spans="1:32" ht="27" customHeight="1">
      <c r="A20" s="96">
        <v>14</v>
      </c>
      <c r="B20" s="11" t="s">
        <v>57</v>
      </c>
      <c r="C20" s="34" t="s">
        <v>123</v>
      </c>
      <c r="D20" s="52"/>
      <c r="E20" s="53" t="s">
        <v>211</v>
      </c>
      <c r="F20" s="30" t="s">
        <v>154</v>
      </c>
      <c r="G20" s="33">
        <v>1</v>
      </c>
      <c r="H20" s="35">
        <v>24</v>
      </c>
      <c r="I20" s="7">
        <v>12000</v>
      </c>
      <c r="J20" s="5">
        <v>2784</v>
      </c>
      <c r="K20" s="15">
        <f>L20</f>
        <v>2784</v>
      </c>
      <c r="L20" s="15">
        <f>222+2562</f>
        <v>2784</v>
      </c>
      <c r="M20" s="15">
        <f t="shared" ref="M20" si="10">L20-N20</f>
        <v>2784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16</v>
      </c>
      <c r="Q20" s="40">
        <f t="shared" ref="Q20" si="13">SUM(R20:AA20)</f>
        <v>8</v>
      </c>
      <c r="R20" s="7"/>
      <c r="S20" s="6"/>
      <c r="T20" s="16">
        <v>8</v>
      </c>
      <c r="U20" s="16"/>
      <c r="V20" s="17"/>
      <c r="W20" s="5"/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0.66666666666666663</v>
      </c>
      <c r="AD20" s="10">
        <f>AC20*AB20*(1-O20)</f>
        <v>0.66666666666666663</v>
      </c>
      <c r="AE20" s="36">
        <f t="shared" si="7"/>
        <v>0.62745098039215674</v>
      </c>
      <c r="AF20" s="84">
        <f t="shared" ref="AF20" si="16">A20</f>
        <v>14</v>
      </c>
    </row>
    <row r="21" spans="1:32" ht="27" customHeight="1">
      <c r="A21" s="96">
        <v>15</v>
      </c>
      <c r="B21" s="11" t="s">
        <v>57</v>
      </c>
      <c r="C21" s="11" t="s">
        <v>112</v>
      </c>
      <c r="D21" s="52" t="s">
        <v>115</v>
      </c>
      <c r="E21" s="53" t="s">
        <v>164</v>
      </c>
      <c r="F21" s="30" t="s">
        <v>119</v>
      </c>
      <c r="G21" s="33">
        <v>1</v>
      </c>
      <c r="H21" s="35">
        <v>24</v>
      </c>
      <c r="I21" s="7">
        <v>64000</v>
      </c>
      <c r="J21" s="14">
        <v>3195</v>
      </c>
      <c r="K21" s="15">
        <f>L21+4204+5394+5278+1522+3899+5224+5152+5164+2208+4924+654+3141+5593+2079+5343+5450+440+2090+4864+5654+5372+4913+5645</f>
        <v>97402</v>
      </c>
      <c r="L21" s="15">
        <f>492+2703</f>
        <v>3195</v>
      </c>
      <c r="M21" s="15">
        <f t="shared" si="0"/>
        <v>3195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0.62745098039215674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39596</v>
      </c>
      <c r="K22" s="15">
        <f>L22+16808+39112+38440+39748+31140+68844+45656+37140+73976+32892+39440+37868</f>
        <v>540660</v>
      </c>
      <c r="L22" s="15">
        <f>9899*4</f>
        <v>39596</v>
      </c>
      <c r="M22" s="15">
        <f t="shared" si="0"/>
        <v>39596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7"/>
        <v>0.62745098039215674</v>
      </c>
      <c r="AF22" s="84">
        <f t="shared" si="8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17">SUM(I6:I22)</f>
        <v>1908300</v>
      </c>
      <c r="J23" s="19">
        <f t="shared" si="17"/>
        <v>124054</v>
      </c>
      <c r="K23" s="20">
        <f t="shared" si="17"/>
        <v>1094028</v>
      </c>
      <c r="L23" s="21">
        <f t="shared" si="17"/>
        <v>120975</v>
      </c>
      <c r="M23" s="20">
        <f t="shared" si="17"/>
        <v>120975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256</v>
      </c>
      <c r="Q23" s="43">
        <f t="shared" si="18"/>
        <v>152</v>
      </c>
      <c r="R23" s="23">
        <f t="shared" si="18"/>
        <v>24</v>
      </c>
      <c r="S23" s="24">
        <f t="shared" si="18"/>
        <v>12</v>
      </c>
      <c r="T23" s="24">
        <f t="shared" si="18"/>
        <v>11</v>
      </c>
      <c r="U23" s="24">
        <f t="shared" si="18"/>
        <v>0</v>
      </c>
      <c r="V23" s="25">
        <f t="shared" si="18"/>
        <v>14</v>
      </c>
      <c r="W23" s="26">
        <f t="shared" si="18"/>
        <v>91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0.88235294117647056</v>
      </c>
      <c r="AC23" s="4">
        <f>AVERAGE(AC6:AC22)</f>
        <v>0.62745098039215674</v>
      </c>
      <c r="AD23" s="4">
        <f>AVERAGE(AD6:AD22)</f>
        <v>0.62745098039215674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212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217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135" t="s">
        <v>46</v>
      </c>
      <c r="D52" s="135" t="s">
        <v>47</v>
      </c>
      <c r="E52" s="135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135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120</v>
      </c>
      <c r="B53" s="451"/>
      <c r="C53" s="137" t="s">
        <v>145</v>
      </c>
      <c r="D53" s="137" t="s">
        <v>143</v>
      </c>
      <c r="E53" s="137" t="s">
        <v>170</v>
      </c>
      <c r="F53" s="452" t="s">
        <v>213</v>
      </c>
      <c r="G53" s="453"/>
      <c r="H53" s="453"/>
      <c r="I53" s="453"/>
      <c r="J53" s="453"/>
      <c r="K53" s="453"/>
      <c r="L53" s="453"/>
      <c r="M53" s="454"/>
      <c r="N53" s="136" t="s">
        <v>112</v>
      </c>
      <c r="O53" s="142" t="s">
        <v>135</v>
      </c>
      <c r="P53" s="455" t="s">
        <v>155</v>
      </c>
      <c r="Q53" s="456"/>
      <c r="R53" s="455" t="s">
        <v>218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112</v>
      </c>
      <c r="B54" s="451"/>
      <c r="C54" s="137" t="s">
        <v>152</v>
      </c>
      <c r="D54" s="137" t="s">
        <v>126</v>
      </c>
      <c r="E54" s="137" t="s">
        <v>168</v>
      </c>
      <c r="F54" s="452" t="s">
        <v>192</v>
      </c>
      <c r="G54" s="453"/>
      <c r="H54" s="453"/>
      <c r="I54" s="453"/>
      <c r="J54" s="453"/>
      <c r="K54" s="453"/>
      <c r="L54" s="453"/>
      <c r="M54" s="454"/>
      <c r="N54" s="136" t="s">
        <v>112</v>
      </c>
      <c r="O54" s="142" t="s">
        <v>151</v>
      </c>
      <c r="P54" s="455" t="s">
        <v>127</v>
      </c>
      <c r="Q54" s="456"/>
      <c r="R54" s="455" t="s">
        <v>219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137" t="s">
        <v>157</v>
      </c>
      <c r="D55" s="137" t="s">
        <v>155</v>
      </c>
      <c r="E55" s="137" t="s">
        <v>156</v>
      </c>
      <c r="F55" s="452" t="s">
        <v>214</v>
      </c>
      <c r="G55" s="453"/>
      <c r="H55" s="453"/>
      <c r="I55" s="453"/>
      <c r="J55" s="453"/>
      <c r="K55" s="453"/>
      <c r="L55" s="453"/>
      <c r="M55" s="454"/>
      <c r="N55" s="136" t="s">
        <v>120</v>
      </c>
      <c r="O55" s="142" t="s">
        <v>157</v>
      </c>
      <c r="P55" s="455" t="s">
        <v>129</v>
      </c>
      <c r="Q55" s="456"/>
      <c r="R55" s="455" t="s">
        <v>220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123</v>
      </c>
      <c r="B56" s="451"/>
      <c r="C56" s="137" t="s">
        <v>144</v>
      </c>
      <c r="D56" s="137"/>
      <c r="E56" s="137" t="s">
        <v>188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136" t="s">
        <v>222</v>
      </c>
      <c r="O56" s="142" t="s">
        <v>138</v>
      </c>
      <c r="P56" s="455"/>
      <c r="Q56" s="456"/>
      <c r="R56" s="455" t="s">
        <v>221</v>
      </c>
      <c r="S56" s="457"/>
      <c r="T56" s="457"/>
      <c r="U56" s="456"/>
      <c r="V56" s="458" t="s">
        <v>174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123</v>
      </c>
      <c r="B57" s="451"/>
      <c r="C57" s="137" t="s">
        <v>215</v>
      </c>
      <c r="D57" s="137"/>
      <c r="E57" s="137" t="s">
        <v>211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136" t="s">
        <v>112</v>
      </c>
      <c r="O57" s="142" t="s">
        <v>193</v>
      </c>
      <c r="P57" s="455" t="s">
        <v>115</v>
      </c>
      <c r="Q57" s="456"/>
      <c r="R57" s="455" t="s">
        <v>223</v>
      </c>
      <c r="S57" s="457"/>
      <c r="T57" s="457"/>
      <c r="U57" s="456"/>
      <c r="V57" s="458" t="s">
        <v>118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112</v>
      </c>
      <c r="B58" s="451"/>
      <c r="C58" s="137" t="s">
        <v>193</v>
      </c>
      <c r="D58" s="137" t="s">
        <v>115</v>
      </c>
      <c r="E58" s="137" t="s">
        <v>164</v>
      </c>
      <c r="F58" s="452" t="s">
        <v>216</v>
      </c>
      <c r="G58" s="453"/>
      <c r="H58" s="453"/>
      <c r="I58" s="453"/>
      <c r="J58" s="453"/>
      <c r="K58" s="453"/>
      <c r="L58" s="453"/>
      <c r="M58" s="454"/>
      <c r="N58" s="136"/>
      <c r="O58" s="142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137"/>
      <c r="D59" s="137"/>
      <c r="E59" s="137"/>
      <c r="F59" s="452"/>
      <c r="G59" s="453"/>
      <c r="H59" s="453"/>
      <c r="I59" s="453"/>
      <c r="J59" s="453"/>
      <c r="K59" s="453"/>
      <c r="L59" s="453"/>
      <c r="M59" s="454"/>
      <c r="N59" s="136"/>
      <c r="O59" s="14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137"/>
      <c r="D60" s="137"/>
      <c r="E60" s="137"/>
      <c r="F60" s="452"/>
      <c r="G60" s="453"/>
      <c r="H60" s="453"/>
      <c r="I60" s="453"/>
      <c r="J60" s="453"/>
      <c r="K60" s="453"/>
      <c r="L60" s="453"/>
      <c r="M60" s="454"/>
      <c r="N60" s="136"/>
      <c r="O60" s="142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137"/>
      <c r="D61" s="137"/>
      <c r="E61" s="137"/>
      <c r="F61" s="452"/>
      <c r="G61" s="453"/>
      <c r="H61" s="453"/>
      <c r="I61" s="453"/>
      <c r="J61" s="453"/>
      <c r="K61" s="453"/>
      <c r="L61" s="453"/>
      <c r="M61" s="454"/>
      <c r="N61" s="136"/>
      <c r="O61" s="142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138"/>
      <c r="D62" s="139"/>
      <c r="E62" s="139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224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140" t="s">
        <v>2</v>
      </c>
      <c r="D64" s="140" t="s">
        <v>37</v>
      </c>
      <c r="E64" s="140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140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123</v>
      </c>
      <c r="D65" s="144"/>
      <c r="E65" s="141"/>
      <c r="F65" s="477" t="s">
        <v>225</v>
      </c>
      <c r="G65" s="478"/>
      <c r="H65" s="478"/>
      <c r="I65" s="478"/>
      <c r="J65" s="479"/>
      <c r="K65" s="480" t="s">
        <v>119</v>
      </c>
      <c r="L65" s="480"/>
      <c r="M65" s="51" t="s">
        <v>227</v>
      </c>
      <c r="N65" s="481" t="s">
        <v>138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 t="s">
        <v>123</v>
      </c>
      <c r="D66" s="144"/>
      <c r="E66" s="141"/>
      <c r="F66" s="477" t="s">
        <v>226</v>
      </c>
      <c r="G66" s="478"/>
      <c r="H66" s="478"/>
      <c r="I66" s="478"/>
      <c r="J66" s="479"/>
      <c r="K66" s="480" t="s">
        <v>228</v>
      </c>
      <c r="L66" s="480"/>
      <c r="M66" s="51" t="s">
        <v>227</v>
      </c>
      <c r="N66" s="481" t="s">
        <v>138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 t="s">
        <v>112</v>
      </c>
      <c r="D67" s="144"/>
      <c r="E67" s="141" t="s">
        <v>115</v>
      </c>
      <c r="F67" s="477" t="s">
        <v>229</v>
      </c>
      <c r="G67" s="478"/>
      <c r="H67" s="478"/>
      <c r="I67" s="478"/>
      <c r="J67" s="479"/>
      <c r="K67" s="480">
        <v>7301</v>
      </c>
      <c r="L67" s="480"/>
      <c r="M67" s="51" t="s">
        <v>230</v>
      </c>
      <c r="N67" s="481" t="s">
        <v>148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/>
      <c r="D68" s="144"/>
      <c r="E68" s="141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/>
      <c r="D69" s="144"/>
      <c r="E69" s="14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/>
      <c r="D70" s="144"/>
      <c r="E70" s="141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/>
      <c r="D71" s="144"/>
      <c r="E71" s="14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144"/>
      <c r="E72" s="14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144"/>
      <c r="E73" s="14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144"/>
      <c r="E74" s="141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231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143" t="s">
        <v>2</v>
      </c>
      <c r="D76" s="143" t="s">
        <v>37</v>
      </c>
      <c r="E76" s="143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145" t="s">
        <v>112</v>
      </c>
      <c r="D77" s="145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144"/>
      <c r="D78" s="144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19">A78+1</f>
        <v>3</v>
      </c>
      <c r="B79" s="496"/>
      <c r="C79" s="144"/>
      <c r="D79" s="144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9"/>
        <v>4</v>
      </c>
      <c r="B80" s="496"/>
      <c r="C80" s="144"/>
      <c r="D80" s="144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9"/>
        <v>5</v>
      </c>
      <c r="B81" s="496"/>
      <c r="C81" s="144"/>
      <c r="D81" s="144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9"/>
        <v>6</v>
      </c>
      <c r="B82" s="496"/>
      <c r="C82" s="144"/>
      <c r="D82" s="144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19"/>
        <v>7</v>
      </c>
      <c r="B83" s="496"/>
      <c r="C83" s="144"/>
      <c r="D83" s="144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232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435-3F98-4A6C-97F5-6760AF4E7F0E}">
  <dimension ref="A1:AF87"/>
  <sheetViews>
    <sheetView view="pageBreakPreview" zoomScale="70" zoomScaleNormal="72" zoomScaleSheetLayoutView="70" workbookViewId="0">
      <selection activeCell="H4" sqref="H4:H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233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34" t="s">
        <v>17</v>
      </c>
      <c r="L5" s="134" t="s">
        <v>18</v>
      </c>
      <c r="M5" s="134" t="s">
        <v>19</v>
      </c>
      <c r="N5" s="1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170</v>
      </c>
      <c r="F6" s="30" t="s">
        <v>209</v>
      </c>
      <c r="G6" s="12">
        <v>1</v>
      </c>
      <c r="H6" s="13">
        <v>24</v>
      </c>
      <c r="I6" s="31">
        <v>700</v>
      </c>
      <c r="J6" s="5">
        <v>862</v>
      </c>
      <c r="K6" s="15">
        <f>L6+862</f>
        <v>862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0.61197916666666652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</f>
        <v>11882</v>
      </c>
      <c r="L7" s="15">
        <v>2100</v>
      </c>
      <c r="M7" s="15">
        <f t="shared" si="0"/>
        <v>2100</v>
      </c>
      <c r="N7" s="15">
        <v>0</v>
      </c>
      <c r="O7" s="58">
        <f t="shared" si="1"/>
        <v>0</v>
      </c>
      <c r="P7" s="39">
        <f t="shared" si="2"/>
        <v>11</v>
      </c>
      <c r="Q7" s="40">
        <f t="shared" si="3"/>
        <v>13</v>
      </c>
      <c r="R7" s="7"/>
      <c r="S7" s="6"/>
      <c r="T7" s="16"/>
      <c r="U7" s="16"/>
      <c r="V7" s="17"/>
      <c r="W7" s="5">
        <v>13</v>
      </c>
      <c r="X7" s="16"/>
      <c r="Y7" s="16"/>
      <c r="Z7" s="16"/>
      <c r="AA7" s="18"/>
      <c r="AB7" s="8">
        <f t="shared" si="4"/>
        <v>1</v>
      </c>
      <c r="AC7" s="9">
        <f t="shared" si="5"/>
        <v>0.45833333333333331</v>
      </c>
      <c r="AD7" s="10">
        <f t="shared" si="6"/>
        <v>0.45833333333333331</v>
      </c>
      <c r="AE7" s="36">
        <f t="shared" si="7"/>
        <v>0.61197916666666652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126</v>
      </c>
      <c r="E8" s="53" t="s">
        <v>140</v>
      </c>
      <c r="F8" s="30" t="s">
        <v>137</v>
      </c>
      <c r="G8" s="33">
        <v>1</v>
      </c>
      <c r="H8" s="35">
        <v>24</v>
      </c>
      <c r="I8" s="7">
        <v>20000</v>
      </c>
      <c r="J8" s="14">
        <v>5396</v>
      </c>
      <c r="K8" s="15">
        <f>L8+4301+5543+5685+5743</f>
        <v>26668</v>
      </c>
      <c r="L8" s="15">
        <f>2599+2797</f>
        <v>5396</v>
      </c>
      <c r="M8" s="15">
        <f t="shared" si="0"/>
        <v>5396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0.61197916666666652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155</v>
      </c>
      <c r="E9" s="53" t="s">
        <v>218</v>
      </c>
      <c r="F9" s="30" t="s">
        <v>234</v>
      </c>
      <c r="G9" s="33">
        <v>1</v>
      </c>
      <c r="H9" s="35">
        <v>24</v>
      </c>
      <c r="I9" s="7">
        <v>1500</v>
      </c>
      <c r="J9" s="14">
        <v>3424</v>
      </c>
      <c r="K9" s="15">
        <f>L9</f>
        <v>3424</v>
      </c>
      <c r="L9" s="15">
        <f>1359+2065</f>
        <v>3424</v>
      </c>
      <c r="M9" s="15">
        <f t="shared" si="0"/>
        <v>3424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0.61197916666666652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127</v>
      </c>
      <c r="E10" s="53" t="s">
        <v>219</v>
      </c>
      <c r="F10" s="30" t="s">
        <v>124</v>
      </c>
      <c r="G10" s="33">
        <v>1</v>
      </c>
      <c r="H10" s="35">
        <v>24</v>
      </c>
      <c r="I10" s="7">
        <v>2000</v>
      </c>
      <c r="J10" s="5">
        <v>4247</v>
      </c>
      <c r="K10" s="15">
        <f>L10</f>
        <v>4247</v>
      </c>
      <c r="L10" s="15">
        <f>2299+1948</f>
        <v>4247</v>
      </c>
      <c r="M10" s="15">
        <f t="shared" si="0"/>
        <v>4247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/>
      <c r="T10" s="16">
        <v>2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>AC10*AB10*(1-O10)</f>
        <v>0.91666666666666663</v>
      </c>
      <c r="AE10" s="36">
        <f t="shared" si="7"/>
        <v>0.61197916666666652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129</v>
      </c>
      <c r="E11" s="53" t="s">
        <v>220</v>
      </c>
      <c r="F11" s="30" t="s">
        <v>130</v>
      </c>
      <c r="G11" s="12">
        <v>20</v>
      </c>
      <c r="H11" s="13">
        <v>28</v>
      </c>
      <c r="I11" s="7">
        <v>300000</v>
      </c>
      <c r="J11" s="14">
        <v>67240</v>
      </c>
      <c r="K11" s="15">
        <f>L11</f>
        <v>67240</v>
      </c>
      <c r="L11" s="15">
        <f>2459*20+903*20</f>
        <v>67240</v>
      </c>
      <c r="M11" s="15">
        <f t="shared" si="0"/>
        <v>67240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>
        <v>8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0.61197916666666652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126</v>
      </c>
      <c r="E12" s="53" t="s">
        <v>168</v>
      </c>
      <c r="F12" s="30" t="s">
        <v>137</v>
      </c>
      <c r="G12" s="33">
        <v>1</v>
      </c>
      <c r="H12" s="35">
        <v>24</v>
      </c>
      <c r="I12" s="7">
        <v>20000</v>
      </c>
      <c r="J12" s="14">
        <v>4353</v>
      </c>
      <c r="K12" s="15">
        <f>L12+3072+4682</f>
        <v>12107</v>
      </c>
      <c r="L12" s="15">
        <f>2101+2252</f>
        <v>4353</v>
      </c>
      <c r="M12" s="15">
        <f t="shared" si="0"/>
        <v>4353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9"/>
        <v>0.875</v>
      </c>
      <c r="AE12" s="36">
        <f t="shared" si="7"/>
        <v>0.61197916666666652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14433</v>
      </c>
      <c r="K13" s="15">
        <f>L13+12212+20232+16256+9762+15771+11739+16704+16779</f>
        <v>133888</v>
      </c>
      <c r="L13" s="15">
        <f>2672*3+2139*3</f>
        <v>14433</v>
      </c>
      <c r="M13" s="15">
        <f t="shared" si="0"/>
        <v>14433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7"/>
        <v>0.61197916666666652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0.61197916666666652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188</v>
      </c>
      <c r="F15" s="12" t="s">
        <v>210</v>
      </c>
      <c r="G15" s="12">
        <v>1</v>
      </c>
      <c r="H15" s="13">
        <v>24</v>
      </c>
      <c r="I15" s="31">
        <v>14000</v>
      </c>
      <c r="J15" s="14">
        <v>4896</v>
      </c>
      <c r="K15" s="15">
        <f>L15+4988</f>
        <v>9884</v>
      </c>
      <c r="L15" s="15">
        <f>2503+2393</f>
        <v>4896</v>
      </c>
      <c r="M15" s="15">
        <f t="shared" si="0"/>
        <v>4896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0.61197916666666652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161</v>
      </c>
      <c r="F16" s="30" t="s">
        <v>149</v>
      </c>
      <c r="G16" s="12">
        <v>4</v>
      </c>
      <c r="H16" s="13">
        <v>28</v>
      </c>
      <c r="I16" s="7">
        <f>105000-16000</f>
        <v>89000</v>
      </c>
      <c r="J16" s="14">
        <v>2740</v>
      </c>
      <c r="K16" s="15">
        <f>L16+13804+13644+15168+9596+5796+2740</f>
        <v>60748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0.61197916666666652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166</v>
      </c>
      <c r="F17" s="30" t="s">
        <v>128</v>
      </c>
      <c r="G17" s="33">
        <v>4</v>
      </c>
      <c r="H17" s="35">
        <v>24</v>
      </c>
      <c r="I17" s="7">
        <v>500000</v>
      </c>
      <c r="J17" s="5">
        <v>22176</v>
      </c>
      <c r="K17" s="15">
        <f>L17+19272+21812+22172+21128+22260+20792+21416+22084+22344</f>
        <v>215456</v>
      </c>
      <c r="L17" s="15">
        <f>2832*4+2712*4</f>
        <v>22176</v>
      </c>
      <c r="M17" s="15">
        <f t="shared" si="0"/>
        <v>22176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0.61197916666666652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235</v>
      </c>
      <c r="D18" s="52"/>
      <c r="E18" s="53" t="s">
        <v>221</v>
      </c>
      <c r="F18" s="30" t="s">
        <v>149</v>
      </c>
      <c r="G18" s="12">
        <v>1</v>
      </c>
      <c r="H18" s="13">
        <v>28</v>
      </c>
      <c r="I18" s="31">
        <v>500</v>
      </c>
      <c r="J18" s="5">
        <v>550</v>
      </c>
      <c r="K18" s="15">
        <f>L18</f>
        <v>550</v>
      </c>
      <c r="L18" s="15">
        <v>550</v>
      </c>
      <c r="M18" s="15">
        <f t="shared" si="0"/>
        <v>550</v>
      </c>
      <c r="N18" s="15">
        <v>0</v>
      </c>
      <c r="O18" s="58">
        <f t="shared" si="1"/>
        <v>0</v>
      </c>
      <c r="P18" s="39">
        <f t="shared" si="2"/>
        <v>3</v>
      </c>
      <c r="Q18" s="40">
        <f t="shared" si="3"/>
        <v>21</v>
      </c>
      <c r="R18" s="7"/>
      <c r="S18" s="6"/>
      <c r="T18" s="16"/>
      <c r="U18" s="16"/>
      <c r="V18" s="17"/>
      <c r="W18" s="5">
        <v>21</v>
      </c>
      <c r="X18" s="16"/>
      <c r="Y18" s="16"/>
      <c r="Z18" s="16"/>
      <c r="AA18" s="18"/>
      <c r="AB18" s="8">
        <f t="shared" si="4"/>
        <v>1</v>
      </c>
      <c r="AC18" s="9">
        <f t="shared" si="5"/>
        <v>0.125</v>
      </c>
      <c r="AD18" s="10">
        <f t="shared" si="6"/>
        <v>0.125</v>
      </c>
      <c r="AE18" s="36">
        <f t="shared" si="7"/>
        <v>0.61197916666666652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123</v>
      </c>
      <c r="D19" s="52"/>
      <c r="E19" s="53" t="s">
        <v>211</v>
      </c>
      <c r="F19" s="30" t="s">
        <v>154</v>
      </c>
      <c r="G19" s="33">
        <v>1</v>
      </c>
      <c r="H19" s="35">
        <v>24</v>
      </c>
      <c r="I19" s="7">
        <v>12000</v>
      </c>
      <c r="J19" s="5">
        <v>4928</v>
      </c>
      <c r="K19" s="15">
        <f>L19+2784</f>
        <v>7712</v>
      </c>
      <c r="L19" s="15">
        <f>2460+2468</f>
        <v>4928</v>
      </c>
      <c r="M19" s="15">
        <f t="shared" si="0"/>
        <v>4928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0.61197916666666652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164</v>
      </c>
      <c r="F20" s="30" t="s">
        <v>119</v>
      </c>
      <c r="G20" s="33">
        <v>1</v>
      </c>
      <c r="H20" s="35">
        <v>24</v>
      </c>
      <c r="I20" s="7">
        <v>64000</v>
      </c>
      <c r="J20" s="14">
        <v>2856</v>
      </c>
      <c r="K20" s="15">
        <f>L20+4204+5394+5278+1522+3899+5224+5152+5164+2208+4924+654+3141+5593+2079+5343+5450+440+2090+4864+5654+5372+4913+5645+3195</f>
        <v>100258</v>
      </c>
      <c r="L20" s="15">
        <f>1774+1082</f>
        <v>2856</v>
      </c>
      <c r="M20" s="15">
        <f t="shared" si="0"/>
        <v>2856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 t="shared" si="6"/>
        <v>0.66666666666666663</v>
      </c>
      <c r="AE20" s="36">
        <f t="shared" si="7"/>
        <v>0.61197916666666652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38388</v>
      </c>
      <c r="K21" s="15">
        <f>L21+16808+39112+38440+39748+31140+68844+45656+37140+73976+32892+39440+37868+39596</f>
        <v>579048</v>
      </c>
      <c r="L21" s="15">
        <f>9597*4</f>
        <v>38388</v>
      </c>
      <c r="M21" s="15">
        <f t="shared" si="0"/>
        <v>38388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0.61197916666666652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0">SUM(I6:I21)</f>
        <v>2034000</v>
      </c>
      <c r="J22" s="19">
        <f t="shared" si="10"/>
        <v>178928</v>
      </c>
      <c r="K22" s="20">
        <f t="shared" si="10"/>
        <v>1234313</v>
      </c>
      <c r="L22" s="21">
        <f t="shared" si="10"/>
        <v>174987</v>
      </c>
      <c r="M22" s="20">
        <f t="shared" si="10"/>
        <v>174987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235</v>
      </c>
      <c r="Q22" s="43">
        <f t="shared" si="11"/>
        <v>149</v>
      </c>
      <c r="R22" s="23">
        <f t="shared" si="11"/>
        <v>32</v>
      </c>
      <c r="S22" s="24">
        <f t="shared" si="11"/>
        <v>19</v>
      </c>
      <c r="T22" s="24">
        <f t="shared" si="11"/>
        <v>2</v>
      </c>
      <c r="U22" s="24">
        <f t="shared" si="11"/>
        <v>0</v>
      </c>
      <c r="V22" s="25">
        <f t="shared" si="11"/>
        <v>14</v>
      </c>
      <c r="W22" s="26">
        <f t="shared" si="11"/>
        <v>34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0.8125</v>
      </c>
      <c r="AC22" s="4">
        <f>AVERAGE(AC6:AC21)</f>
        <v>0.61197916666666652</v>
      </c>
      <c r="AD22" s="4">
        <f>AVERAGE(AD6:AD21)</f>
        <v>0.61197916666666652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236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243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135" t="s">
        <v>46</v>
      </c>
      <c r="D51" s="135" t="s">
        <v>47</v>
      </c>
      <c r="E51" s="135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135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112</v>
      </c>
      <c r="B52" s="451"/>
      <c r="C52" s="137" t="s">
        <v>135</v>
      </c>
      <c r="D52" s="137" t="s">
        <v>155</v>
      </c>
      <c r="E52" s="137" t="s">
        <v>218</v>
      </c>
      <c r="F52" s="452" t="s">
        <v>237</v>
      </c>
      <c r="G52" s="453"/>
      <c r="H52" s="453"/>
      <c r="I52" s="453"/>
      <c r="J52" s="453"/>
      <c r="K52" s="453"/>
      <c r="L52" s="453"/>
      <c r="M52" s="454"/>
      <c r="N52" s="136" t="s">
        <v>121</v>
      </c>
      <c r="O52" s="142" t="s">
        <v>135</v>
      </c>
      <c r="P52" s="455" t="s">
        <v>244</v>
      </c>
      <c r="Q52" s="456"/>
      <c r="R52" s="455" t="s">
        <v>245</v>
      </c>
      <c r="S52" s="457"/>
      <c r="T52" s="457"/>
      <c r="U52" s="456"/>
      <c r="V52" s="458" t="s">
        <v>118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112</v>
      </c>
      <c r="B53" s="451"/>
      <c r="C53" s="137" t="s">
        <v>151</v>
      </c>
      <c r="D53" s="137" t="s">
        <v>127</v>
      </c>
      <c r="E53" s="137" t="s">
        <v>219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136" t="s">
        <v>112</v>
      </c>
      <c r="O53" s="142" t="s">
        <v>246</v>
      </c>
      <c r="P53" s="455" t="s">
        <v>115</v>
      </c>
      <c r="Q53" s="456"/>
      <c r="R53" s="455" t="s">
        <v>247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137" t="s">
        <v>157</v>
      </c>
      <c r="D54" s="137" t="s">
        <v>129</v>
      </c>
      <c r="E54" s="137" t="s">
        <v>220</v>
      </c>
      <c r="F54" s="452" t="s">
        <v>118</v>
      </c>
      <c r="G54" s="453"/>
      <c r="H54" s="453"/>
      <c r="I54" s="453"/>
      <c r="J54" s="453"/>
      <c r="K54" s="453"/>
      <c r="L54" s="453"/>
      <c r="M54" s="454"/>
      <c r="N54" s="136" t="s">
        <v>112</v>
      </c>
      <c r="O54" s="142" t="s">
        <v>249</v>
      </c>
      <c r="P54" s="455" t="s">
        <v>115</v>
      </c>
      <c r="Q54" s="456"/>
      <c r="R54" s="455" t="s">
        <v>248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137" t="s">
        <v>152</v>
      </c>
      <c r="D55" s="137" t="s">
        <v>238</v>
      </c>
      <c r="E55" s="137" t="s">
        <v>168</v>
      </c>
      <c r="F55" s="452" t="s">
        <v>239</v>
      </c>
      <c r="G55" s="453"/>
      <c r="H55" s="453"/>
      <c r="I55" s="453"/>
      <c r="J55" s="453"/>
      <c r="K55" s="453"/>
      <c r="L55" s="453"/>
      <c r="M55" s="454"/>
      <c r="N55" s="136"/>
      <c r="O55" s="142"/>
      <c r="P55" s="455"/>
      <c r="Q55" s="456"/>
      <c r="R55" s="455"/>
      <c r="S55" s="457"/>
      <c r="T55" s="457"/>
      <c r="U55" s="456"/>
      <c r="V55" s="458"/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121</v>
      </c>
      <c r="B56" s="451"/>
      <c r="C56" s="137" t="s">
        <v>240</v>
      </c>
      <c r="D56" s="137" t="s">
        <v>115</v>
      </c>
      <c r="E56" s="137" t="s">
        <v>241</v>
      </c>
      <c r="F56" s="452" t="s">
        <v>239</v>
      </c>
      <c r="G56" s="453"/>
      <c r="H56" s="453"/>
      <c r="I56" s="453"/>
      <c r="J56" s="453"/>
      <c r="K56" s="453"/>
      <c r="L56" s="453"/>
      <c r="M56" s="454"/>
      <c r="N56" s="136"/>
      <c r="O56" s="142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112</v>
      </c>
      <c r="B57" s="451"/>
      <c r="C57" s="137" t="s">
        <v>193</v>
      </c>
      <c r="D57" s="137" t="s">
        <v>115</v>
      </c>
      <c r="E57" s="137" t="s">
        <v>223</v>
      </c>
      <c r="F57" s="452" t="s">
        <v>242</v>
      </c>
      <c r="G57" s="453"/>
      <c r="H57" s="453"/>
      <c r="I57" s="453"/>
      <c r="J57" s="453"/>
      <c r="K57" s="453"/>
      <c r="L57" s="453"/>
      <c r="M57" s="454"/>
      <c r="N57" s="136"/>
      <c r="O57" s="14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137"/>
      <c r="D58" s="137"/>
      <c r="E58" s="137"/>
      <c r="F58" s="452"/>
      <c r="G58" s="453"/>
      <c r="H58" s="453"/>
      <c r="I58" s="453"/>
      <c r="J58" s="453"/>
      <c r="K58" s="453"/>
      <c r="L58" s="453"/>
      <c r="M58" s="454"/>
      <c r="N58" s="136"/>
      <c r="O58" s="142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137"/>
      <c r="D59" s="137"/>
      <c r="E59" s="137"/>
      <c r="F59" s="452"/>
      <c r="G59" s="453"/>
      <c r="H59" s="453"/>
      <c r="I59" s="453"/>
      <c r="J59" s="453"/>
      <c r="K59" s="453"/>
      <c r="L59" s="453"/>
      <c r="M59" s="454"/>
      <c r="N59" s="136"/>
      <c r="O59" s="14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137"/>
      <c r="D60" s="137"/>
      <c r="E60" s="137"/>
      <c r="F60" s="452"/>
      <c r="G60" s="453"/>
      <c r="H60" s="453"/>
      <c r="I60" s="453"/>
      <c r="J60" s="453"/>
      <c r="K60" s="453"/>
      <c r="L60" s="453"/>
      <c r="M60" s="454"/>
      <c r="N60" s="136"/>
      <c r="O60" s="142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138"/>
      <c r="D61" s="139"/>
      <c r="E61" s="139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250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40" t="s">
        <v>2</v>
      </c>
      <c r="D63" s="140" t="s">
        <v>37</v>
      </c>
      <c r="E63" s="140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40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252</v>
      </c>
      <c r="D64" s="144"/>
      <c r="E64" s="141" t="s">
        <v>253</v>
      </c>
      <c r="F64" s="477" t="s">
        <v>251</v>
      </c>
      <c r="G64" s="478"/>
      <c r="H64" s="478"/>
      <c r="I64" s="478"/>
      <c r="J64" s="479"/>
      <c r="K64" s="480" t="s">
        <v>254</v>
      </c>
      <c r="L64" s="480"/>
      <c r="M64" s="51" t="s">
        <v>255</v>
      </c>
      <c r="N64" s="481" t="s">
        <v>256</v>
      </c>
      <c r="O64" s="481"/>
      <c r="P64" s="482">
        <v>100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112</v>
      </c>
      <c r="D65" s="144"/>
      <c r="E65" s="141" t="s">
        <v>260</v>
      </c>
      <c r="F65" s="477" t="s">
        <v>257</v>
      </c>
      <c r="G65" s="478"/>
      <c r="H65" s="478"/>
      <c r="I65" s="478"/>
      <c r="J65" s="479"/>
      <c r="K65" s="480">
        <v>7301</v>
      </c>
      <c r="L65" s="480"/>
      <c r="M65" s="51" t="s">
        <v>258</v>
      </c>
      <c r="N65" s="481" t="s">
        <v>259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 t="s">
        <v>252</v>
      </c>
      <c r="D66" s="144"/>
      <c r="E66" s="141" t="s">
        <v>265</v>
      </c>
      <c r="F66" s="477" t="s">
        <v>261</v>
      </c>
      <c r="G66" s="478"/>
      <c r="H66" s="478"/>
      <c r="I66" s="478"/>
      <c r="J66" s="479"/>
      <c r="K66" s="480" t="s">
        <v>262</v>
      </c>
      <c r="L66" s="480"/>
      <c r="M66" s="51" t="s">
        <v>263</v>
      </c>
      <c r="N66" s="481" t="s">
        <v>264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144"/>
      <c r="E67" s="141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144"/>
      <c r="E68" s="141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144"/>
      <c r="E69" s="14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144"/>
      <c r="E70" s="141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144"/>
      <c r="E71" s="14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144"/>
      <c r="E72" s="14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144"/>
      <c r="E73" s="14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266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143" t="s">
        <v>2</v>
      </c>
      <c r="D75" s="143" t="s">
        <v>37</v>
      </c>
      <c r="E75" s="143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145" t="s">
        <v>112</v>
      </c>
      <c r="D76" s="145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144"/>
      <c r="D77" s="144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2">A77+1</f>
        <v>3</v>
      </c>
      <c r="B78" s="496"/>
      <c r="C78" s="144"/>
      <c r="D78" s="144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2"/>
        <v>4</v>
      </c>
      <c r="B79" s="496"/>
      <c r="C79" s="144"/>
      <c r="D79" s="144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2"/>
        <v>5</v>
      </c>
      <c r="B80" s="496"/>
      <c r="C80" s="144"/>
      <c r="D80" s="144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2"/>
        <v>6</v>
      </c>
      <c r="B81" s="496"/>
      <c r="C81" s="144"/>
      <c r="D81" s="144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2"/>
        <v>7</v>
      </c>
      <c r="B82" s="496"/>
      <c r="C82" s="144"/>
      <c r="D82" s="144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267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1983-DEE7-4E35-91CC-420C72F25E41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268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46" t="s">
        <v>17</v>
      </c>
      <c r="L5" s="146" t="s">
        <v>18</v>
      </c>
      <c r="M5" s="146" t="s">
        <v>19</v>
      </c>
      <c r="N5" s="1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269</v>
      </c>
      <c r="D6" s="52"/>
      <c r="E6" s="53" t="s">
        <v>270</v>
      </c>
      <c r="F6" s="30" t="s">
        <v>271</v>
      </c>
      <c r="G6" s="12" t="s">
        <v>272</v>
      </c>
      <c r="H6" s="13">
        <v>24</v>
      </c>
      <c r="I6" s="31">
        <v>2800</v>
      </c>
      <c r="J6" s="5">
        <v>3682</v>
      </c>
      <c r="K6" s="15">
        <f>L6</f>
        <v>3682</v>
      </c>
      <c r="L6" s="15">
        <f>1832+1850</f>
        <v>3682</v>
      </c>
      <c r="M6" s="15">
        <f t="shared" ref="M6:M21" si="0">L6-N6</f>
        <v>3682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19</v>
      </c>
      <c r="Q6" s="40">
        <f t="shared" ref="Q6:Q21" si="3">SUM(R6:AA6)</f>
        <v>5</v>
      </c>
      <c r="R6" s="7"/>
      <c r="S6" s="6">
        <v>2</v>
      </c>
      <c r="T6" s="16"/>
      <c r="U6" s="16"/>
      <c r="V6" s="17"/>
      <c r="W6" s="5">
        <v>3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0.79166666666666663</v>
      </c>
      <c r="AD6" s="10">
        <f t="shared" ref="AD6:AD21" si="6">AC6*AB6*(1-O6)</f>
        <v>0.79166666666666663</v>
      </c>
      <c r="AE6" s="36">
        <f t="shared" ref="AE6:AE21" si="7">$AD$22</f>
        <v>0.6015625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L7+3721+6061+2100</f>
        <v>11882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0.6015625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4389</v>
      </c>
      <c r="K8" s="15">
        <f>L8</f>
        <v>4389</v>
      </c>
      <c r="L8" s="15">
        <f>1717+2672</f>
        <v>4389</v>
      </c>
      <c r="M8" s="15">
        <f t="shared" si="0"/>
        <v>4389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0.6015625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244</v>
      </c>
      <c r="E9" s="53" t="s">
        <v>245</v>
      </c>
      <c r="F9" s="30" t="s">
        <v>234</v>
      </c>
      <c r="G9" s="33">
        <v>1</v>
      </c>
      <c r="H9" s="35">
        <v>24</v>
      </c>
      <c r="I9" s="7">
        <v>2000</v>
      </c>
      <c r="J9" s="14">
        <v>3259</v>
      </c>
      <c r="K9" s="15">
        <f>L9</f>
        <v>3259</v>
      </c>
      <c r="L9" s="15">
        <f>2174+1085</f>
        <v>3259</v>
      </c>
      <c r="M9" s="15">
        <f t="shared" si="0"/>
        <v>3259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/>
      <c r="T9" s="16">
        <v>5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0.6015625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127</v>
      </c>
      <c r="E10" s="53" t="s">
        <v>219</v>
      </c>
      <c r="F10" s="30" t="s">
        <v>124</v>
      </c>
      <c r="G10" s="33">
        <v>1</v>
      </c>
      <c r="H10" s="35">
        <v>24</v>
      </c>
      <c r="I10" s="7">
        <v>2000</v>
      </c>
      <c r="J10" s="5">
        <v>4247</v>
      </c>
      <c r="K10" s="15">
        <f>L10+4247</f>
        <v>4247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0.6015625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129</v>
      </c>
      <c r="E11" s="53" t="s">
        <v>220</v>
      </c>
      <c r="F11" s="30" t="s">
        <v>130</v>
      </c>
      <c r="G11" s="12">
        <v>20</v>
      </c>
      <c r="H11" s="13">
        <v>28</v>
      </c>
      <c r="I11" s="7">
        <v>300000</v>
      </c>
      <c r="J11" s="14">
        <v>140360</v>
      </c>
      <c r="K11" s="15">
        <f>L11+67240</f>
        <v>207600</v>
      </c>
      <c r="L11" s="15">
        <f>4339*20+2679*20</f>
        <v>140360</v>
      </c>
      <c r="M11" s="15">
        <f t="shared" si="0"/>
        <v>140360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>
        <v>2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7"/>
        <v>0.6015625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126</v>
      </c>
      <c r="E12" s="53" t="s">
        <v>168</v>
      </c>
      <c r="F12" s="30" t="s">
        <v>137</v>
      </c>
      <c r="G12" s="33">
        <v>1</v>
      </c>
      <c r="H12" s="35">
        <v>24</v>
      </c>
      <c r="I12" s="7">
        <v>20000</v>
      </c>
      <c r="J12" s="14">
        <v>4827</v>
      </c>
      <c r="K12" s="15">
        <f>L12+3072+4682+4353</f>
        <v>16934</v>
      </c>
      <c r="L12" s="15">
        <f>3265+1562</f>
        <v>4827</v>
      </c>
      <c r="M12" s="15">
        <f t="shared" si="0"/>
        <v>4827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9"/>
        <v>0.91666666666666663</v>
      </c>
      <c r="AE12" s="36">
        <f t="shared" si="7"/>
        <v>0.6015625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15558</v>
      </c>
      <c r="K13" s="15">
        <f>L13+12212+20232+16256+9762+15771+11739+16704+16779+14433</f>
        <v>149446</v>
      </c>
      <c r="L13" s="15">
        <f>2873*3+2313*3</f>
        <v>15558</v>
      </c>
      <c r="M13" s="15">
        <f t="shared" si="0"/>
        <v>15558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0.6015625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0.6015625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188</v>
      </c>
      <c r="F15" s="12" t="s">
        <v>210</v>
      </c>
      <c r="G15" s="12">
        <v>1</v>
      </c>
      <c r="H15" s="13">
        <v>24</v>
      </c>
      <c r="I15" s="31">
        <v>14000</v>
      </c>
      <c r="J15" s="14">
        <v>4312</v>
      </c>
      <c r="K15" s="15">
        <f>L15+4988+4896</f>
        <v>14196</v>
      </c>
      <c r="L15" s="15">
        <f>2134+2178</f>
        <v>4312</v>
      </c>
      <c r="M15" s="15">
        <f t="shared" si="0"/>
        <v>4312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0.6015625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161</v>
      </c>
      <c r="F16" s="30" t="s">
        <v>149</v>
      </c>
      <c r="G16" s="12">
        <v>4</v>
      </c>
      <c r="H16" s="13">
        <v>28</v>
      </c>
      <c r="I16" s="7">
        <f>105000-16000</f>
        <v>89000</v>
      </c>
      <c r="J16" s="14">
        <v>2740</v>
      </c>
      <c r="K16" s="15">
        <f>L16+13804+13644+15168+9596+5796+2740</f>
        <v>60748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0.6015625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166</v>
      </c>
      <c r="F17" s="30" t="s">
        <v>128</v>
      </c>
      <c r="G17" s="33">
        <v>4</v>
      </c>
      <c r="H17" s="35">
        <v>24</v>
      </c>
      <c r="I17" s="7">
        <v>500000</v>
      </c>
      <c r="J17" s="5">
        <v>21436</v>
      </c>
      <c r="K17" s="15">
        <f>L17+19272+21812+22172+21128+22260+20792+21416+22084+22344+22176</f>
        <v>236892</v>
      </c>
      <c r="L17" s="15">
        <f>2905*4+2454*4</f>
        <v>21436</v>
      </c>
      <c r="M17" s="15">
        <f t="shared" si="0"/>
        <v>21436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0.6015625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265</v>
      </c>
      <c r="E18" s="53" t="s">
        <v>273</v>
      </c>
      <c r="F18" s="30" t="s">
        <v>234</v>
      </c>
      <c r="G18" s="12">
        <v>1</v>
      </c>
      <c r="H18" s="13">
        <v>28</v>
      </c>
      <c r="I18" s="31">
        <v>1000</v>
      </c>
      <c r="J18" s="5">
        <v>1140</v>
      </c>
      <c r="K18" s="15">
        <f>L18</f>
        <v>1140</v>
      </c>
      <c r="L18" s="15">
        <f>1140</f>
        <v>1140</v>
      </c>
      <c r="M18" s="15">
        <f t="shared" si="0"/>
        <v>1140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18</v>
      </c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0.6015625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123</v>
      </c>
      <c r="D19" s="52"/>
      <c r="E19" s="53" t="s">
        <v>211</v>
      </c>
      <c r="F19" s="30" t="s">
        <v>154</v>
      </c>
      <c r="G19" s="33">
        <v>1</v>
      </c>
      <c r="H19" s="35">
        <v>24</v>
      </c>
      <c r="I19" s="7">
        <v>12000</v>
      </c>
      <c r="J19" s="5">
        <v>4073</v>
      </c>
      <c r="K19" s="15">
        <f>L19+2784+4928</f>
        <v>11785</v>
      </c>
      <c r="L19" s="15">
        <f>2203+1870</f>
        <v>4073</v>
      </c>
      <c r="M19" s="15">
        <f t="shared" si="0"/>
        <v>4073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0.6015625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164</v>
      </c>
      <c r="F20" s="30" t="s">
        <v>119</v>
      </c>
      <c r="G20" s="33">
        <v>1</v>
      </c>
      <c r="H20" s="35">
        <v>24</v>
      </c>
      <c r="I20" s="7">
        <v>64000</v>
      </c>
      <c r="J20" s="14">
        <v>5309</v>
      </c>
      <c r="K20" s="15">
        <f>L20+4204+5394+5278+1522+3899+5224+5152+5164+2208+4924+654+3141+5593+2079+5343+5450+440+2090+4864+5654+5372+4913+5645+3195+2856</f>
        <v>105567</v>
      </c>
      <c r="L20" s="15">
        <f>2401+2908</f>
        <v>5309</v>
      </c>
      <c r="M20" s="15">
        <f t="shared" si="0"/>
        <v>5309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0.6015625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38388</v>
      </c>
      <c r="K21" s="15">
        <f>L21+16808+39112+38440+39748+31140+68844+45656+37140+73976+32892+39440+37868+39596+38388</f>
        <v>579048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0.6015625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0">SUM(I6:I21)</f>
        <v>2117100</v>
      </c>
      <c r="J22" s="19">
        <f t="shared" si="10"/>
        <v>256159</v>
      </c>
      <c r="K22" s="20">
        <f t="shared" si="10"/>
        <v>1411154</v>
      </c>
      <c r="L22" s="21">
        <f t="shared" si="10"/>
        <v>208345</v>
      </c>
      <c r="M22" s="20">
        <f t="shared" si="10"/>
        <v>208345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231</v>
      </c>
      <c r="Q22" s="43">
        <f t="shared" si="11"/>
        <v>153</v>
      </c>
      <c r="R22" s="23">
        <f t="shared" si="11"/>
        <v>26</v>
      </c>
      <c r="S22" s="24">
        <f t="shared" si="11"/>
        <v>28</v>
      </c>
      <c r="T22" s="24">
        <f t="shared" si="11"/>
        <v>6</v>
      </c>
      <c r="U22" s="24">
        <f t="shared" si="11"/>
        <v>0</v>
      </c>
      <c r="V22" s="25">
        <f t="shared" si="11"/>
        <v>0</v>
      </c>
      <c r="W22" s="26">
        <f t="shared" si="11"/>
        <v>3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90</v>
      </c>
      <c r="AB22" s="28">
        <f>AVERAGE(AB6:AB21)</f>
        <v>0.6875</v>
      </c>
      <c r="AC22" s="4">
        <f>AVERAGE(AC6:AC21)</f>
        <v>0.6015625</v>
      </c>
      <c r="AD22" s="4">
        <f>AVERAGE(AD6:AD21)</f>
        <v>0.6015625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274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276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147" t="s">
        <v>46</v>
      </c>
      <c r="D51" s="147" t="s">
        <v>47</v>
      </c>
      <c r="E51" s="147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147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269</v>
      </c>
      <c r="B52" s="451"/>
      <c r="C52" s="149" t="s">
        <v>145</v>
      </c>
      <c r="D52" s="149"/>
      <c r="E52" s="149" t="s">
        <v>275</v>
      </c>
      <c r="F52" s="452" t="s">
        <v>174</v>
      </c>
      <c r="G52" s="453"/>
      <c r="H52" s="453"/>
      <c r="I52" s="453"/>
      <c r="J52" s="453"/>
      <c r="K52" s="453"/>
      <c r="L52" s="453"/>
      <c r="M52" s="454"/>
      <c r="N52" s="148" t="s">
        <v>269</v>
      </c>
      <c r="O52" s="154" t="s">
        <v>145</v>
      </c>
      <c r="P52" s="455"/>
      <c r="Q52" s="456"/>
      <c r="R52" s="455" t="s">
        <v>277</v>
      </c>
      <c r="S52" s="457"/>
      <c r="T52" s="457"/>
      <c r="U52" s="456"/>
      <c r="V52" s="458" t="s">
        <v>174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112</v>
      </c>
      <c r="B53" s="451"/>
      <c r="C53" s="149" t="s">
        <v>246</v>
      </c>
      <c r="D53" s="149" t="s">
        <v>115</v>
      </c>
      <c r="E53" s="149" t="s">
        <v>247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148" t="s">
        <v>121</v>
      </c>
      <c r="O53" s="154" t="s">
        <v>135</v>
      </c>
      <c r="P53" s="455" t="s">
        <v>115</v>
      </c>
      <c r="Q53" s="456"/>
      <c r="R53" s="455" t="s">
        <v>278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121</v>
      </c>
      <c r="B54" s="451"/>
      <c r="C54" s="149" t="s">
        <v>135</v>
      </c>
      <c r="D54" s="149" t="s">
        <v>244</v>
      </c>
      <c r="E54" s="149" t="s">
        <v>245</v>
      </c>
      <c r="F54" s="452" t="s">
        <v>118</v>
      </c>
      <c r="G54" s="453"/>
      <c r="H54" s="453"/>
      <c r="I54" s="453"/>
      <c r="J54" s="453"/>
      <c r="K54" s="453"/>
      <c r="L54" s="453"/>
      <c r="M54" s="454"/>
      <c r="N54" s="148" t="s">
        <v>172</v>
      </c>
      <c r="O54" s="154" t="s">
        <v>144</v>
      </c>
      <c r="P54" s="455"/>
      <c r="Q54" s="456"/>
      <c r="R54" s="455" t="s">
        <v>279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149" t="s">
        <v>138</v>
      </c>
      <c r="D55" s="149" t="s">
        <v>265</v>
      </c>
      <c r="E55" s="149" t="s">
        <v>273</v>
      </c>
      <c r="F55" s="452" t="s">
        <v>174</v>
      </c>
      <c r="G55" s="453"/>
      <c r="H55" s="453"/>
      <c r="I55" s="453"/>
      <c r="J55" s="453"/>
      <c r="K55" s="453"/>
      <c r="L55" s="453"/>
      <c r="M55" s="454"/>
      <c r="N55" s="148" t="s">
        <v>112</v>
      </c>
      <c r="O55" s="154" t="s">
        <v>215</v>
      </c>
      <c r="P55" s="455" t="s">
        <v>155</v>
      </c>
      <c r="Q55" s="456"/>
      <c r="R55" s="455" t="s">
        <v>280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112</v>
      </c>
      <c r="B56" s="451"/>
      <c r="C56" s="149" t="s">
        <v>193</v>
      </c>
      <c r="D56" s="149" t="s">
        <v>115</v>
      </c>
      <c r="E56" s="149" t="s">
        <v>164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148"/>
      <c r="O56" s="154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149"/>
      <c r="D57" s="149"/>
      <c r="E57" s="149"/>
      <c r="F57" s="452"/>
      <c r="G57" s="453"/>
      <c r="H57" s="453"/>
      <c r="I57" s="453"/>
      <c r="J57" s="453"/>
      <c r="K57" s="453"/>
      <c r="L57" s="453"/>
      <c r="M57" s="454"/>
      <c r="N57" s="148"/>
      <c r="O57" s="154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149"/>
      <c r="D58" s="149"/>
      <c r="E58" s="149"/>
      <c r="F58" s="452"/>
      <c r="G58" s="453"/>
      <c r="H58" s="453"/>
      <c r="I58" s="453"/>
      <c r="J58" s="453"/>
      <c r="K58" s="453"/>
      <c r="L58" s="453"/>
      <c r="M58" s="454"/>
      <c r="N58" s="148"/>
      <c r="O58" s="154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149"/>
      <c r="D59" s="149"/>
      <c r="E59" s="149"/>
      <c r="F59" s="452"/>
      <c r="G59" s="453"/>
      <c r="H59" s="453"/>
      <c r="I59" s="453"/>
      <c r="J59" s="453"/>
      <c r="K59" s="453"/>
      <c r="L59" s="453"/>
      <c r="M59" s="454"/>
      <c r="N59" s="148"/>
      <c r="O59" s="154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149"/>
      <c r="D60" s="149"/>
      <c r="E60" s="149"/>
      <c r="F60" s="452"/>
      <c r="G60" s="453"/>
      <c r="H60" s="453"/>
      <c r="I60" s="453"/>
      <c r="J60" s="453"/>
      <c r="K60" s="453"/>
      <c r="L60" s="453"/>
      <c r="M60" s="454"/>
      <c r="N60" s="148"/>
      <c r="O60" s="154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150"/>
      <c r="D61" s="151"/>
      <c r="E61" s="151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281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52" t="s">
        <v>2</v>
      </c>
      <c r="D63" s="152" t="s">
        <v>37</v>
      </c>
      <c r="E63" s="152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52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112</v>
      </c>
      <c r="D64" s="156"/>
      <c r="E64" s="153" t="s">
        <v>183</v>
      </c>
      <c r="F64" s="477" t="s">
        <v>282</v>
      </c>
      <c r="G64" s="478"/>
      <c r="H64" s="478"/>
      <c r="I64" s="478"/>
      <c r="J64" s="479"/>
      <c r="K64" s="480" t="s">
        <v>136</v>
      </c>
      <c r="L64" s="480"/>
      <c r="M64" s="51" t="s">
        <v>147</v>
      </c>
      <c r="N64" s="481" t="s">
        <v>131</v>
      </c>
      <c r="O64" s="481"/>
      <c r="P64" s="482">
        <v>150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120</v>
      </c>
      <c r="D65" s="156"/>
      <c r="E65" s="153" t="s">
        <v>127</v>
      </c>
      <c r="F65" s="477" t="s">
        <v>283</v>
      </c>
      <c r="G65" s="478"/>
      <c r="H65" s="478"/>
      <c r="I65" s="478"/>
      <c r="J65" s="479"/>
      <c r="K65" s="480" t="s">
        <v>149</v>
      </c>
      <c r="L65" s="480"/>
      <c r="M65" s="51" t="s">
        <v>147</v>
      </c>
      <c r="N65" s="481" t="s">
        <v>138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 t="s">
        <v>120</v>
      </c>
      <c r="D66" s="156"/>
      <c r="E66" s="153" t="s">
        <v>265</v>
      </c>
      <c r="F66" s="477" t="s">
        <v>273</v>
      </c>
      <c r="G66" s="478"/>
      <c r="H66" s="478"/>
      <c r="I66" s="478"/>
      <c r="J66" s="479"/>
      <c r="K66" s="480" t="s">
        <v>234</v>
      </c>
      <c r="L66" s="480"/>
      <c r="M66" s="51" t="s">
        <v>147</v>
      </c>
      <c r="N66" s="481" t="s">
        <v>138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 t="s">
        <v>123</v>
      </c>
      <c r="D67" s="156"/>
      <c r="E67" s="153"/>
      <c r="F67" s="477" t="s">
        <v>284</v>
      </c>
      <c r="G67" s="478"/>
      <c r="H67" s="478"/>
      <c r="I67" s="478"/>
      <c r="J67" s="479"/>
      <c r="K67" s="480" t="s">
        <v>286</v>
      </c>
      <c r="L67" s="480"/>
      <c r="M67" s="51" t="s">
        <v>153</v>
      </c>
      <c r="N67" s="481" t="s">
        <v>151</v>
      </c>
      <c r="O67" s="481"/>
      <c r="P67" s="482"/>
      <c r="Q67" s="482"/>
      <c r="R67" s="458" t="s">
        <v>285</v>
      </c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156"/>
      <c r="E68" s="15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156"/>
      <c r="E69" s="15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156"/>
      <c r="E70" s="153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156"/>
      <c r="E71" s="153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156"/>
      <c r="E72" s="15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156"/>
      <c r="E73" s="15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287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155" t="s">
        <v>2</v>
      </c>
      <c r="D75" s="155" t="s">
        <v>37</v>
      </c>
      <c r="E75" s="155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157" t="s">
        <v>112</v>
      </c>
      <c r="D76" s="157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156"/>
      <c r="D77" s="156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2">A77+1</f>
        <v>3</v>
      </c>
      <c r="B78" s="496"/>
      <c r="C78" s="156"/>
      <c r="D78" s="156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2"/>
        <v>4</v>
      </c>
      <c r="B79" s="496"/>
      <c r="C79" s="156"/>
      <c r="D79" s="156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2"/>
        <v>5</v>
      </c>
      <c r="B80" s="496"/>
      <c r="C80" s="156"/>
      <c r="D80" s="156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2"/>
        <v>6</v>
      </c>
      <c r="B81" s="496"/>
      <c r="C81" s="156"/>
      <c r="D81" s="156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2"/>
        <v>7</v>
      </c>
      <c r="B82" s="496"/>
      <c r="C82" s="156"/>
      <c r="D82" s="156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288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54BF-277B-4ADE-8D04-5AB9E0D19DC3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289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269</v>
      </c>
      <c r="D6" s="52"/>
      <c r="E6" s="53" t="s">
        <v>290</v>
      </c>
      <c r="F6" s="30" t="s">
        <v>271</v>
      </c>
      <c r="G6" s="12" t="s">
        <v>272</v>
      </c>
      <c r="H6" s="13">
        <v>24</v>
      </c>
      <c r="I6" s="31">
        <v>3200</v>
      </c>
      <c r="J6" s="5">
        <v>4255</v>
      </c>
      <c r="K6" s="15">
        <f>L6</f>
        <v>4255</v>
      </c>
      <c r="L6" s="15">
        <f>1570+2685</f>
        <v>4255</v>
      </c>
      <c r="M6" s="15">
        <f t="shared" ref="M6:M21" si="0">L6-N6</f>
        <v>4255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22</v>
      </c>
      <c r="Q6" s="40">
        <f t="shared" ref="Q6:Q21" si="3">SUM(R6:AA6)</f>
        <v>2</v>
      </c>
      <c r="R6" s="7"/>
      <c r="S6" s="6"/>
      <c r="T6" s="16"/>
      <c r="U6" s="16"/>
      <c r="V6" s="17"/>
      <c r="W6" s="5">
        <v>2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0.91666666666666663</v>
      </c>
      <c r="AD6" s="10">
        <f t="shared" ref="AD6:AD21" si="6">AC6*AB6*(1-O6)</f>
        <v>0.91666666666666663</v>
      </c>
      <c r="AE6" s="36">
        <f t="shared" ref="AE6:AE21" si="7">$AD$22</f>
        <v>0.53385416666666663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L7+3721+6061+2100</f>
        <v>11882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0.53385416666666663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4644</v>
      </c>
      <c r="K8" s="15">
        <f>L8+4389</f>
        <v>9033</v>
      </c>
      <c r="L8" s="15">
        <f>2403+2241</f>
        <v>4644</v>
      </c>
      <c r="M8" s="15">
        <f t="shared" si="0"/>
        <v>4644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0.53385416666666663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115</v>
      </c>
      <c r="E9" s="53" t="s">
        <v>278</v>
      </c>
      <c r="F9" s="30" t="s">
        <v>119</v>
      </c>
      <c r="G9" s="33">
        <v>1</v>
      </c>
      <c r="H9" s="35">
        <v>24</v>
      </c>
      <c r="I9" s="7">
        <v>10000</v>
      </c>
      <c r="J9" s="14">
        <v>4054</v>
      </c>
      <c r="K9" s="15">
        <f>L9</f>
        <v>4054</v>
      </c>
      <c r="L9" s="15">
        <f>1511+2543</f>
        <v>4054</v>
      </c>
      <c r="M9" s="15">
        <f t="shared" si="0"/>
        <v>4054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/>
      <c r="T9" s="16">
        <v>2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0.53385416666666663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/>
      <c r="E10" s="53" t="s">
        <v>291</v>
      </c>
      <c r="F10" s="30" t="s">
        <v>292</v>
      </c>
      <c r="G10" s="33">
        <v>2</v>
      </c>
      <c r="H10" s="35">
        <v>24</v>
      </c>
      <c r="I10" s="7">
        <v>60000</v>
      </c>
      <c r="J10" s="5">
        <v>4247</v>
      </c>
      <c r="K10" s="15">
        <f>L10</f>
        <v>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48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0.53385416666666663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129</v>
      </c>
      <c r="E11" s="53" t="s">
        <v>220</v>
      </c>
      <c r="F11" s="30" t="s">
        <v>130</v>
      </c>
      <c r="G11" s="12">
        <v>20</v>
      </c>
      <c r="H11" s="13">
        <v>28</v>
      </c>
      <c r="I11" s="7">
        <v>300000</v>
      </c>
      <c r="J11" s="14">
        <v>142180</v>
      </c>
      <c r="K11" s="15">
        <f>L11+67240+140360</f>
        <v>349780</v>
      </c>
      <c r="L11" s="15">
        <f>3076*20+4033*20</f>
        <v>142180</v>
      </c>
      <c r="M11" s="15">
        <f t="shared" si="0"/>
        <v>142180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0.53385416666666663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126</v>
      </c>
      <c r="E12" s="53" t="s">
        <v>168</v>
      </c>
      <c r="F12" s="30" t="s">
        <v>137</v>
      </c>
      <c r="G12" s="33">
        <v>1</v>
      </c>
      <c r="H12" s="35">
        <v>24</v>
      </c>
      <c r="I12" s="7">
        <v>20000</v>
      </c>
      <c r="J12" s="14">
        <v>5596</v>
      </c>
      <c r="K12" s="15">
        <f>L12+3072+4682+4353+4827</f>
        <v>22530</v>
      </c>
      <c r="L12" s="15">
        <f>2759+2837</f>
        <v>5596</v>
      </c>
      <c r="M12" s="15">
        <f t="shared" si="0"/>
        <v>5596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0.53385416666666663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10107</v>
      </c>
      <c r="K13" s="15">
        <f>L13+12212+20232+16256+9762+15771+11739+16704+16779+14433+15558</f>
        <v>159553</v>
      </c>
      <c r="L13" s="15">
        <f>2548*3+821*3</f>
        <v>10107</v>
      </c>
      <c r="M13" s="15">
        <f t="shared" si="0"/>
        <v>10107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>
        <v>9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0.625</v>
      </c>
      <c r="AD13" s="10">
        <f>AC13*AB13*(1-O13)</f>
        <v>0.625</v>
      </c>
      <c r="AE13" s="36">
        <f t="shared" si="7"/>
        <v>0.53385416666666663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0.53385416666666663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293</v>
      </c>
      <c r="D15" s="52"/>
      <c r="E15" s="53" t="s">
        <v>173</v>
      </c>
      <c r="F15" s="12" t="s">
        <v>165</v>
      </c>
      <c r="G15" s="12">
        <v>8</v>
      </c>
      <c r="H15" s="13">
        <v>24</v>
      </c>
      <c r="I15" s="31">
        <v>40000</v>
      </c>
      <c r="J15" s="14">
        <v>4312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0.53385416666666663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161</v>
      </c>
      <c r="F16" s="30" t="s">
        <v>149</v>
      </c>
      <c r="G16" s="12">
        <v>4</v>
      </c>
      <c r="H16" s="13">
        <v>28</v>
      </c>
      <c r="I16" s="7">
        <f>105000-16000</f>
        <v>89000</v>
      </c>
      <c r="J16" s="14">
        <v>2740</v>
      </c>
      <c r="K16" s="15">
        <f>L16+13804+13644+15168+9596+5796+2740</f>
        <v>60748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0.53385416666666663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166</v>
      </c>
      <c r="F17" s="30" t="s">
        <v>128</v>
      </c>
      <c r="G17" s="33">
        <v>4</v>
      </c>
      <c r="H17" s="35">
        <v>24</v>
      </c>
      <c r="I17" s="7">
        <v>500000</v>
      </c>
      <c r="J17" s="5">
        <v>20256</v>
      </c>
      <c r="K17" s="15">
        <f>L17+19272+21812+22172+21128+22260+20792+21416+22084+22344+22176+21436</f>
        <v>257148</v>
      </c>
      <c r="L17" s="15">
        <f>2450*4+2614*4</f>
        <v>20256</v>
      </c>
      <c r="M17" s="15">
        <f t="shared" si="0"/>
        <v>20256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0.53385416666666663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294</v>
      </c>
      <c r="F18" s="30" t="s">
        <v>292</v>
      </c>
      <c r="G18" s="12">
        <v>1</v>
      </c>
      <c r="H18" s="13">
        <v>28</v>
      </c>
      <c r="I18" s="31">
        <v>70000</v>
      </c>
      <c r="J18" s="5">
        <v>2641</v>
      </c>
      <c r="K18" s="15">
        <f>L18</f>
        <v>2641</v>
      </c>
      <c r="L18" s="15">
        <f>1526+1115</f>
        <v>2641</v>
      </c>
      <c r="M18" s="15">
        <f t="shared" si="0"/>
        <v>2641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0.53385416666666663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123</v>
      </c>
      <c r="D19" s="52"/>
      <c r="E19" s="53" t="s">
        <v>211</v>
      </c>
      <c r="F19" s="30" t="s">
        <v>154</v>
      </c>
      <c r="G19" s="33">
        <v>1</v>
      </c>
      <c r="H19" s="35">
        <v>24</v>
      </c>
      <c r="I19" s="7">
        <v>12000</v>
      </c>
      <c r="J19" s="5">
        <v>4073</v>
      </c>
      <c r="K19" s="15">
        <f>L19+2784+4928+4073</f>
        <v>11785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>AC19*AB19*(1-O19)</f>
        <v>0</v>
      </c>
      <c r="AE19" s="36">
        <f t="shared" si="7"/>
        <v>0.53385416666666663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112</v>
      </c>
      <c r="D20" s="52" t="s">
        <v>115</v>
      </c>
      <c r="E20" s="53" t="s">
        <v>164</v>
      </c>
      <c r="F20" s="30" t="s">
        <v>119</v>
      </c>
      <c r="G20" s="33">
        <v>1</v>
      </c>
      <c r="H20" s="35">
        <v>24</v>
      </c>
      <c r="I20" s="7">
        <v>64000</v>
      </c>
      <c r="J20" s="14">
        <v>5103</v>
      </c>
      <c r="K20" s="15">
        <f>L20+4204+5394+5278+1522+3899+5224+5152+5164+2208+4924+654+3141+5593+2079+5343+5450+440+2090+4864+5654+5372+4913+5645+3195+2856+5309</f>
        <v>110670</v>
      </c>
      <c r="L20" s="15">
        <f>2470+2633</f>
        <v>5103</v>
      </c>
      <c r="M20" s="15">
        <f t="shared" si="0"/>
        <v>5103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0.53385416666666663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34736</v>
      </c>
      <c r="K21" s="15">
        <f>L21+16808+39112+38440+39748+31140+68844+45656+37140+73976+32892+39440+37868+39596+38388</f>
        <v>613784</v>
      </c>
      <c r="L21" s="15">
        <f>8684*4</f>
        <v>34736</v>
      </c>
      <c r="M21" s="15">
        <f t="shared" si="0"/>
        <v>34736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0.53385416666666663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0">SUM(I6:I21)</f>
        <v>2278500</v>
      </c>
      <c r="J22" s="19">
        <f t="shared" si="10"/>
        <v>251383</v>
      </c>
      <c r="K22" s="20">
        <f t="shared" si="10"/>
        <v>1618202</v>
      </c>
      <c r="L22" s="21">
        <f t="shared" si="10"/>
        <v>233572</v>
      </c>
      <c r="M22" s="20">
        <f t="shared" si="10"/>
        <v>233572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205</v>
      </c>
      <c r="Q22" s="43">
        <f t="shared" si="11"/>
        <v>203</v>
      </c>
      <c r="R22" s="23">
        <f t="shared" si="11"/>
        <v>24</v>
      </c>
      <c r="S22" s="24">
        <f t="shared" si="11"/>
        <v>90</v>
      </c>
      <c r="T22" s="24">
        <f t="shared" si="11"/>
        <v>2</v>
      </c>
      <c r="U22" s="24">
        <f t="shared" si="11"/>
        <v>0</v>
      </c>
      <c r="V22" s="25">
        <f t="shared" si="11"/>
        <v>13</v>
      </c>
      <c r="W22" s="26">
        <f t="shared" si="11"/>
        <v>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72</v>
      </c>
      <c r="AB22" s="28">
        <f>AVERAGE(AB6:AB21)</f>
        <v>0.625</v>
      </c>
      <c r="AC22" s="4">
        <f>AVERAGE(AC6:AC21)</f>
        <v>0.53385416666666663</v>
      </c>
      <c r="AD22" s="4">
        <f>AVERAGE(AD6:AD21)</f>
        <v>0.53385416666666663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295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297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168" t="s">
        <v>46</v>
      </c>
      <c r="D51" s="168" t="s">
        <v>47</v>
      </c>
      <c r="E51" s="168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168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269</v>
      </c>
      <c r="B52" s="451"/>
      <c r="C52" s="165" t="s">
        <v>145</v>
      </c>
      <c r="D52" s="165"/>
      <c r="E52" s="165" t="s">
        <v>277</v>
      </c>
      <c r="F52" s="452" t="s">
        <v>174</v>
      </c>
      <c r="G52" s="453"/>
      <c r="H52" s="453"/>
      <c r="I52" s="453"/>
      <c r="J52" s="453"/>
      <c r="K52" s="453"/>
      <c r="L52" s="453"/>
      <c r="M52" s="454"/>
      <c r="N52" s="164" t="s">
        <v>172</v>
      </c>
      <c r="O52" s="162" t="s">
        <v>144</v>
      </c>
      <c r="P52" s="455"/>
      <c r="Q52" s="456"/>
      <c r="R52" s="455" t="s">
        <v>279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121</v>
      </c>
      <c r="B53" s="451"/>
      <c r="C53" s="165" t="s">
        <v>135</v>
      </c>
      <c r="D53" s="165" t="s">
        <v>115</v>
      </c>
      <c r="E53" s="165" t="s">
        <v>278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164" t="s">
        <v>120</v>
      </c>
      <c r="O53" s="162" t="s">
        <v>152</v>
      </c>
      <c r="P53" s="455" t="s">
        <v>115</v>
      </c>
      <c r="Q53" s="456"/>
      <c r="R53" s="455" t="s">
        <v>299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165" t="s">
        <v>138</v>
      </c>
      <c r="D54" s="165" t="s">
        <v>115</v>
      </c>
      <c r="E54" s="165" t="s">
        <v>294</v>
      </c>
      <c r="F54" s="452" t="s">
        <v>298</v>
      </c>
      <c r="G54" s="453"/>
      <c r="H54" s="453"/>
      <c r="I54" s="453"/>
      <c r="J54" s="453"/>
      <c r="K54" s="453"/>
      <c r="L54" s="453"/>
      <c r="M54" s="454"/>
      <c r="N54" s="164" t="s">
        <v>120</v>
      </c>
      <c r="O54" s="162" t="s">
        <v>215</v>
      </c>
      <c r="P54" s="455" t="s">
        <v>127</v>
      </c>
      <c r="Q54" s="456"/>
      <c r="R54" s="455" t="s">
        <v>300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293</v>
      </c>
      <c r="B55" s="451"/>
      <c r="C55" s="165" t="s">
        <v>144</v>
      </c>
      <c r="D55" s="165"/>
      <c r="E55" s="165" t="s">
        <v>279</v>
      </c>
      <c r="F55" s="452" t="s">
        <v>296</v>
      </c>
      <c r="G55" s="453"/>
      <c r="H55" s="453"/>
      <c r="I55" s="453"/>
      <c r="J55" s="453"/>
      <c r="K55" s="453"/>
      <c r="L55" s="453"/>
      <c r="M55" s="454"/>
      <c r="N55" s="164" t="s">
        <v>123</v>
      </c>
      <c r="O55" s="162" t="s">
        <v>151</v>
      </c>
      <c r="P55" s="455"/>
      <c r="Q55" s="456"/>
      <c r="R55" s="455" t="s">
        <v>291</v>
      </c>
      <c r="S55" s="457"/>
      <c r="T55" s="457"/>
      <c r="U55" s="456"/>
      <c r="V55" s="458" t="s">
        <v>160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/>
      <c r="B56" s="451"/>
      <c r="C56" s="165"/>
      <c r="D56" s="165"/>
      <c r="E56" s="165"/>
      <c r="F56" s="452"/>
      <c r="G56" s="453"/>
      <c r="H56" s="453"/>
      <c r="I56" s="453"/>
      <c r="J56" s="453"/>
      <c r="K56" s="453"/>
      <c r="L56" s="453"/>
      <c r="M56" s="454"/>
      <c r="N56" s="164"/>
      <c r="O56" s="162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165"/>
      <c r="D57" s="165"/>
      <c r="E57" s="165"/>
      <c r="F57" s="452"/>
      <c r="G57" s="453"/>
      <c r="H57" s="453"/>
      <c r="I57" s="453"/>
      <c r="J57" s="453"/>
      <c r="K57" s="453"/>
      <c r="L57" s="453"/>
      <c r="M57" s="454"/>
      <c r="N57" s="164"/>
      <c r="O57" s="16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165"/>
      <c r="D58" s="165"/>
      <c r="E58" s="165"/>
      <c r="F58" s="452"/>
      <c r="G58" s="453"/>
      <c r="H58" s="453"/>
      <c r="I58" s="453"/>
      <c r="J58" s="453"/>
      <c r="K58" s="453"/>
      <c r="L58" s="453"/>
      <c r="M58" s="454"/>
      <c r="N58" s="164"/>
      <c r="O58" s="162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165"/>
      <c r="D59" s="165"/>
      <c r="E59" s="165"/>
      <c r="F59" s="452"/>
      <c r="G59" s="453"/>
      <c r="H59" s="453"/>
      <c r="I59" s="453"/>
      <c r="J59" s="453"/>
      <c r="K59" s="453"/>
      <c r="L59" s="453"/>
      <c r="M59" s="454"/>
      <c r="N59" s="164"/>
      <c r="O59" s="16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165"/>
      <c r="D60" s="165"/>
      <c r="E60" s="165"/>
      <c r="F60" s="452"/>
      <c r="G60" s="453"/>
      <c r="H60" s="453"/>
      <c r="I60" s="453"/>
      <c r="J60" s="453"/>
      <c r="K60" s="453"/>
      <c r="L60" s="453"/>
      <c r="M60" s="454"/>
      <c r="N60" s="164"/>
      <c r="O60" s="162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166"/>
      <c r="D61" s="167"/>
      <c r="E61" s="167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301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63" t="s">
        <v>2</v>
      </c>
      <c r="D63" s="163" t="s">
        <v>37</v>
      </c>
      <c r="E63" s="163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63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112</v>
      </c>
      <c r="D64" s="158"/>
      <c r="E64" s="161" t="s">
        <v>155</v>
      </c>
      <c r="F64" s="477" t="s">
        <v>302</v>
      </c>
      <c r="G64" s="478"/>
      <c r="H64" s="478"/>
      <c r="I64" s="478"/>
      <c r="J64" s="479"/>
      <c r="K64" s="480" t="s">
        <v>124</v>
      </c>
      <c r="L64" s="480"/>
      <c r="M64" s="51" t="s">
        <v>147</v>
      </c>
      <c r="N64" s="481" t="s">
        <v>135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120</v>
      </c>
      <c r="D65" s="158"/>
      <c r="E65" s="161" t="s">
        <v>126</v>
      </c>
      <c r="F65" s="477" t="s">
        <v>303</v>
      </c>
      <c r="G65" s="478"/>
      <c r="H65" s="478"/>
      <c r="I65" s="478"/>
      <c r="J65" s="479"/>
      <c r="K65" s="480" t="s">
        <v>292</v>
      </c>
      <c r="L65" s="480"/>
      <c r="M65" s="51" t="s">
        <v>147</v>
      </c>
      <c r="N65" s="481" t="s">
        <v>138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 t="s">
        <v>120</v>
      </c>
      <c r="D66" s="158"/>
      <c r="E66" s="161" t="s">
        <v>115</v>
      </c>
      <c r="F66" s="477" t="s">
        <v>294</v>
      </c>
      <c r="G66" s="478"/>
      <c r="H66" s="478"/>
      <c r="I66" s="478"/>
      <c r="J66" s="479"/>
      <c r="K66" s="480" t="s">
        <v>292</v>
      </c>
      <c r="L66" s="480"/>
      <c r="M66" s="51" t="s">
        <v>147</v>
      </c>
      <c r="N66" s="481" t="s">
        <v>138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 t="s">
        <v>123</v>
      </c>
      <c r="D67" s="158"/>
      <c r="E67" s="161"/>
      <c r="F67" s="477" t="s">
        <v>284</v>
      </c>
      <c r="G67" s="478"/>
      <c r="H67" s="478"/>
      <c r="I67" s="478"/>
      <c r="J67" s="479"/>
      <c r="K67" s="480" t="s">
        <v>292</v>
      </c>
      <c r="L67" s="480"/>
      <c r="M67" s="51" t="s">
        <v>153</v>
      </c>
      <c r="N67" s="481" t="s">
        <v>151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 t="s">
        <v>120</v>
      </c>
      <c r="D68" s="158"/>
      <c r="E68" s="161" t="s">
        <v>126</v>
      </c>
      <c r="F68" s="477" t="s">
        <v>304</v>
      </c>
      <c r="G68" s="478"/>
      <c r="H68" s="478"/>
      <c r="I68" s="478"/>
      <c r="J68" s="479"/>
      <c r="K68" s="480">
        <v>7301</v>
      </c>
      <c r="L68" s="480"/>
      <c r="M68" s="51" t="s">
        <v>153</v>
      </c>
      <c r="N68" s="481" t="s">
        <v>215</v>
      </c>
      <c r="O68" s="481"/>
      <c r="P68" s="482">
        <v>50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158"/>
      <c r="E69" s="16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158"/>
      <c r="E70" s="161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158"/>
      <c r="E71" s="16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158"/>
      <c r="E72" s="16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158"/>
      <c r="E73" s="16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305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160" t="s">
        <v>2</v>
      </c>
      <c r="D75" s="160" t="s">
        <v>37</v>
      </c>
      <c r="E75" s="160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159" t="s">
        <v>112</v>
      </c>
      <c r="D76" s="159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158"/>
      <c r="D77" s="158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2">A77+1</f>
        <v>3</v>
      </c>
      <c r="B78" s="496"/>
      <c r="C78" s="158"/>
      <c r="D78" s="158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2"/>
        <v>4</v>
      </c>
      <c r="B79" s="496"/>
      <c r="C79" s="158"/>
      <c r="D79" s="158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2"/>
        <v>5</v>
      </c>
      <c r="B80" s="496"/>
      <c r="C80" s="158"/>
      <c r="D80" s="158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2"/>
        <v>6</v>
      </c>
      <c r="B81" s="496"/>
      <c r="C81" s="158"/>
      <c r="D81" s="158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2"/>
        <v>7</v>
      </c>
      <c r="B82" s="496"/>
      <c r="C82" s="158"/>
      <c r="D82" s="158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306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D5EB-2E0E-4488-87FE-77360E1F73C8}">
  <dimension ref="A1:AF89"/>
  <sheetViews>
    <sheetView view="pageBreakPreview" topLeftCell="A25" zoomScale="70" zoomScaleNormal="72" zoomScaleSheetLayoutView="70" workbookViewId="0">
      <selection activeCell="P53" sqref="P53:Q5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307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70" t="s">
        <v>17</v>
      </c>
      <c r="L5" s="170" t="s">
        <v>18</v>
      </c>
      <c r="M5" s="170" t="s">
        <v>19</v>
      </c>
      <c r="N5" s="1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269</v>
      </c>
      <c r="D6" s="52"/>
      <c r="E6" s="53" t="s">
        <v>290</v>
      </c>
      <c r="F6" s="30" t="s">
        <v>271</v>
      </c>
      <c r="G6" s="12" t="s">
        <v>272</v>
      </c>
      <c r="H6" s="13">
        <v>24</v>
      </c>
      <c r="I6" s="31">
        <v>3200</v>
      </c>
      <c r="J6" s="5">
        <v>4255</v>
      </c>
      <c r="K6" s="15">
        <f>L6+4255</f>
        <v>4255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0.52083333333333337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L7+3721+6061+2100</f>
        <v>11882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0.52083333333333337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4956</v>
      </c>
      <c r="K8" s="15">
        <f>L8+4389+4644</f>
        <v>13989</v>
      </c>
      <c r="L8" s="15">
        <f>2417+2539</f>
        <v>4956</v>
      </c>
      <c r="M8" s="15">
        <f t="shared" si="0"/>
        <v>4956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0.52083333333333337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 t="s">
        <v>115</v>
      </c>
      <c r="E9" s="53" t="s">
        <v>278</v>
      </c>
      <c r="F9" s="30" t="s">
        <v>119</v>
      </c>
      <c r="G9" s="33">
        <v>1</v>
      </c>
      <c r="H9" s="35">
        <v>24</v>
      </c>
      <c r="I9" s="7">
        <v>10000</v>
      </c>
      <c r="J9" s="14">
        <v>5392</v>
      </c>
      <c r="K9" s="15">
        <f>L9+4054</f>
        <v>9446</v>
      </c>
      <c r="L9" s="15">
        <f>2700+2692</f>
        <v>5392</v>
      </c>
      <c r="M9" s="15">
        <f t="shared" si="0"/>
        <v>5392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0.52083333333333337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/>
      <c r="E10" s="53" t="s">
        <v>291</v>
      </c>
      <c r="F10" s="30" t="s">
        <v>292</v>
      </c>
      <c r="G10" s="33">
        <v>2</v>
      </c>
      <c r="H10" s="35">
        <v>24</v>
      </c>
      <c r="I10" s="7">
        <v>60000</v>
      </c>
      <c r="J10" s="5">
        <v>7892</v>
      </c>
      <c r="K10" s="15">
        <f>L10</f>
        <v>7892</v>
      </c>
      <c r="L10" s="15">
        <f>2241*2+1705*2</f>
        <v>7892</v>
      </c>
      <c r="M10" s="15">
        <f t="shared" si="0"/>
        <v>7892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>
        <v>6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>AC10*AB10*(1-O10)</f>
        <v>0.75</v>
      </c>
      <c r="AE10" s="36">
        <f t="shared" si="7"/>
        <v>0.52083333333333337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129</v>
      </c>
      <c r="E11" s="53" t="s">
        <v>220</v>
      </c>
      <c r="F11" s="30" t="s">
        <v>130</v>
      </c>
      <c r="G11" s="12">
        <v>20</v>
      </c>
      <c r="H11" s="13">
        <v>28</v>
      </c>
      <c r="I11" s="7">
        <v>300000</v>
      </c>
      <c r="J11" s="14">
        <v>156780</v>
      </c>
      <c r="K11" s="15">
        <f>L11+67240+140360+142180</f>
        <v>506560</v>
      </c>
      <c r="L11" s="15">
        <f>3854*20+3985*20</f>
        <v>156780</v>
      </c>
      <c r="M11" s="15">
        <f t="shared" si="0"/>
        <v>156780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5" si="9">AC11*AB11*(1-O11)</f>
        <v>1</v>
      </c>
      <c r="AE11" s="36">
        <f t="shared" si="7"/>
        <v>0.52083333333333337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115</v>
      </c>
      <c r="E12" s="53" t="s">
        <v>299</v>
      </c>
      <c r="F12" s="30" t="s">
        <v>308</v>
      </c>
      <c r="G12" s="33">
        <v>1</v>
      </c>
      <c r="H12" s="35">
        <v>24</v>
      </c>
      <c r="I12" s="7">
        <v>1000</v>
      </c>
      <c r="J12" s="14">
        <v>1126</v>
      </c>
      <c r="K12" s="15">
        <f>L12</f>
        <v>1126</v>
      </c>
      <c r="L12" s="15">
        <f>1126</f>
        <v>1126</v>
      </c>
      <c r="M12" s="15">
        <f t="shared" si="0"/>
        <v>1126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/>
      <c r="T12" s="16"/>
      <c r="U12" s="16"/>
      <c r="V12" s="17"/>
      <c r="W12" s="5">
        <v>18</v>
      </c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9"/>
        <v>0.25</v>
      </c>
      <c r="AE12" s="36">
        <f t="shared" si="7"/>
        <v>0.52083333333333337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11" t="s">
        <v>120</v>
      </c>
      <c r="D13" s="52" t="s">
        <v>265</v>
      </c>
      <c r="E13" s="53" t="s">
        <v>309</v>
      </c>
      <c r="F13" s="30" t="s">
        <v>149</v>
      </c>
      <c r="G13" s="33">
        <v>1</v>
      </c>
      <c r="H13" s="35">
        <v>24</v>
      </c>
      <c r="I13" s="7">
        <v>1300</v>
      </c>
      <c r="J13" s="14">
        <v>1700</v>
      </c>
      <c r="K13" s="15">
        <f>L13</f>
        <v>1700</v>
      </c>
      <c r="L13" s="15">
        <v>1700</v>
      </c>
      <c r="M13" s="15">
        <f t="shared" ref="M13" si="10">L13-N13</f>
        <v>1700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9</v>
      </c>
      <c r="Q13" s="40">
        <f t="shared" ref="Q13" si="13">SUM(R13:AA13)</f>
        <v>15</v>
      </c>
      <c r="R13" s="7"/>
      <c r="S13" s="6"/>
      <c r="T13" s="16"/>
      <c r="U13" s="16"/>
      <c r="V13" s="17"/>
      <c r="W13" s="5">
        <v>15</v>
      </c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0.375</v>
      </c>
      <c r="AD13" s="10">
        <f t="shared" ref="AD13" si="16">AC13*AB13*(1-O13)</f>
        <v>0.375</v>
      </c>
      <c r="AE13" s="36">
        <f t="shared" si="7"/>
        <v>0.52083333333333337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158</v>
      </c>
      <c r="F14" s="30" t="s">
        <v>125</v>
      </c>
      <c r="G14" s="33">
        <v>3</v>
      </c>
      <c r="H14" s="35">
        <v>24</v>
      </c>
      <c r="I14" s="7">
        <v>500000</v>
      </c>
      <c r="J14" s="5">
        <v>21780</v>
      </c>
      <c r="K14" s="15">
        <f>L14+12212+20232+16256+9762+15771+11739+16704+16779+14433+15558+10107</f>
        <v>181333</v>
      </c>
      <c r="L14" s="15">
        <f>2630*4+2815*4</f>
        <v>21780</v>
      </c>
      <c r="M14" s="15">
        <f t="shared" si="0"/>
        <v>21780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>AC14*AB14*(1-O14)</f>
        <v>1</v>
      </c>
      <c r="AE14" s="36">
        <f t="shared" si="7"/>
        <v>0.52083333333333337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L15+339</f>
        <v>339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0.52083333333333337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293</v>
      </c>
      <c r="D16" s="52"/>
      <c r="E16" s="53" t="s">
        <v>173</v>
      </c>
      <c r="F16" s="12" t="s">
        <v>165</v>
      </c>
      <c r="G16" s="12">
        <v>8</v>
      </c>
      <c r="H16" s="13">
        <v>24</v>
      </c>
      <c r="I16" s="31">
        <v>40000</v>
      </c>
      <c r="J16" s="14">
        <v>33605</v>
      </c>
      <c r="K16" s="15">
        <f>L16</f>
        <v>33605</v>
      </c>
      <c r="L16" s="15">
        <f>3869*5+2852*5</f>
        <v>33605</v>
      </c>
      <c r="M16" s="15">
        <f t="shared" si="0"/>
        <v>33605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>
        <v>2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6">
        <f t="shared" si="7"/>
        <v>0.52083333333333337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127</v>
      </c>
      <c r="E17" s="53" t="s">
        <v>161</v>
      </c>
      <c r="F17" s="30" t="s">
        <v>149</v>
      </c>
      <c r="G17" s="12">
        <v>4</v>
      </c>
      <c r="H17" s="13">
        <v>28</v>
      </c>
      <c r="I17" s="7">
        <f>105000-16000</f>
        <v>89000</v>
      </c>
      <c r="J17" s="14">
        <v>2740</v>
      </c>
      <c r="K17" s="15">
        <f>L17+13804+13644+15168+9596+5796+2740</f>
        <v>60748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0.52083333333333337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121</v>
      </c>
      <c r="D18" s="52" t="s">
        <v>127</v>
      </c>
      <c r="E18" s="53" t="s">
        <v>166</v>
      </c>
      <c r="F18" s="30" t="s">
        <v>128</v>
      </c>
      <c r="G18" s="33">
        <v>4</v>
      </c>
      <c r="H18" s="35">
        <v>24</v>
      </c>
      <c r="I18" s="7">
        <v>500000</v>
      </c>
      <c r="J18" s="5">
        <v>21072</v>
      </c>
      <c r="K18" s="15">
        <f>L18+19272+21812+22172+21128+22260+20792+21416+22084+22344+22176+21436+20256</f>
        <v>278220</v>
      </c>
      <c r="L18" s="15">
        <f>2527*4+2741*4</f>
        <v>21072</v>
      </c>
      <c r="M18" s="15">
        <f t="shared" si="0"/>
        <v>21072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0.52083333333333337</v>
      </c>
      <c r="AF18" s="84">
        <f t="shared" si="8"/>
        <v>12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115</v>
      </c>
      <c r="E19" s="53" t="s">
        <v>294</v>
      </c>
      <c r="F19" s="30" t="s">
        <v>292</v>
      </c>
      <c r="G19" s="12">
        <v>1</v>
      </c>
      <c r="H19" s="13">
        <v>28</v>
      </c>
      <c r="I19" s="31">
        <v>70000</v>
      </c>
      <c r="J19" s="5">
        <v>2641</v>
      </c>
      <c r="K19" s="15">
        <f>L19+2641</f>
        <v>2641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0.52083333333333337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120</v>
      </c>
      <c r="D20" s="52" t="s">
        <v>127</v>
      </c>
      <c r="E20" s="53" t="s">
        <v>300</v>
      </c>
      <c r="F20" s="30" t="s">
        <v>124</v>
      </c>
      <c r="G20" s="33">
        <v>1</v>
      </c>
      <c r="H20" s="35">
        <v>24</v>
      </c>
      <c r="I20" s="7">
        <v>1000</v>
      </c>
      <c r="J20" s="5">
        <v>1242</v>
      </c>
      <c r="K20" s="15">
        <f>L20</f>
        <v>1242</v>
      </c>
      <c r="L20" s="15">
        <f>1242</f>
        <v>1242</v>
      </c>
      <c r="M20" s="15">
        <f t="shared" ref="M20" si="18">L20-N20</f>
        <v>1242</v>
      </c>
      <c r="N20" s="15">
        <v>0</v>
      </c>
      <c r="O20" s="58">
        <f t="shared" ref="O20" si="19">IF(L20=0,"0",N20/L20)</f>
        <v>0</v>
      </c>
      <c r="P20" s="39">
        <f t="shared" ref="P20" si="20">IF(L20=0,"0",(24-Q20))</f>
        <v>7</v>
      </c>
      <c r="Q20" s="40">
        <f t="shared" ref="Q20" si="21">SUM(R20:AA20)</f>
        <v>17</v>
      </c>
      <c r="R20" s="7"/>
      <c r="S20" s="6"/>
      <c r="T20" s="16"/>
      <c r="U20" s="16"/>
      <c r="V20" s="17"/>
      <c r="W20" s="5">
        <v>17</v>
      </c>
      <c r="X20" s="16"/>
      <c r="Y20" s="16"/>
      <c r="Z20" s="16"/>
      <c r="AA20" s="18"/>
      <c r="AB20" s="8">
        <f t="shared" ref="AB20" si="22">IF(J20=0,"0",(L20/J20))</f>
        <v>1</v>
      </c>
      <c r="AC20" s="9">
        <f t="shared" ref="AC20" si="23">IF(P20=0,"0",(P20/24))</f>
        <v>0.29166666666666669</v>
      </c>
      <c r="AD20" s="10">
        <f>AC20*AB20*(1-O20)</f>
        <v>0.29166666666666669</v>
      </c>
      <c r="AE20" s="36">
        <f t="shared" si="7"/>
        <v>0.52083333333333337</v>
      </c>
      <c r="AF20" s="84">
        <f t="shared" ref="AF20" si="24">A20</f>
        <v>14</v>
      </c>
    </row>
    <row r="21" spans="1:32" ht="27" customHeight="1">
      <c r="A21" s="96">
        <v>14</v>
      </c>
      <c r="B21" s="11" t="s">
        <v>57</v>
      </c>
      <c r="C21" s="34" t="s">
        <v>120</v>
      </c>
      <c r="D21" s="52" t="s">
        <v>127</v>
      </c>
      <c r="E21" s="53" t="s">
        <v>310</v>
      </c>
      <c r="F21" s="30" t="s">
        <v>149</v>
      </c>
      <c r="G21" s="33">
        <v>1</v>
      </c>
      <c r="H21" s="35">
        <v>24</v>
      </c>
      <c r="I21" s="7">
        <v>1100</v>
      </c>
      <c r="J21" s="5">
        <v>1438</v>
      </c>
      <c r="K21" s="15">
        <f>L21</f>
        <v>1438</v>
      </c>
      <c r="L21" s="15">
        <f>609+829</f>
        <v>1438</v>
      </c>
      <c r="M21" s="15">
        <f t="shared" si="0"/>
        <v>1438</v>
      </c>
      <c r="N21" s="15">
        <v>0</v>
      </c>
      <c r="O21" s="58">
        <f t="shared" si="1"/>
        <v>0</v>
      </c>
      <c r="P21" s="39">
        <f t="shared" si="2"/>
        <v>7</v>
      </c>
      <c r="Q21" s="40">
        <f t="shared" si="3"/>
        <v>17</v>
      </c>
      <c r="R21" s="7"/>
      <c r="S21" s="6"/>
      <c r="T21" s="16"/>
      <c r="U21" s="16"/>
      <c r="V21" s="17"/>
      <c r="W21" s="5">
        <v>17</v>
      </c>
      <c r="X21" s="16"/>
      <c r="Y21" s="16"/>
      <c r="Z21" s="16"/>
      <c r="AA21" s="18"/>
      <c r="AB21" s="8">
        <f t="shared" si="4"/>
        <v>1</v>
      </c>
      <c r="AC21" s="9">
        <f t="shared" si="5"/>
        <v>0.29166666666666669</v>
      </c>
      <c r="AD21" s="10">
        <f>AC21*AB21*(1-O21)</f>
        <v>0.29166666666666669</v>
      </c>
      <c r="AE21" s="36">
        <f t="shared" si="7"/>
        <v>0.52083333333333337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112</v>
      </c>
      <c r="D22" s="52" t="s">
        <v>115</v>
      </c>
      <c r="E22" s="53" t="s">
        <v>164</v>
      </c>
      <c r="F22" s="30" t="s">
        <v>119</v>
      </c>
      <c r="G22" s="33">
        <v>1</v>
      </c>
      <c r="H22" s="35">
        <v>24</v>
      </c>
      <c r="I22" s="7">
        <v>64000</v>
      </c>
      <c r="J22" s="14">
        <v>4226</v>
      </c>
      <c r="K22" s="15">
        <f>L22+4204+5394+5278+1522+3899+5224+5152+5164+2208+4924+654+3141+5593+2079+5343+5450+440+2090+4864+5654+5372+4913+5645+3195+2856+5309+5103</f>
        <v>114896</v>
      </c>
      <c r="L22" s="15">
        <f>2236+1990</f>
        <v>4226</v>
      </c>
      <c r="M22" s="15">
        <f t="shared" si="0"/>
        <v>4226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0.52083333333333337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162</v>
      </c>
      <c r="F23" s="12" t="s">
        <v>114</v>
      </c>
      <c r="G23" s="12">
        <v>4</v>
      </c>
      <c r="H23" s="35">
        <v>20</v>
      </c>
      <c r="I23" s="7">
        <v>500000</v>
      </c>
      <c r="J23" s="14">
        <v>36544</v>
      </c>
      <c r="K23" s="15">
        <f>L23+16808+39112+38440+39748+31140+68844+45656+37140+73976+32892+39440+37868+39596+38388+34736</f>
        <v>650328</v>
      </c>
      <c r="L23" s="15">
        <f>9136*4</f>
        <v>36544</v>
      </c>
      <c r="M23" s="15">
        <f t="shared" si="0"/>
        <v>36544</v>
      </c>
      <c r="N23" s="15">
        <v>0</v>
      </c>
      <c r="O23" s="58">
        <f t="shared" si="1"/>
        <v>0</v>
      </c>
      <c r="P23" s="39">
        <f t="shared" si="2"/>
        <v>12</v>
      </c>
      <c r="Q23" s="40">
        <f t="shared" si="3"/>
        <v>12</v>
      </c>
      <c r="R23" s="7"/>
      <c r="S23" s="6"/>
      <c r="T23" s="16"/>
      <c r="U23" s="16"/>
      <c r="V23" s="17">
        <v>12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0.5</v>
      </c>
      <c r="AD23" s="10">
        <f t="shared" si="6"/>
        <v>0.5</v>
      </c>
      <c r="AE23" s="36">
        <f t="shared" si="7"/>
        <v>0.52083333333333337</v>
      </c>
      <c r="AF23" s="84">
        <f t="shared" si="8"/>
        <v>16</v>
      </c>
    </row>
    <row r="24" spans="1:32" ht="31.5" customHeight="1" thickBot="1">
      <c r="A24" s="424" t="s">
        <v>34</v>
      </c>
      <c r="B24" s="425"/>
      <c r="C24" s="425"/>
      <c r="D24" s="425"/>
      <c r="E24" s="425"/>
      <c r="F24" s="425"/>
      <c r="G24" s="425"/>
      <c r="H24" s="426"/>
      <c r="I24" s="22">
        <f t="shared" ref="I24:N24" si="25">SUM(I6:I23)</f>
        <v>2250900</v>
      </c>
      <c r="J24" s="19">
        <f t="shared" si="25"/>
        <v>309828</v>
      </c>
      <c r="K24" s="20">
        <f t="shared" si="25"/>
        <v>1881640</v>
      </c>
      <c r="L24" s="21">
        <f t="shared" si="25"/>
        <v>297753</v>
      </c>
      <c r="M24" s="20">
        <f t="shared" si="25"/>
        <v>297753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225</v>
      </c>
      <c r="Q24" s="43">
        <f t="shared" si="26"/>
        <v>207</v>
      </c>
      <c r="R24" s="23">
        <f t="shared" si="26"/>
        <v>30</v>
      </c>
      <c r="S24" s="24">
        <f t="shared" si="26"/>
        <v>26</v>
      </c>
      <c r="T24" s="24">
        <f t="shared" si="26"/>
        <v>0</v>
      </c>
      <c r="U24" s="24">
        <f t="shared" si="26"/>
        <v>0</v>
      </c>
      <c r="V24" s="25">
        <f t="shared" si="26"/>
        <v>12</v>
      </c>
      <c r="W24" s="26">
        <f t="shared" si="26"/>
        <v>91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48</v>
      </c>
      <c r="AB24" s="28">
        <f>AVERAGE(AB6:AB23)</f>
        <v>0.72222222222222221</v>
      </c>
      <c r="AC24" s="4">
        <f>AVERAGE(AC6:AC23)</f>
        <v>0.52083333333333337</v>
      </c>
      <c r="AD24" s="4">
        <f>AVERAGE(AD6:AD23)</f>
        <v>0.52083333333333337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27" t="s">
        <v>45</v>
      </c>
      <c r="B51" s="427"/>
      <c r="C51" s="427"/>
      <c r="D51" s="427"/>
      <c r="E51" s="42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28" t="s">
        <v>311</v>
      </c>
      <c r="B52" s="429"/>
      <c r="C52" s="429"/>
      <c r="D52" s="429"/>
      <c r="E52" s="429"/>
      <c r="F52" s="429"/>
      <c r="G52" s="429"/>
      <c r="H52" s="429"/>
      <c r="I52" s="429"/>
      <c r="J52" s="429"/>
      <c r="K52" s="429"/>
      <c r="L52" s="429"/>
      <c r="M52" s="430"/>
      <c r="N52" s="431" t="s">
        <v>314</v>
      </c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  <c r="AA52" s="432"/>
      <c r="AB52" s="432"/>
      <c r="AC52" s="432"/>
      <c r="AD52" s="433"/>
    </row>
    <row r="53" spans="1:32" ht="27" customHeight="1">
      <c r="A53" s="434" t="s">
        <v>2</v>
      </c>
      <c r="B53" s="435"/>
      <c r="C53" s="171" t="s">
        <v>46</v>
      </c>
      <c r="D53" s="171" t="s">
        <v>47</v>
      </c>
      <c r="E53" s="171" t="s">
        <v>107</v>
      </c>
      <c r="F53" s="436" t="s">
        <v>106</v>
      </c>
      <c r="G53" s="437"/>
      <c r="H53" s="437"/>
      <c r="I53" s="437"/>
      <c r="J53" s="437"/>
      <c r="K53" s="437"/>
      <c r="L53" s="437"/>
      <c r="M53" s="438"/>
      <c r="N53" s="67" t="s">
        <v>110</v>
      </c>
      <c r="O53" s="171" t="s">
        <v>46</v>
      </c>
      <c r="P53" s="436" t="s">
        <v>47</v>
      </c>
      <c r="Q53" s="439"/>
      <c r="R53" s="436" t="s">
        <v>38</v>
      </c>
      <c r="S53" s="437"/>
      <c r="T53" s="437"/>
      <c r="U53" s="439"/>
      <c r="V53" s="436" t="s">
        <v>48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50" t="s">
        <v>123</v>
      </c>
      <c r="B54" s="451"/>
      <c r="C54" s="173" t="s">
        <v>151</v>
      </c>
      <c r="D54" s="173"/>
      <c r="E54" s="173" t="s">
        <v>291</v>
      </c>
      <c r="F54" s="452" t="s">
        <v>160</v>
      </c>
      <c r="G54" s="453"/>
      <c r="H54" s="453"/>
      <c r="I54" s="453"/>
      <c r="J54" s="453"/>
      <c r="K54" s="453"/>
      <c r="L54" s="453"/>
      <c r="M54" s="454"/>
      <c r="N54" s="172" t="s">
        <v>120</v>
      </c>
      <c r="O54" s="178" t="s">
        <v>135</v>
      </c>
      <c r="P54" s="455" t="s">
        <v>265</v>
      </c>
      <c r="Q54" s="456"/>
      <c r="R54" s="455" t="s">
        <v>273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173" t="s">
        <v>152</v>
      </c>
      <c r="D55" s="173" t="s">
        <v>265</v>
      </c>
      <c r="E55" s="173" t="s">
        <v>309</v>
      </c>
      <c r="F55" s="452" t="s">
        <v>118</v>
      </c>
      <c r="G55" s="453"/>
      <c r="H55" s="453"/>
      <c r="I55" s="453"/>
      <c r="J55" s="453"/>
      <c r="K55" s="453"/>
      <c r="L55" s="453"/>
      <c r="M55" s="454"/>
      <c r="N55" s="172" t="s">
        <v>112</v>
      </c>
      <c r="O55" s="178" t="s">
        <v>152</v>
      </c>
      <c r="P55" s="455" t="s">
        <v>115</v>
      </c>
      <c r="Q55" s="456"/>
      <c r="R55" s="455" t="s">
        <v>116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173" t="s">
        <v>152</v>
      </c>
      <c r="D56" s="173" t="s">
        <v>115</v>
      </c>
      <c r="E56" s="173" t="s">
        <v>299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172" t="s">
        <v>120</v>
      </c>
      <c r="O56" s="178" t="s">
        <v>157</v>
      </c>
      <c r="P56" s="455" t="s">
        <v>244</v>
      </c>
      <c r="Q56" s="456"/>
      <c r="R56" s="455" t="s">
        <v>315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293</v>
      </c>
      <c r="B57" s="451"/>
      <c r="C57" s="173" t="s">
        <v>144</v>
      </c>
      <c r="D57" s="173"/>
      <c r="E57" s="173" t="s">
        <v>279</v>
      </c>
      <c r="F57" s="452" t="s">
        <v>139</v>
      </c>
      <c r="G57" s="453"/>
      <c r="H57" s="453"/>
      <c r="I57" s="453"/>
      <c r="J57" s="453"/>
      <c r="K57" s="453"/>
      <c r="L57" s="453"/>
      <c r="M57" s="454"/>
      <c r="N57" s="172" t="s">
        <v>121</v>
      </c>
      <c r="O57" s="178" t="s">
        <v>317</v>
      </c>
      <c r="P57" s="455" t="s">
        <v>127</v>
      </c>
      <c r="Q57" s="456"/>
      <c r="R57" s="455" t="s">
        <v>316</v>
      </c>
      <c r="S57" s="457"/>
      <c r="T57" s="457"/>
      <c r="U57" s="456"/>
      <c r="V57" s="458" t="s">
        <v>118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120</v>
      </c>
      <c r="B58" s="451"/>
      <c r="C58" s="173" t="s">
        <v>138</v>
      </c>
      <c r="D58" s="173" t="s">
        <v>115</v>
      </c>
      <c r="E58" s="173" t="s">
        <v>312</v>
      </c>
      <c r="F58" s="452" t="s">
        <v>313</v>
      </c>
      <c r="G58" s="453"/>
      <c r="H58" s="453"/>
      <c r="I58" s="453"/>
      <c r="J58" s="453"/>
      <c r="K58" s="453"/>
      <c r="L58" s="453"/>
      <c r="M58" s="454"/>
      <c r="N58" s="172" t="s">
        <v>120</v>
      </c>
      <c r="O58" s="178" t="s">
        <v>138</v>
      </c>
      <c r="P58" s="455" t="s">
        <v>115</v>
      </c>
      <c r="Q58" s="456"/>
      <c r="R58" s="455" t="s">
        <v>312</v>
      </c>
      <c r="S58" s="457"/>
      <c r="T58" s="457"/>
      <c r="U58" s="456"/>
      <c r="V58" s="458" t="s">
        <v>139</v>
      </c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120</v>
      </c>
      <c r="B59" s="451"/>
      <c r="C59" s="173" t="s">
        <v>215</v>
      </c>
      <c r="D59" s="173" t="s">
        <v>127</v>
      </c>
      <c r="E59" s="173" t="s">
        <v>310</v>
      </c>
      <c r="F59" s="452" t="s">
        <v>118</v>
      </c>
      <c r="G59" s="453"/>
      <c r="H59" s="453"/>
      <c r="I59" s="453"/>
      <c r="J59" s="453"/>
      <c r="K59" s="453"/>
      <c r="L59" s="453"/>
      <c r="M59" s="454"/>
      <c r="N59" s="172" t="s">
        <v>120</v>
      </c>
      <c r="O59" s="178" t="s">
        <v>193</v>
      </c>
      <c r="P59" s="455" t="s">
        <v>115</v>
      </c>
      <c r="Q59" s="456"/>
      <c r="R59" s="455" t="s">
        <v>318</v>
      </c>
      <c r="S59" s="457"/>
      <c r="T59" s="457"/>
      <c r="U59" s="456"/>
      <c r="V59" s="458" t="s">
        <v>118</v>
      </c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 t="s">
        <v>120</v>
      </c>
      <c r="B60" s="451"/>
      <c r="C60" s="173" t="s">
        <v>215</v>
      </c>
      <c r="D60" s="173" t="s">
        <v>127</v>
      </c>
      <c r="E60" s="173" t="s">
        <v>300</v>
      </c>
      <c r="F60" s="452" t="s">
        <v>118</v>
      </c>
      <c r="G60" s="453"/>
      <c r="H60" s="453"/>
      <c r="I60" s="453"/>
      <c r="J60" s="453"/>
      <c r="K60" s="453"/>
      <c r="L60" s="453"/>
      <c r="M60" s="454"/>
      <c r="N60" s="172"/>
      <c r="O60" s="178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173"/>
      <c r="D61" s="173"/>
      <c r="E61" s="173"/>
      <c r="F61" s="452"/>
      <c r="G61" s="453"/>
      <c r="H61" s="453"/>
      <c r="I61" s="453"/>
      <c r="J61" s="453"/>
      <c r="K61" s="453"/>
      <c r="L61" s="453"/>
      <c r="M61" s="454"/>
      <c r="N61" s="172"/>
      <c r="O61" s="178"/>
      <c r="P61" s="455"/>
      <c r="Q61" s="456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</row>
    <row r="62" spans="1:32" ht="27" customHeight="1">
      <c r="A62" s="450"/>
      <c r="B62" s="451"/>
      <c r="C62" s="173"/>
      <c r="D62" s="173"/>
      <c r="E62" s="173"/>
      <c r="F62" s="452"/>
      <c r="G62" s="453"/>
      <c r="H62" s="453"/>
      <c r="I62" s="453"/>
      <c r="J62" s="453"/>
      <c r="K62" s="453"/>
      <c r="L62" s="453"/>
      <c r="M62" s="454"/>
      <c r="N62" s="172"/>
      <c r="O62" s="178"/>
      <c r="P62" s="451"/>
      <c r="Q62" s="451"/>
      <c r="R62" s="451"/>
      <c r="S62" s="451"/>
      <c r="T62" s="451"/>
      <c r="U62" s="451"/>
      <c r="V62" s="458"/>
      <c r="W62" s="458"/>
      <c r="X62" s="458"/>
      <c r="Y62" s="458"/>
      <c r="Z62" s="458"/>
      <c r="AA62" s="458"/>
      <c r="AB62" s="458"/>
      <c r="AC62" s="458"/>
      <c r="AD62" s="459"/>
      <c r="AF62" s="84">
        <f>8*3000</f>
        <v>24000</v>
      </c>
    </row>
    <row r="63" spans="1:32" ht="27" customHeight="1" thickBot="1">
      <c r="A63" s="460"/>
      <c r="B63" s="461"/>
      <c r="C63" s="174"/>
      <c r="D63" s="175"/>
      <c r="E63" s="175"/>
      <c r="F63" s="462"/>
      <c r="G63" s="463"/>
      <c r="H63" s="463"/>
      <c r="I63" s="463"/>
      <c r="J63" s="463"/>
      <c r="K63" s="463"/>
      <c r="L63" s="463"/>
      <c r="M63" s="464"/>
      <c r="N63" s="112"/>
      <c r="O63" s="103"/>
      <c r="P63" s="465"/>
      <c r="Q63" s="465"/>
      <c r="R63" s="465"/>
      <c r="S63" s="465"/>
      <c r="T63" s="465"/>
      <c r="U63" s="465"/>
      <c r="V63" s="466"/>
      <c r="W63" s="466"/>
      <c r="X63" s="466"/>
      <c r="Y63" s="466"/>
      <c r="Z63" s="466"/>
      <c r="AA63" s="466"/>
      <c r="AB63" s="466"/>
      <c r="AC63" s="466"/>
      <c r="AD63" s="467"/>
      <c r="AF63" s="84">
        <f>16*3000</f>
        <v>48000</v>
      </c>
    </row>
    <row r="64" spans="1:32" ht="27.75" thickBot="1">
      <c r="A64" s="468" t="s">
        <v>319</v>
      </c>
      <c r="B64" s="468"/>
      <c r="C64" s="468"/>
      <c r="D64" s="468"/>
      <c r="E64" s="468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69" t="s">
        <v>111</v>
      </c>
      <c r="B65" s="470"/>
      <c r="C65" s="176" t="s">
        <v>2</v>
      </c>
      <c r="D65" s="176" t="s">
        <v>37</v>
      </c>
      <c r="E65" s="176" t="s">
        <v>3</v>
      </c>
      <c r="F65" s="470" t="s">
        <v>109</v>
      </c>
      <c r="G65" s="470"/>
      <c r="H65" s="470"/>
      <c r="I65" s="470"/>
      <c r="J65" s="470"/>
      <c r="K65" s="470" t="s">
        <v>39</v>
      </c>
      <c r="L65" s="470"/>
      <c r="M65" s="176" t="s">
        <v>40</v>
      </c>
      <c r="N65" s="470" t="s">
        <v>41</v>
      </c>
      <c r="O65" s="470"/>
      <c r="P65" s="471" t="s">
        <v>42</v>
      </c>
      <c r="Q65" s="472"/>
      <c r="R65" s="471" t="s">
        <v>43</v>
      </c>
      <c r="S65" s="473"/>
      <c r="T65" s="473"/>
      <c r="U65" s="473"/>
      <c r="V65" s="473"/>
      <c r="W65" s="473"/>
      <c r="X65" s="473"/>
      <c r="Y65" s="473"/>
      <c r="Z65" s="473"/>
      <c r="AA65" s="472"/>
      <c r="AB65" s="470" t="s">
        <v>44</v>
      </c>
      <c r="AC65" s="470"/>
      <c r="AD65" s="474"/>
      <c r="AF65" s="84">
        <f>SUM(AF62:AF64)</f>
        <v>96000</v>
      </c>
    </row>
    <row r="66" spans="1:32" ht="25.5" customHeight="1">
      <c r="A66" s="475">
        <v>1</v>
      </c>
      <c r="B66" s="476"/>
      <c r="C66" s="105" t="s">
        <v>120</v>
      </c>
      <c r="D66" s="180"/>
      <c r="E66" s="177" t="s">
        <v>265</v>
      </c>
      <c r="F66" s="477" t="s">
        <v>309</v>
      </c>
      <c r="G66" s="478"/>
      <c r="H66" s="478"/>
      <c r="I66" s="478"/>
      <c r="J66" s="479"/>
      <c r="K66" s="480" t="s">
        <v>149</v>
      </c>
      <c r="L66" s="480"/>
      <c r="M66" s="51" t="s">
        <v>153</v>
      </c>
      <c r="N66" s="481" t="s">
        <v>152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3"/>
      <c r="AC66" s="484"/>
      <c r="AD66" s="485"/>
      <c r="AF66" s="50"/>
    </row>
    <row r="67" spans="1:32" ht="25.5" customHeight="1">
      <c r="A67" s="475">
        <v>2</v>
      </c>
      <c r="B67" s="476"/>
      <c r="C67" s="105" t="s">
        <v>120</v>
      </c>
      <c r="D67" s="180"/>
      <c r="E67" s="177" t="s">
        <v>127</v>
      </c>
      <c r="F67" s="477" t="s">
        <v>310</v>
      </c>
      <c r="G67" s="478"/>
      <c r="H67" s="478"/>
      <c r="I67" s="478"/>
      <c r="J67" s="479"/>
      <c r="K67" s="480" t="s">
        <v>149</v>
      </c>
      <c r="L67" s="480"/>
      <c r="M67" s="51" t="s">
        <v>153</v>
      </c>
      <c r="N67" s="481" t="s">
        <v>215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3</v>
      </c>
      <c r="B68" s="476"/>
      <c r="C68" s="105"/>
      <c r="D68" s="180"/>
      <c r="E68" s="177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4</v>
      </c>
      <c r="B69" s="476"/>
      <c r="C69" s="105"/>
      <c r="D69" s="180"/>
      <c r="E69" s="177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5</v>
      </c>
      <c r="B70" s="476"/>
      <c r="C70" s="105"/>
      <c r="D70" s="180"/>
      <c r="E70" s="177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6</v>
      </c>
      <c r="B71" s="476"/>
      <c r="C71" s="105"/>
      <c r="D71" s="180"/>
      <c r="E71" s="177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7</v>
      </c>
      <c r="B72" s="476"/>
      <c r="C72" s="105"/>
      <c r="D72" s="180"/>
      <c r="E72" s="177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8</v>
      </c>
      <c r="B73" s="476"/>
      <c r="C73" s="105"/>
      <c r="D73" s="180"/>
      <c r="E73" s="177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9</v>
      </c>
      <c r="B74" s="476"/>
      <c r="C74" s="105"/>
      <c r="D74" s="180"/>
      <c r="E74" s="177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5.5" customHeight="1">
      <c r="A75" s="475">
        <v>10</v>
      </c>
      <c r="B75" s="476"/>
      <c r="C75" s="105"/>
      <c r="D75" s="180"/>
      <c r="E75" s="177"/>
      <c r="F75" s="487"/>
      <c r="G75" s="480"/>
      <c r="H75" s="480"/>
      <c r="I75" s="480"/>
      <c r="J75" s="480"/>
      <c r="K75" s="480"/>
      <c r="L75" s="480"/>
      <c r="M75" s="51"/>
      <c r="N75" s="481"/>
      <c r="O75" s="481"/>
      <c r="P75" s="482"/>
      <c r="Q75" s="482"/>
      <c r="R75" s="458"/>
      <c r="S75" s="458"/>
      <c r="T75" s="458"/>
      <c r="U75" s="458"/>
      <c r="V75" s="458"/>
      <c r="W75" s="458"/>
      <c r="X75" s="458"/>
      <c r="Y75" s="458"/>
      <c r="Z75" s="458"/>
      <c r="AA75" s="458"/>
      <c r="AB75" s="480"/>
      <c r="AC75" s="480"/>
      <c r="AD75" s="486"/>
      <c r="AF75" s="50"/>
    </row>
    <row r="76" spans="1:32" ht="26.25" customHeight="1" thickBot="1">
      <c r="A76" s="488" t="s">
        <v>320</v>
      </c>
      <c r="B76" s="488"/>
      <c r="C76" s="488"/>
      <c r="D76" s="488"/>
      <c r="E76" s="488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89" t="s">
        <v>111</v>
      </c>
      <c r="B77" s="490"/>
      <c r="C77" s="179" t="s">
        <v>2</v>
      </c>
      <c r="D77" s="179" t="s">
        <v>37</v>
      </c>
      <c r="E77" s="179" t="s">
        <v>3</v>
      </c>
      <c r="F77" s="490" t="s">
        <v>38</v>
      </c>
      <c r="G77" s="490"/>
      <c r="H77" s="490"/>
      <c r="I77" s="490"/>
      <c r="J77" s="490"/>
      <c r="K77" s="491" t="s">
        <v>58</v>
      </c>
      <c r="L77" s="492"/>
      <c r="M77" s="492"/>
      <c r="N77" s="492"/>
      <c r="O77" s="492"/>
      <c r="P77" s="492"/>
      <c r="Q77" s="492"/>
      <c r="R77" s="492"/>
      <c r="S77" s="493"/>
      <c r="T77" s="490" t="s">
        <v>49</v>
      </c>
      <c r="U77" s="490"/>
      <c r="V77" s="491" t="s">
        <v>50</v>
      </c>
      <c r="W77" s="493"/>
      <c r="X77" s="492" t="s">
        <v>51</v>
      </c>
      <c r="Y77" s="492"/>
      <c r="Z77" s="492"/>
      <c r="AA77" s="492"/>
      <c r="AB77" s="492"/>
      <c r="AC77" s="492"/>
      <c r="AD77" s="494"/>
      <c r="AF77" s="50"/>
    </row>
    <row r="78" spans="1:32" ht="33.75" customHeight="1">
      <c r="A78" s="503">
        <v>1</v>
      </c>
      <c r="B78" s="504"/>
      <c r="C78" s="181" t="s">
        <v>112</v>
      </c>
      <c r="D78" s="181"/>
      <c r="E78" s="65" t="s">
        <v>117</v>
      </c>
      <c r="F78" s="505" t="s">
        <v>116</v>
      </c>
      <c r="G78" s="506"/>
      <c r="H78" s="506"/>
      <c r="I78" s="506"/>
      <c r="J78" s="507"/>
      <c r="K78" s="508" t="s">
        <v>122</v>
      </c>
      <c r="L78" s="509"/>
      <c r="M78" s="509"/>
      <c r="N78" s="509"/>
      <c r="O78" s="509"/>
      <c r="P78" s="509"/>
      <c r="Q78" s="509"/>
      <c r="R78" s="509"/>
      <c r="S78" s="510"/>
      <c r="T78" s="511">
        <v>43675</v>
      </c>
      <c r="U78" s="512"/>
      <c r="V78" s="513"/>
      <c r="W78" s="513"/>
      <c r="X78" s="514"/>
      <c r="Y78" s="514"/>
      <c r="Z78" s="514"/>
      <c r="AA78" s="514"/>
      <c r="AB78" s="514"/>
      <c r="AC78" s="514"/>
      <c r="AD78" s="515"/>
      <c r="AF78" s="50"/>
    </row>
    <row r="79" spans="1:32" ht="30" customHeight="1">
      <c r="A79" s="495">
        <f>A78+1</f>
        <v>2</v>
      </c>
      <c r="B79" s="496"/>
      <c r="C79" s="180"/>
      <c r="D79" s="180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ref="A80:A84" si="27">A79+1</f>
        <v>3</v>
      </c>
      <c r="B80" s="496"/>
      <c r="C80" s="180"/>
      <c r="D80" s="180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7"/>
        <v>4</v>
      </c>
      <c r="B81" s="496"/>
      <c r="C81" s="180"/>
      <c r="D81" s="180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7"/>
        <v>5</v>
      </c>
      <c r="B82" s="496"/>
      <c r="C82" s="180"/>
      <c r="D82" s="180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7"/>
        <v>6</v>
      </c>
      <c r="B83" s="496"/>
      <c r="C83" s="180"/>
      <c r="D83" s="180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0" customHeight="1">
      <c r="A84" s="495">
        <f t="shared" si="27"/>
        <v>7</v>
      </c>
      <c r="B84" s="496"/>
      <c r="C84" s="180"/>
      <c r="D84" s="180"/>
      <c r="E84" s="32"/>
      <c r="F84" s="496"/>
      <c r="G84" s="496"/>
      <c r="H84" s="496"/>
      <c r="I84" s="496"/>
      <c r="J84" s="496"/>
      <c r="K84" s="497"/>
      <c r="L84" s="498"/>
      <c r="M84" s="498"/>
      <c r="N84" s="498"/>
      <c r="O84" s="498"/>
      <c r="P84" s="498"/>
      <c r="Q84" s="498"/>
      <c r="R84" s="498"/>
      <c r="S84" s="499"/>
      <c r="T84" s="500"/>
      <c r="U84" s="500"/>
      <c r="V84" s="500"/>
      <c r="W84" s="500"/>
      <c r="X84" s="501"/>
      <c r="Y84" s="501"/>
      <c r="Z84" s="501"/>
      <c r="AA84" s="501"/>
      <c r="AB84" s="501"/>
      <c r="AC84" s="501"/>
      <c r="AD84" s="502"/>
      <c r="AF84" s="50"/>
    </row>
    <row r="85" spans="1:32" ht="36" thickBot="1">
      <c r="A85" s="488" t="s">
        <v>321</v>
      </c>
      <c r="B85" s="488"/>
      <c r="C85" s="488"/>
      <c r="D85" s="488"/>
      <c r="E85" s="488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89" t="s">
        <v>111</v>
      </c>
      <c r="B86" s="490"/>
      <c r="C86" s="516" t="s">
        <v>52</v>
      </c>
      <c r="D86" s="516"/>
      <c r="E86" s="516" t="s">
        <v>53</v>
      </c>
      <c r="F86" s="516"/>
      <c r="G86" s="516"/>
      <c r="H86" s="516"/>
      <c r="I86" s="516"/>
      <c r="J86" s="516"/>
      <c r="K86" s="516" t="s">
        <v>54</v>
      </c>
      <c r="L86" s="516"/>
      <c r="M86" s="516"/>
      <c r="N86" s="516"/>
      <c r="O86" s="516"/>
      <c r="P86" s="516"/>
      <c r="Q86" s="516"/>
      <c r="R86" s="516"/>
      <c r="S86" s="516"/>
      <c r="T86" s="516" t="s">
        <v>55</v>
      </c>
      <c r="U86" s="516"/>
      <c r="V86" s="516" t="s">
        <v>56</v>
      </c>
      <c r="W86" s="516"/>
      <c r="X86" s="516"/>
      <c r="Y86" s="516" t="s">
        <v>51</v>
      </c>
      <c r="Z86" s="516"/>
      <c r="AA86" s="516"/>
      <c r="AB86" s="516"/>
      <c r="AC86" s="516"/>
      <c r="AD86" s="517"/>
      <c r="AF86" s="50"/>
    </row>
    <row r="87" spans="1:32" ht="30.75" customHeight="1">
      <c r="A87" s="503">
        <v>1</v>
      </c>
      <c r="B87" s="504"/>
      <c r="C87" s="518"/>
      <c r="D87" s="518"/>
      <c r="E87" s="518"/>
      <c r="F87" s="518"/>
      <c r="G87" s="518"/>
      <c r="H87" s="518"/>
      <c r="I87" s="518"/>
      <c r="J87" s="518"/>
      <c r="K87" s="518"/>
      <c r="L87" s="518"/>
      <c r="M87" s="518"/>
      <c r="N87" s="518"/>
      <c r="O87" s="518"/>
      <c r="P87" s="518"/>
      <c r="Q87" s="518"/>
      <c r="R87" s="518"/>
      <c r="S87" s="518"/>
      <c r="T87" s="518"/>
      <c r="U87" s="518"/>
      <c r="V87" s="519"/>
      <c r="W87" s="519"/>
      <c r="X87" s="519"/>
      <c r="Y87" s="520"/>
      <c r="Z87" s="520"/>
      <c r="AA87" s="520"/>
      <c r="AB87" s="520"/>
      <c r="AC87" s="520"/>
      <c r="AD87" s="521"/>
      <c r="AF87" s="50"/>
    </row>
    <row r="88" spans="1:32" ht="30.75" customHeight="1">
      <c r="A88" s="495">
        <v>2</v>
      </c>
      <c r="B88" s="496"/>
      <c r="C88" s="529"/>
      <c r="D88" s="529"/>
      <c r="E88" s="529"/>
      <c r="F88" s="529"/>
      <c r="G88" s="529"/>
      <c r="H88" s="529"/>
      <c r="I88" s="529"/>
      <c r="J88" s="529"/>
      <c r="K88" s="529"/>
      <c r="L88" s="529"/>
      <c r="M88" s="529"/>
      <c r="N88" s="529"/>
      <c r="O88" s="529"/>
      <c r="P88" s="529"/>
      <c r="Q88" s="529"/>
      <c r="R88" s="529"/>
      <c r="S88" s="529"/>
      <c r="T88" s="530"/>
      <c r="U88" s="530"/>
      <c r="V88" s="531"/>
      <c r="W88" s="531"/>
      <c r="X88" s="531"/>
      <c r="Y88" s="522"/>
      <c r="Z88" s="522"/>
      <c r="AA88" s="522"/>
      <c r="AB88" s="522"/>
      <c r="AC88" s="522"/>
      <c r="AD88" s="523"/>
      <c r="AF88" s="50"/>
    </row>
    <row r="89" spans="1:32" ht="30.75" customHeight="1" thickBot="1">
      <c r="A89" s="524">
        <v>3</v>
      </c>
      <c r="B89" s="525"/>
      <c r="C89" s="526"/>
      <c r="D89" s="526"/>
      <c r="E89" s="526"/>
      <c r="F89" s="526"/>
      <c r="G89" s="526"/>
      <c r="H89" s="526"/>
      <c r="I89" s="526"/>
      <c r="J89" s="526"/>
      <c r="K89" s="526"/>
      <c r="L89" s="526"/>
      <c r="M89" s="526"/>
      <c r="N89" s="526"/>
      <c r="O89" s="526"/>
      <c r="P89" s="526"/>
      <c r="Q89" s="526"/>
      <c r="R89" s="526"/>
      <c r="S89" s="526"/>
      <c r="T89" s="526"/>
      <c r="U89" s="526"/>
      <c r="V89" s="526"/>
      <c r="W89" s="526"/>
      <c r="X89" s="526"/>
      <c r="Y89" s="527"/>
      <c r="Z89" s="527"/>
      <c r="AA89" s="527"/>
      <c r="AB89" s="527"/>
      <c r="AC89" s="527"/>
      <c r="AD89" s="528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9C4-3DE0-4F4E-A056-8AD718C81877}">
  <dimension ref="A1:AF87"/>
  <sheetViews>
    <sheetView view="pageBreakPreview" zoomScale="70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322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93" t="s">
        <v>17</v>
      </c>
      <c r="L5" s="193" t="s">
        <v>18</v>
      </c>
      <c r="M5" s="193" t="s">
        <v>19</v>
      </c>
      <c r="N5" s="1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269</v>
      </c>
      <c r="D6" s="52"/>
      <c r="E6" s="53" t="s">
        <v>290</v>
      </c>
      <c r="F6" s="30" t="s">
        <v>271</v>
      </c>
      <c r="G6" s="12" t="s">
        <v>272</v>
      </c>
      <c r="H6" s="13">
        <v>24</v>
      </c>
      <c r="I6" s="31">
        <v>3200</v>
      </c>
      <c r="J6" s="5">
        <v>4255</v>
      </c>
      <c r="K6" s="15">
        <f>L6+4255</f>
        <v>4255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0.45572916666666663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L7+3721+6061+2100</f>
        <v>11882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0.45572916666666663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4921</v>
      </c>
      <c r="K8" s="15">
        <f>L8+4389+4644+4956</f>
        <v>18910</v>
      </c>
      <c r="L8" s="15">
        <f>2416+2505</f>
        <v>4921</v>
      </c>
      <c r="M8" s="15">
        <f t="shared" si="0"/>
        <v>4921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0.45572916666666663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70000</v>
      </c>
      <c r="J9" s="14">
        <v>4628</v>
      </c>
      <c r="K9" s="15">
        <f>L9</f>
        <v>4628</v>
      </c>
      <c r="L9" s="15">
        <f>2067+2561</f>
        <v>4628</v>
      </c>
      <c r="M9" s="15">
        <f t="shared" si="0"/>
        <v>4628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/>
      <c r="T9" s="16">
        <v>2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0.45572916666666663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/>
      <c r="E10" s="53" t="s">
        <v>291</v>
      </c>
      <c r="F10" s="30" t="s">
        <v>292</v>
      </c>
      <c r="G10" s="33">
        <v>2</v>
      </c>
      <c r="H10" s="35">
        <v>24</v>
      </c>
      <c r="I10" s="7">
        <v>60000</v>
      </c>
      <c r="J10" s="5">
        <v>7892</v>
      </c>
      <c r="K10" s="15">
        <f>L10+7892</f>
        <v>7892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0.45572916666666663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244</v>
      </c>
      <c r="E11" s="53" t="s">
        <v>315</v>
      </c>
      <c r="F11" s="30" t="s">
        <v>149</v>
      </c>
      <c r="G11" s="12">
        <v>2</v>
      </c>
      <c r="H11" s="13">
        <v>28</v>
      </c>
      <c r="I11" s="7">
        <v>30000</v>
      </c>
      <c r="J11" s="14">
        <v>11356</v>
      </c>
      <c r="K11" s="15">
        <f>L11</f>
        <v>11356</v>
      </c>
      <c r="L11" s="15">
        <f>2263*2+3415*2</f>
        <v>11356</v>
      </c>
      <c r="M11" s="15">
        <f t="shared" si="0"/>
        <v>11356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7"/>
        <v>0.45572916666666663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4135</v>
      </c>
      <c r="K12" s="15">
        <f>L12+1126</f>
        <v>5261</v>
      </c>
      <c r="L12" s="15">
        <f>2030+2105</f>
        <v>4135</v>
      </c>
      <c r="M12" s="15">
        <f t="shared" si="0"/>
        <v>4135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9"/>
        <v>0.95833333333333337</v>
      </c>
      <c r="AE12" s="36">
        <f t="shared" si="7"/>
        <v>0.45572916666666663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11559</v>
      </c>
      <c r="K13" s="15">
        <f>L13+12212+20232+16256+9762+15771+11739+16704+16779+14433+15558+10107+21780</f>
        <v>192892</v>
      </c>
      <c r="L13" s="15">
        <f>1673*3+2180*3</f>
        <v>11559</v>
      </c>
      <c r="M13" s="15">
        <f t="shared" si="0"/>
        <v>11559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>AC13*AB13*(1-O13)</f>
        <v>0.79166666666666663</v>
      </c>
      <c r="AE13" s="36">
        <f t="shared" si="7"/>
        <v>0.45572916666666663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0.45572916666666663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293</v>
      </c>
      <c r="D15" s="52"/>
      <c r="E15" s="53" t="s">
        <v>173</v>
      </c>
      <c r="F15" s="12" t="s">
        <v>165</v>
      </c>
      <c r="G15" s="12">
        <v>8</v>
      </c>
      <c r="H15" s="13">
        <v>24</v>
      </c>
      <c r="I15" s="31">
        <v>40000</v>
      </c>
      <c r="J15" s="14">
        <v>16545</v>
      </c>
      <c r="K15" s="15">
        <f>L15+33605</f>
        <v>50150</v>
      </c>
      <c r="L15" s="15">
        <f>3309*5</f>
        <v>16545</v>
      </c>
      <c r="M15" s="15">
        <f t="shared" si="0"/>
        <v>16545</v>
      </c>
      <c r="N15" s="15">
        <v>0</v>
      </c>
      <c r="O15" s="58">
        <f t="shared" si="1"/>
        <v>0</v>
      </c>
      <c r="P15" s="39">
        <f t="shared" si="2"/>
        <v>14</v>
      </c>
      <c r="Q15" s="40">
        <f t="shared" si="3"/>
        <v>10</v>
      </c>
      <c r="R15" s="7"/>
      <c r="S15" s="6"/>
      <c r="T15" s="16"/>
      <c r="U15" s="16"/>
      <c r="V15" s="17"/>
      <c r="W15" s="5">
        <v>10</v>
      </c>
      <c r="X15" s="16"/>
      <c r="Y15" s="16"/>
      <c r="Z15" s="16"/>
      <c r="AA15" s="18"/>
      <c r="AB15" s="8">
        <f t="shared" si="4"/>
        <v>1</v>
      </c>
      <c r="AC15" s="9">
        <f t="shared" si="5"/>
        <v>0.58333333333333337</v>
      </c>
      <c r="AD15" s="10">
        <f t="shared" si="6"/>
        <v>0.58333333333333337</v>
      </c>
      <c r="AE15" s="36">
        <f t="shared" si="7"/>
        <v>0.45572916666666663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0.45572916666666663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18660</v>
      </c>
      <c r="K17" s="15">
        <f>L17</f>
        <v>18660</v>
      </c>
      <c r="L17" s="15">
        <f>2073*4+2592*4</f>
        <v>18660</v>
      </c>
      <c r="M17" s="15">
        <f t="shared" ref="M17" si="10">L17-N17</f>
        <v>18660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22</v>
      </c>
      <c r="Q17" s="40">
        <f t="shared" ref="Q17" si="13">SUM(R17:AA17)</f>
        <v>2</v>
      </c>
      <c r="R17" s="7"/>
      <c r="S17" s="6"/>
      <c r="T17" s="16">
        <v>2</v>
      </c>
      <c r="U17" s="16"/>
      <c r="V17" s="17"/>
      <c r="W17" s="5"/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0.91666666666666663</v>
      </c>
      <c r="AD17" s="10">
        <f t="shared" ref="AD17" si="16">AC17*AB17*(1-O17)</f>
        <v>0.91666666666666663</v>
      </c>
      <c r="AE17" s="36">
        <f t="shared" si="7"/>
        <v>0.45572916666666663</v>
      </c>
      <c r="AF17" s="84">
        <f t="shared" ref="AF17" si="17">A17</f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294</v>
      </c>
      <c r="F18" s="30" t="s">
        <v>292</v>
      </c>
      <c r="G18" s="12">
        <v>1</v>
      </c>
      <c r="H18" s="13">
        <v>28</v>
      </c>
      <c r="I18" s="31">
        <v>70000</v>
      </c>
      <c r="J18" s="5">
        <v>2641</v>
      </c>
      <c r="K18" s="15">
        <f>L18+2641</f>
        <v>2641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0.45572916666666663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120</v>
      </c>
      <c r="D19" s="52" t="s">
        <v>127</v>
      </c>
      <c r="E19" s="53" t="s">
        <v>300</v>
      </c>
      <c r="F19" s="30" t="s">
        <v>124</v>
      </c>
      <c r="G19" s="33">
        <v>1</v>
      </c>
      <c r="H19" s="35">
        <v>24</v>
      </c>
      <c r="I19" s="7">
        <v>1000</v>
      </c>
      <c r="J19" s="5">
        <v>1242</v>
      </c>
      <c r="K19" s="15">
        <f>L19+1242</f>
        <v>1242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>AC19*AB19*(1-O19)</f>
        <v>0</v>
      </c>
      <c r="AE19" s="36">
        <f t="shared" si="7"/>
        <v>0.45572916666666663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120</v>
      </c>
      <c r="D20" s="52" t="s">
        <v>115</v>
      </c>
      <c r="E20" s="53" t="s">
        <v>318</v>
      </c>
      <c r="F20" s="30" t="s">
        <v>150</v>
      </c>
      <c r="G20" s="33">
        <v>1</v>
      </c>
      <c r="H20" s="35">
        <v>24</v>
      </c>
      <c r="I20" s="7">
        <v>6000</v>
      </c>
      <c r="J20" s="14">
        <v>817</v>
      </c>
      <c r="K20" s="15">
        <f>L20</f>
        <v>817</v>
      </c>
      <c r="L20" s="15">
        <v>817</v>
      </c>
      <c r="M20" s="15">
        <f t="shared" si="0"/>
        <v>817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>
        <v>19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6"/>
        <v>0.20833333333333334</v>
      </c>
      <c r="AE20" s="36">
        <f t="shared" si="7"/>
        <v>0.45572916666666663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66564</v>
      </c>
      <c r="K21" s="15">
        <f>L21+16808+39112+38440+39748+31140+68844+45656+37140+73976+32892+39440+37868+39596+38388+34736+36544</f>
        <v>716892</v>
      </c>
      <c r="L21" s="15">
        <f>9814*4+6827*4</f>
        <v>66564</v>
      </c>
      <c r="M21" s="15">
        <f t="shared" si="0"/>
        <v>66564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0.45572916666666663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8">SUM(I6:I21)</f>
        <v>1588500</v>
      </c>
      <c r="J22" s="19">
        <f t="shared" si="18"/>
        <v>176314</v>
      </c>
      <c r="K22" s="20">
        <f t="shared" si="18"/>
        <v>1047817</v>
      </c>
      <c r="L22" s="21">
        <f t="shared" si="18"/>
        <v>139185</v>
      </c>
      <c r="M22" s="20">
        <f t="shared" si="18"/>
        <v>139185</v>
      </c>
      <c r="N22" s="21">
        <f t="shared" si="18"/>
        <v>0</v>
      </c>
      <c r="O22" s="41">
        <f t="shared" si="1"/>
        <v>0</v>
      </c>
      <c r="P22" s="42">
        <f t="shared" ref="P22:AA22" si="19">SUM(P6:P21)</f>
        <v>175</v>
      </c>
      <c r="Q22" s="43">
        <f t="shared" si="19"/>
        <v>209</v>
      </c>
      <c r="R22" s="23">
        <f t="shared" si="19"/>
        <v>24</v>
      </c>
      <c r="S22" s="24">
        <f t="shared" si="19"/>
        <v>72</v>
      </c>
      <c r="T22" s="24">
        <f t="shared" si="19"/>
        <v>7</v>
      </c>
      <c r="U22" s="24">
        <f t="shared" si="19"/>
        <v>0</v>
      </c>
      <c r="V22" s="25">
        <f t="shared" si="19"/>
        <v>0</v>
      </c>
      <c r="W22" s="26">
        <f t="shared" si="19"/>
        <v>58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48</v>
      </c>
      <c r="AB22" s="28">
        <f>AVERAGE(AB6:AB21)</f>
        <v>0.5625</v>
      </c>
      <c r="AC22" s="4">
        <f>AVERAGE(AC6:AC21)</f>
        <v>0.45572916666666663</v>
      </c>
      <c r="AD22" s="4">
        <f>AVERAGE(AD6:AD21)</f>
        <v>0.45572916666666663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324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328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192" t="s">
        <v>46</v>
      </c>
      <c r="D51" s="192" t="s">
        <v>47</v>
      </c>
      <c r="E51" s="192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192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123</v>
      </c>
      <c r="B52" s="451"/>
      <c r="C52" s="189" t="s">
        <v>151</v>
      </c>
      <c r="D52" s="189"/>
      <c r="E52" s="189" t="s">
        <v>291</v>
      </c>
      <c r="F52" s="452" t="s">
        <v>325</v>
      </c>
      <c r="G52" s="453"/>
      <c r="H52" s="453"/>
      <c r="I52" s="453"/>
      <c r="J52" s="453"/>
      <c r="K52" s="453"/>
      <c r="L52" s="453"/>
      <c r="M52" s="454"/>
      <c r="N52" s="188" t="s">
        <v>120</v>
      </c>
      <c r="O52" s="186" t="s">
        <v>135</v>
      </c>
      <c r="P52" s="455" t="s">
        <v>265</v>
      </c>
      <c r="Q52" s="456"/>
      <c r="R52" s="455" t="s">
        <v>273</v>
      </c>
      <c r="S52" s="457"/>
      <c r="T52" s="457"/>
      <c r="U52" s="456"/>
      <c r="V52" s="458" t="s">
        <v>118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112</v>
      </c>
      <c r="B53" s="451"/>
      <c r="C53" s="189" t="s">
        <v>152</v>
      </c>
      <c r="D53" s="189" t="s">
        <v>115</v>
      </c>
      <c r="E53" s="189" t="s">
        <v>116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188" t="s">
        <v>121</v>
      </c>
      <c r="O53" s="186" t="s">
        <v>145</v>
      </c>
      <c r="P53" s="455" t="s">
        <v>330</v>
      </c>
      <c r="Q53" s="456"/>
      <c r="R53" s="455" t="s">
        <v>331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121</v>
      </c>
      <c r="B54" s="451"/>
      <c r="C54" s="189" t="s">
        <v>317</v>
      </c>
      <c r="D54" s="189" t="s">
        <v>127</v>
      </c>
      <c r="E54" s="189" t="s">
        <v>316</v>
      </c>
      <c r="F54" s="452" t="s">
        <v>118</v>
      </c>
      <c r="G54" s="453"/>
      <c r="H54" s="453"/>
      <c r="I54" s="453"/>
      <c r="J54" s="453"/>
      <c r="K54" s="453"/>
      <c r="L54" s="453"/>
      <c r="M54" s="454"/>
      <c r="N54" s="188" t="s">
        <v>120</v>
      </c>
      <c r="O54" s="186" t="s">
        <v>151</v>
      </c>
      <c r="P54" s="455" t="s">
        <v>126</v>
      </c>
      <c r="Q54" s="456"/>
      <c r="R54" s="455" t="s">
        <v>329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189" t="s">
        <v>138</v>
      </c>
      <c r="D55" s="189" t="s">
        <v>115</v>
      </c>
      <c r="E55" s="189" t="s">
        <v>312</v>
      </c>
      <c r="F55" s="452" t="s">
        <v>326</v>
      </c>
      <c r="G55" s="453"/>
      <c r="H55" s="453"/>
      <c r="I55" s="453"/>
      <c r="J55" s="453"/>
      <c r="K55" s="453"/>
      <c r="L55" s="453"/>
      <c r="M55" s="454"/>
      <c r="N55" s="188" t="s">
        <v>112</v>
      </c>
      <c r="O55" s="186" t="s">
        <v>215</v>
      </c>
      <c r="P55" s="455" t="s">
        <v>155</v>
      </c>
      <c r="Q55" s="456"/>
      <c r="R55" s="455" t="s">
        <v>280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189" t="s">
        <v>193</v>
      </c>
      <c r="D56" s="189" t="s">
        <v>115</v>
      </c>
      <c r="E56" s="189" t="s">
        <v>318</v>
      </c>
      <c r="F56" s="452" t="s">
        <v>327</v>
      </c>
      <c r="G56" s="453"/>
      <c r="H56" s="453"/>
      <c r="I56" s="453"/>
      <c r="J56" s="453"/>
      <c r="K56" s="453"/>
      <c r="L56" s="453"/>
      <c r="M56" s="454"/>
      <c r="N56" s="188" t="s">
        <v>120</v>
      </c>
      <c r="O56" s="186" t="s">
        <v>138</v>
      </c>
      <c r="P56" s="455" t="s">
        <v>115</v>
      </c>
      <c r="Q56" s="456"/>
      <c r="R56" s="455" t="s">
        <v>312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189"/>
      <c r="D57" s="189"/>
      <c r="E57" s="189"/>
      <c r="F57" s="452"/>
      <c r="G57" s="453"/>
      <c r="H57" s="453"/>
      <c r="I57" s="453"/>
      <c r="J57" s="453"/>
      <c r="K57" s="453"/>
      <c r="L57" s="453"/>
      <c r="M57" s="454"/>
      <c r="N57" s="188" t="s">
        <v>120</v>
      </c>
      <c r="O57" s="186" t="s">
        <v>193</v>
      </c>
      <c r="P57" s="455" t="s">
        <v>115</v>
      </c>
      <c r="Q57" s="456"/>
      <c r="R57" s="455" t="s">
        <v>318</v>
      </c>
      <c r="S57" s="457"/>
      <c r="T57" s="457"/>
      <c r="U57" s="456"/>
      <c r="V57" s="458" t="s">
        <v>139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189"/>
      <c r="D58" s="189"/>
      <c r="E58" s="189"/>
      <c r="F58" s="452"/>
      <c r="G58" s="453"/>
      <c r="H58" s="453"/>
      <c r="I58" s="453"/>
      <c r="J58" s="453"/>
      <c r="K58" s="453"/>
      <c r="L58" s="453"/>
      <c r="M58" s="454"/>
      <c r="N58" s="188"/>
      <c r="O58" s="186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189"/>
      <c r="D59" s="189"/>
      <c r="E59" s="189"/>
      <c r="F59" s="452"/>
      <c r="G59" s="453"/>
      <c r="H59" s="453"/>
      <c r="I59" s="453"/>
      <c r="J59" s="453"/>
      <c r="K59" s="453"/>
      <c r="L59" s="453"/>
      <c r="M59" s="454"/>
      <c r="N59" s="188"/>
      <c r="O59" s="186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189"/>
      <c r="D60" s="189"/>
      <c r="E60" s="189"/>
      <c r="F60" s="452"/>
      <c r="G60" s="453"/>
      <c r="H60" s="453"/>
      <c r="I60" s="453"/>
      <c r="J60" s="453"/>
      <c r="K60" s="453"/>
      <c r="L60" s="453"/>
      <c r="M60" s="454"/>
      <c r="N60" s="188"/>
      <c r="O60" s="186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190"/>
      <c r="D61" s="191"/>
      <c r="E61" s="191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332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87" t="s">
        <v>2</v>
      </c>
      <c r="D63" s="187" t="s">
        <v>37</v>
      </c>
      <c r="E63" s="187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87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182"/>
      <c r="E64" s="185" t="s">
        <v>143</v>
      </c>
      <c r="F64" s="477" t="s">
        <v>333</v>
      </c>
      <c r="G64" s="478"/>
      <c r="H64" s="478"/>
      <c r="I64" s="478"/>
      <c r="J64" s="479"/>
      <c r="K64" s="480" t="s">
        <v>136</v>
      </c>
      <c r="L64" s="480"/>
      <c r="M64" s="51" t="s">
        <v>230</v>
      </c>
      <c r="N64" s="481" t="s">
        <v>145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120</v>
      </c>
      <c r="D65" s="182"/>
      <c r="E65" s="185" t="s">
        <v>126</v>
      </c>
      <c r="F65" s="477" t="s">
        <v>303</v>
      </c>
      <c r="G65" s="478"/>
      <c r="H65" s="478"/>
      <c r="I65" s="478"/>
      <c r="J65" s="479"/>
      <c r="K65" s="480" t="s">
        <v>292</v>
      </c>
      <c r="L65" s="480"/>
      <c r="M65" s="51" t="s">
        <v>147</v>
      </c>
      <c r="N65" s="481" t="s">
        <v>215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182"/>
      <c r="E66" s="185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182"/>
      <c r="E67" s="185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182"/>
      <c r="E68" s="185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182"/>
      <c r="E69" s="185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182"/>
      <c r="E70" s="185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182"/>
      <c r="E71" s="185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182"/>
      <c r="E72" s="185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182"/>
      <c r="E73" s="185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334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184" t="s">
        <v>2</v>
      </c>
      <c r="D75" s="184" t="s">
        <v>37</v>
      </c>
      <c r="E75" s="184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183" t="s">
        <v>112</v>
      </c>
      <c r="D76" s="183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182"/>
      <c r="D77" s="182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20">A77+1</f>
        <v>3</v>
      </c>
      <c r="B78" s="496"/>
      <c r="C78" s="182"/>
      <c r="D78" s="182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20"/>
        <v>4</v>
      </c>
      <c r="B79" s="496"/>
      <c r="C79" s="182"/>
      <c r="D79" s="182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0"/>
        <v>5</v>
      </c>
      <c r="B80" s="496"/>
      <c r="C80" s="182"/>
      <c r="D80" s="182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0"/>
        <v>6</v>
      </c>
      <c r="B81" s="496"/>
      <c r="C81" s="182"/>
      <c r="D81" s="182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0"/>
        <v>7</v>
      </c>
      <c r="B82" s="496"/>
      <c r="C82" s="182"/>
      <c r="D82" s="182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335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5A9F-3A00-4D02-B684-B2D1F7F46784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336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194" t="s">
        <v>17</v>
      </c>
      <c r="L5" s="194" t="s">
        <v>18</v>
      </c>
      <c r="M5" s="194" t="s">
        <v>19</v>
      </c>
      <c r="N5" s="1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21540</v>
      </c>
      <c r="K6" s="15">
        <f>L6</f>
        <v>21540</v>
      </c>
      <c r="L6" s="15">
        <f>918*5+3390*5</f>
        <v>21540</v>
      </c>
      <c r="M6" s="15">
        <f t="shared" ref="M6:M22" si="0">L6-N6</f>
        <v>21540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18</v>
      </c>
      <c r="Q6" s="40">
        <f t="shared" ref="Q6:Q22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0.75</v>
      </c>
      <c r="AD6" s="10">
        <f t="shared" ref="AD6:AD22" si="6">AC6*AB6*(1-O6)</f>
        <v>0.75</v>
      </c>
      <c r="AE6" s="36">
        <f t="shared" ref="AE6:AE22" si="7">$AD$23</f>
        <v>0.52773432374006313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L7+3721+6061+2100</f>
        <v>11882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0.52773432374006313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4171</v>
      </c>
      <c r="K8" s="15">
        <f>L8+4389+4644+4956+4921</f>
        <v>23081</v>
      </c>
      <c r="L8" s="15">
        <f>2457+1714</f>
        <v>4171</v>
      </c>
      <c r="M8" s="15">
        <f t="shared" si="0"/>
        <v>4171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0.52773432374006313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70000</v>
      </c>
      <c r="J9" s="14">
        <v>4527</v>
      </c>
      <c r="K9" s="15">
        <f>L9+4628</f>
        <v>9155</v>
      </c>
      <c r="L9" s="15">
        <f>1922+2605</f>
        <v>4527</v>
      </c>
      <c r="M9" s="15">
        <f t="shared" si="0"/>
        <v>4527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0.52773432374006313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126</v>
      </c>
      <c r="E10" s="53" t="s">
        <v>329</v>
      </c>
      <c r="F10" s="30" t="s">
        <v>337</v>
      </c>
      <c r="G10" s="33">
        <v>1</v>
      </c>
      <c r="H10" s="35">
        <v>24</v>
      </c>
      <c r="I10" s="7">
        <v>7000</v>
      </c>
      <c r="J10" s="5">
        <v>3843</v>
      </c>
      <c r="K10" s="15">
        <f>L10</f>
        <v>3843</v>
      </c>
      <c r="L10" s="15">
        <f>839+3004</f>
        <v>3843</v>
      </c>
      <c r="M10" s="15">
        <f t="shared" si="0"/>
        <v>3843</v>
      </c>
      <c r="N10" s="15">
        <v>0</v>
      </c>
      <c r="O10" s="58">
        <f t="shared" si="1"/>
        <v>0</v>
      </c>
      <c r="P10" s="39">
        <f t="shared" si="2"/>
        <v>19</v>
      </c>
      <c r="Q10" s="40">
        <f t="shared" si="3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0.79166666666666663</v>
      </c>
      <c r="AD10" s="10">
        <f>AC10*AB10*(1-O10)</f>
        <v>0.79166666666666663</v>
      </c>
      <c r="AE10" s="36">
        <f t="shared" si="7"/>
        <v>0.52773432374006313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244</v>
      </c>
      <c r="E11" s="53" t="s">
        <v>315</v>
      </c>
      <c r="F11" s="30" t="s">
        <v>149</v>
      </c>
      <c r="G11" s="12">
        <v>2</v>
      </c>
      <c r="H11" s="13">
        <v>28</v>
      </c>
      <c r="I11" s="7">
        <v>30000</v>
      </c>
      <c r="J11" s="14">
        <v>11356</v>
      </c>
      <c r="K11" s="15">
        <f>L11+11356</f>
        <v>17482</v>
      </c>
      <c r="L11" s="15">
        <f>3063*2</f>
        <v>6126</v>
      </c>
      <c r="M11" s="15">
        <f t="shared" si="0"/>
        <v>6126</v>
      </c>
      <c r="N11" s="15">
        <v>0</v>
      </c>
      <c r="O11" s="58">
        <f t="shared" si="1"/>
        <v>0</v>
      </c>
      <c r="P11" s="39">
        <f t="shared" si="2"/>
        <v>8</v>
      </c>
      <c r="Q11" s="40">
        <f t="shared" si="3"/>
        <v>16</v>
      </c>
      <c r="R11" s="7"/>
      <c r="S11" s="6">
        <v>16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0.53945051074321948</v>
      </c>
      <c r="AC11" s="9">
        <f t="shared" si="5"/>
        <v>0.33333333333333331</v>
      </c>
      <c r="AD11" s="10">
        <f t="shared" ref="AD11:AD14" si="9">AC11*AB11*(1-O11)</f>
        <v>0.17981683691440647</v>
      </c>
      <c r="AE11" s="36">
        <f t="shared" si="7"/>
        <v>0.52773432374006313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4723</v>
      </c>
      <c r="K12" s="15">
        <f>L12+1126+4135</f>
        <v>9984</v>
      </c>
      <c r="L12" s="15">
        <f>2379+2344</f>
        <v>4723</v>
      </c>
      <c r="M12" s="15">
        <f t="shared" si="0"/>
        <v>4723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0.52773432374006313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16257</v>
      </c>
      <c r="K13" s="15">
        <f>L13+12212+20232+16256+9762+15771+11739+16704+16779+14433+15558+10107+21780+11559</f>
        <v>209149</v>
      </c>
      <c r="L13" s="15">
        <f>2638*3+2781*3</f>
        <v>16257</v>
      </c>
      <c r="M13" s="15">
        <f t="shared" si="0"/>
        <v>16257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0.52773432374006313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0.52773432374006313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293</v>
      </c>
      <c r="D15" s="52"/>
      <c r="E15" s="53" t="s">
        <v>173</v>
      </c>
      <c r="F15" s="12" t="s">
        <v>165</v>
      </c>
      <c r="G15" s="12">
        <v>8</v>
      </c>
      <c r="H15" s="13">
        <v>24</v>
      </c>
      <c r="I15" s="31">
        <v>40000</v>
      </c>
      <c r="J15" s="14">
        <v>16545</v>
      </c>
      <c r="K15" s="15">
        <f>L15+33605+16545</f>
        <v>50150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0.52773432374006313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0.52773432374006313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21236</v>
      </c>
      <c r="K17" s="15">
        <f>L17+18660</f>
        <v>39896</v>
      </c>
      <c r="L17" s="15">
        <f>2685*4+2624*4</f>
        <v>21236</v>
      </c>
      <c r="M17" s="15">
        <f t="shared" si="0"/>
        <v>21236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0.52773432374006313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294</v>
      </c>
      <c r="F18" s="30" t="s">
        <v>292</v>
      </c>
      <c r="G18" s="12">
        <v>1</v>
      </c>
      <c r="H18" s="13">
        <v>28</v>
      </c>
      <c r="I18" s="31">
        <v>70000</v>
      </c>
      <c r="J18" s="5">
        <v>2641</v>
      </c>
      <c r="K18" s="15">
        <f>L18+2641</f>
        <v>2641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12</v>
      </c>
      <c r="R18" s="7"/>
      <c r="S18" s="6">
        <v>12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0.52773432374006313</v>
      </c>
      <c r="AF18" s="84">
        <f t="shared" si="8"/>
        <v>13</v>
      </c>
    </row>
    <row r="19" spans="1:32" ht="27" customHeight="1">
      <c r="A19" s="113">
        <v>13</v>
      </c>
      <c r="B19" s="11" t="s">
        <v>57</v>
      </c>
      <c r="C19" s="34" t="s">
        <v>120</v>
      </c>
      <c r="D19" s="52" t="s">
        <v>338</v>
      </c>
      <c r="E19" s="53" t="s">
        <v>339</v>
      </c>
      <c r="F19" s="30" t="s">
        <v>292</v>
      </c>
      <c r="G19" s="12">
        <v>1</v>
      </c>
      <c r="H19" s="13">
        <v>28</v>
      </c>
      <c r="I19" s="31">
        <v>70000</v>
      </c>
      <c r="J19" s="5">
        <v>2248</v>
      </c>
      <c r="K19" s="15">
        <f>L19</f>
        <v>2248</v>
      </c>
      <c r="L19" s="15">
        <f>2248</f>
        <v>2248</v>
      </c>
      <c r="M19" s="15">
        <f t="shared" ref="M19" si="10">L19-N19</f>
        <v>2248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12</v>
      </c>
      <c r="Q19" s="40">
        <f t="shared" ref="Q19" si="13">SUM(R19:AA19)</f>
        <v>12</v>
      </c>
      <c r="R19" s="7"/>
      <c r="S19" s="6">
        <v>12</v>
      </c>
      <c r="T19" s="16"/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0.5</v>
      </c>
      <c r="AD19" s="10">
        <f t="shared" ref="AD19" si="16">AC19*AB19*(1-O19)</f>
        <v>0.5</v>
      </c>
      <c r="AE19" s="36">
        <f t="shared" si="7"/>
        <v>0.52773432374006313</v>
      </c>
      <c r="AF19" s="84">
        <f t="shared" ref="AF19" si="17">A19</f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155</v>
      </c>
      <c r="E20" s="53" t="s">
        <v>280</v>
      </c>
      <c r="F20" s="30" t="s">
        <v>124</v>
      </c>
      <c r="G20" s="33">
        <v>1</v>
      </c>
      <c r="H20" s="35">
        <v>24</v>
      </c>
      <c r="I20" s="7">
        <v>40000</v>
      </c>
      <c r="J20" s="5">
        <v>1964</v>
      </c>
      <c r="K20" s="15">
        <f>L20</f>
        <v>1964</v>
      </c>
      <c r="L20" s="15">
        <f>764+1200</f>
        <v>1964</v>
      </c>
      <c r="M20" s="15">
        <f t="shared" si="0"/>
        <v>1964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>AC20*AB20*(1-O20)</f>
        <v>0.41666666666666669</v>
      </c>
      <c r="AE20" s="36">
        <f t="shared" si="7"/>
        <v>0.52773432374006313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120</v>
      </c>
      <c r="D21" s="52" t="s">
        <v>115</v>
      </c>
      <c r="E21" s="53" t="s">
        <v>318</v>
      </c>
      <c r="F21" s="30" t="s">
        <v>150</v>
      </c>
      <c r="G21" s="33">
        <v>1</v>
      </c>
      <c r="H21" s="35">
        <v>24</v>
      </c>
      <c r="I21" s="7">
        <v>6000</v>
      </c>
      <c r="J21" s="14">
        <v>3439</v>
      </c>
      <c r="K21" s="15">
        <f>L21+817</f>
        <v>4256</v>
      </c>
      <c r="L21" s="15">
        <f>1500+1939</f>
        <v>3439</v>
      </c>
      <c r="M21" s="15">
        <f t="shared" si="0"/>
        <v>3439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0.52773432374006313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43260</v>
      </c>
      <c r="K22" s="15">
        <f>L22+16808+39112+38440+39748+31140+68844+45656+37140+73976+32892+39440+37868+39596+38388+34736+36544+66564</f>
        <v>760152</v>
      </c>
      <c r="L22" s="15">
        <f>10815*4</f>
        <v>43260</v>
      </c>
      <c r="M22" s="15">
        <f t="shared" si="0"/>
        <v>43260</v>
      </c>
      <c r="N22" s="15">
        <v>0</v>
      </c>
      <c r="O22" s="58">
        <f t="shared" si="1"/>
        <v>0</v>
      </c>
      <c r="P22" s="39">
        <f t="shared" si="2"/>
        <v>15</v>
      </c>
      <c r="Q22" s="40">
        <f t="shared" si="3"/>
        <v>9</v>
      </c>
      <c r="R22" s="7"/>
      <c r="S22" s="6"/>
      <c r="T22" s="16"/>
      <c r="U22" s="16"/>
      <c r="V22" s="17">
        <v>9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0.625</v>
      </c>
      <c r="AD22" s="10">
        <f t="shared" si="6"/>
        <v>0.625</v>
      </c>
      <c r="AE22" s="36">
        <f t="shared" si="7"/>
        <v>0.52773432374006313</v>
      </c>
      <c r="AF22" s="84">
        <f t="shared" si="8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18">SUM(I6:I22)</f>
        <v>1841300</v>
      </c>
      <c r="J23" s="19">
        <f t="shared" si="18"/>
        <v>178849</v>
      </c>
      <c r="K23" s="20">
        <f t="shared" si="18"/>
        <v>1167762</v>
      </c>
      <c r="L23" s="21">
        <f t="shared" si="18"/>
        <v>133334</v>
      </c>
      <c r="M23" s="20">
        <f t="shared" si="18"/>
        <v>133334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219</v>
      </c>
      <c r="Q23" s="43">
        <f t="shared" si="19"/>
        <v>177</v>
      </c>
      <c r="R23" s="23">
        <f t="shared" si="19"/>
        <v>24</v>
      </c>
      <c r="S23" s="24">
        <f t="shared" si="19"/>
        <v>72</v>
      </c>
      <c r="T23" s="24">
        <f t="shared" si="19"/>
        <v>0</v>
      </c>
      <c r="U23" s="24">
        <f t="shared" si="19"/>
        <v>0</v>
      </c>
      <c r="V23" s="25">
        <f t="shared" si="19"/>
        <v>9</v>
      </c>
      <c r="W23" s="26">
        <f t="shared" si="19"/>
        <v>24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48</v>
      </c>
      <c r="AB23" s="28">
        <f>AVERAGE(AB6:AB22)</f>
        <v>0.67879120651430702</v>
      </c>
      <c r="AC23" s="4">
        <f>AVERAGE(AC6:AC22)</f>
        <v>0.53676470588235292</v>
      </c>
      <c r="AD23" s="4">
        <f>AVERAGE(AD6:AD22)</f>
        <v>0.52773432374006313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340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347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195" t="s">
        <v>46</v>
      </c>
      <c r="D52" s="195" t="s">
        <v>47</v>
      </c>
      <c r="E52" s="195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195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121</v>
      </c>
      <c r="B53" s="451"/>
      <c r="C53" s="197" t="s">
        <v>145</v>
      </c>
      <c r="D53" s="197" t="s">
        <v>330</v>
      </c>
      <c r="E53" s="197" t="s">
        <v>331</v>
      </c>
      <c r="F53" s="452" t="s">
        <v>341</v>
      </c>
      <c r="G53" s="453"/>
      <c r="H53" s="453"/>
      <c r="I53" s="453"/>
      <c r="J53" s="453"/>
      <c r="K53" s="453"/>
      <c r="L53" s="453"/>
      <c r="M53" s="454"/>
      <c r="N53" s="196" t="s">
        <v>120</v>
      </c>
      <c r="O53" s="202" t="s">
        <v>135</v>
      </c>
      <c r="P53" s="455" t="s">
        <v>265</v>
      </c>
      <c r="Q53" s="456"/>
      <c r="R53" s="455" t="s">
        <v>273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197" t="s">
        <v>151</v>
      </c>
      <c r="D54" s="197" t="s">
        <v>126</v>
      </c>
      <c r="E54" s="197" t="s">
        <v>342</v>
      </c>
      <c r="F54" s="452" t="s">
        <v>343</v>
      </c>
      <c r="G54" s="453"/>
      <c r="H54" s="453"/>
      <c r="I54" s="453"/>
      <c r="J54" s="453"/>
      <c r="K54" s="453"/>
      <c r="L54" s="453"/>
      <c r="M54" s="454"/>
      <c r="N54" s="196" t="s">
        <v>112</v>
      </c>
      <c r="O54" s="202" t="s">
        <v>215</v>
      </c>
      <c r="P54" s="455" t="s">
        <v>155</v>
      </c>
      <c r="Q54" s="456"/>
      <c r="R54" s="455" t="s">
        <v>280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197" t="s">
        <v>193</v>
      </c>
      <c r="D55" s="197" t="s">
        <v>115</v>
      </c>
      <c r="E55" s="197" t="s">
        <v>318</v>
      </c>
      <c r="F55" s="452" t="s">
        <v>344</v>
      </c>
      <c r="G55" s="453"/>
      <c r="H55" s="453"/>
      <c r="I55" s="453"/>
      <c r="J55" s="453"/>
      <c r="K55" s="453"/>
      <c r="L55" s="453"/>
      <c r="M55" s="454"/>
      <c r="N55" s="196" t="s">
        <v>120</v>
      </c>
      <c r="O55" s="202" t="s">
        <v>157</v>
      </c>
      <c r="P55" s="455" t="s">
        <v>127</v>
      </c>
      <c r="Q55" s="456"/>
      <c r="R55" s="455" t="s">
        <v>283</v>
      </c>
      <c r="S55" s="457"/>
      <c r="T55" s="457"/>
      <c r="U55" s="456"/>
      <c r="V55" s="452" t="s">
        <v>118</v>
      </c>
      <c r="W55" s="453"/>
      <c r="X55" s="453"/>
      <c r="Y55" s="453"/>
      <c r="Z55" s="453"/>
      <c r="AA55" s="453"/>
      <c r="AB55" s="453"/>
      <c r="AC55" s="453"/>
      <c r="AD55" s="454"/>
    </row>
    <row r="56" spans="1:32" ht="27" customHeight="1">
      <c r="A56" s="450" t="s">
        <v>120</v>
      </c>
      <c r="B56" s="451"/>
      <c r="C56" s="197" t="s">
        <v>138</v>
      </c>
      <c r="D56" s="197" t="s">
        <v>338</v>
      </c>
      <c r="E56" s="197" t="s">
        <v>339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196" t="s">
        <v>120</v>
      </c>
      <c r="O56" s="202" t="s">
        <v>138</v>
      </c>
      <c r="P56" s="455" t="s">
        <v>115</v>
      </c>
      <c r="Q56" s="456"/>
      <c r="R56" s="455" t="s">
        <v>312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112</v>
      </c>
      <c r="B57" s="451"/>
      <c r="C57" s="197" t="s">
        <v>215</v>
      </c>
      <c r="D57" s="197" t="s">
        <v>155</v>
      </c>
      <c r="E57" s="197" t="s">
        <v>280</v>
      </c>
      <c r="F57" s="452" t="s">
        <v>345</v>
      </c>
      <c r="G57" s="453"/>
      <c r="H57" s="453"/>
      <c r="I57" s="453"/>
      <c r="J57" s="453"/>
      <c r="K57" s="453"/>
      <c r="L57" s="453"/>
      <c r="M57" s="454"/>
      <c r="N57" s="196"/>
      <c r="O57" s="20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120</v>
      </c>
      <c r="B58" s="451"/>
      <c r="C58" s="197" t="s">
        <v>138</v>
      </c>
      <c r="D58" s="197" t="s">
        <v>115</v>
      </c>
      <c r="E58" s="197" t="s">
        <v>312</v>
      </c>
      <c r="F58" s="452" t="s">
        <v>346</v>
      </c>
      <c r="G58" s="453"/>
      <c r="H58" s="453"/>
      <c r="I58" s="453"/>
      <c r="J58" s="453"/>
      <c r="K58" s="453"/>
      <c r="L58" s="453"/>
      <c r="M58" s="454"/>
      <c r="N58" s="196"/>
      <c r="O58" s="202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120</v>
      </c>
      <c r="B59" s="451"/>
      <c r="C59" s="197" t="s">
        <v>135</v>
      </c>
      <c r="D59" s="197" t="s">
        <v>265</v>
      </c>
      <c r="E59" s="197" t="s">
        <v>273</v>
      </c>
      <c r="F59" s="452" t="s">
        <v>348</v>
      </c>
      <c r="G59" s="453"/>
      <c r="H59" s="453"/>
      <c r="I59" s="453"/>
      <c r="J59" s="453"/>
      <c r="K59" s="453"/>
      <c r="L59" s="453"/>
      <c r="M59" s="454"/>
      <c r="N59" s="196"/>
      <c r="O59" s="20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197"/>
      <c r="D60" s="197"/>
      <c r="E60" s="197"/>
      <c r="F60" s="452"/>
      <c r="G60" s="453"/>
      <c r="H60" s="453"/>
      <c r="I60" s="453"/>
      <c r="J60" s="453"/>
      <c r="K60" s="453"/>
      <c r="L60" s="453"/>
      <c r="M60" s="454"/>
      <c r="N60" s="196"/>
      <c r="O60" s="202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197"/>
      <c r="D61" s="197"/>
      <c r="E61" s="197"/>
      <c r="F61" s="452"/>
      <c r="G61" s="453"/>
      <c r="H61" s="453"/>
      <c r="I61" s="453"/>
      <c r="J61" s="453"/>
      <c r="K61" s="453"/>
      <c r="L61" s="453"/>
      <c r="M61" s="454"/>
      <c r="N61" s="196"/>
      <c r="O61" s="202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198"/>
      <c r="D62" s="199"/>
      <c r="E62" s="199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349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200" t="s">
        <v>2</v>
      </c>
      <c r="D64" s="200" t="s">
        <v>37</v>
      </c>
      <c r="E64" s="200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200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123</v>
      </c>
      <c r="D65" s="204"/>
      <c r="E65" s="201"/>
      <c r="F65" s="477" t="s">
        <v>225</v>
      </c>
      <c r="G65" s="478"/>
      <c r="H65" s="478"/>
      <c r="I65" s="478"/>
      <c r="J65" s="479"/>
      <c r="K65" s="480" t="s">
        <v>119</v>
      </c>
      <c r="L65" s="480"/>
      <c r="M65" s="51" t="s">
        <v>147</v>
      </c>
      <c r="N65" s="481" t="s">
        <v>151</v>
      </c>
      <c r="O65" s="481"/>
      <c r="P65" s="482">
        <v>120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 t="s">
        <v>123</v>
      </c>
      <c r="D66" s="204"/>
      <c r="E66" s="201"/>
      <c r="F66" s="477" t="s">
        <v>226</v>
      </c>
      <c r="G66" s="478"/>
      <c r="H66" s="478"/>
      <c r="I66" s="478"/>
      <c r="J66" s="479"/>
      <c r="K66" s="480" t="s">
        <v>228</v>
      </c>
      <c r="L66" s="480"/>
      <c r="M66" s="51" t="s">
        <v>147</v>
      </c>
      <c r="N66" s="481" t="s">
        <v>215</v>
      </c>
      <c r="O66" s="481"/>
      <c r="P66" s="482">
        <v>120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/>
      <c r="D67" s="204"/>
      <c r="E67" s="201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/>
      <c r="D68" s="204"/>
      <c r="E68" s="201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/>
      <c r="D69" s="204"/>
      <c r="E69" s="20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/>
      <c r="D70" s="204"/>
      <c r="E70" s="201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/>
      <c r="D71" s="204"/>
      <c r="E71" s="20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204"/>
      <c r="E72" s="20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204"/>
      <c r="E73" s="20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204"/>
      <c r="E74" s="201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350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203" t="s">
        <v>2</v>
      </c>
      <c r="D76" s="203" t="s">
        <v>37</v>
      </c>
      <c r="E76" s="203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205" t="s">
        <v>112</v>
      </c>
      <c r="D77" s="205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204"/>
      <c r="D78" s="204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20">A78+1</f>
        <v>3</v>
      </c>
      <c r="B79" s="496"/>
      <c r="C79" s="204"/>
      <c r="D79" s="204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0"/>
        <v>4</v>
      </c>
      <c r="B80" s="496"/>
      <c r="C80" s="204"/>
      <c r="D80" s="204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0"/>
        <v>5</v>
      </c>
      <c r="B81" s="496"/>
      <c r="C81" s="204"/>
      <c r="D81" s="204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0"/>
        <v>6</v>
      </c>
      <c r="B82" s="496"/>
      <c r="C82" s="204"/>
      <c r="D82" s="204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0"/>
        <v>7</v>
      </c>
      <c r="B83" s="496"/>
      <c r="C83" s="204"/>
      <c r="D83" s="204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351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AEBF-CCB8-4A67-8C21-69A3318DE3DD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9" width="7.6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352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17" t="s">
        <v>17</v>
      </c>
      <c r="L5" s="217" t="s">
        <v>18</v>
      </c>
      <c r="M5" s="217" t="s">
        <v>19</v>
      </c>
      <c r="N5" s="2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35325</v>
      </c>
      <c r="K6" s="15">
        <f>L6+21540</f>
        <v>56865</v>
      </c>
      <c r="L6" s="15">
        <f>4385*5+2680*5</f>
        <v>35325</v>
      </c>
      <c r="M6" s="15">
        <f t="shared" ref="M6:M21" si="0">L6-N6</f>
        <v>35325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0.53385416666666663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177</v>
      </c>
      <c r="E7" s="53" t="s">
        <v>178</v>
      </c>
      <c r="F7" s="12" t="s">
        <v>136</v>
      </c>
      <c r="G7" s="12">
        <v>1</v>
      </c>
      <c r="H7" s="13">
        <v>24</v>
      </c>
      <c r="I7" s="31">
        <v>10000</v>
      </c>
      <c r="J7" s="14">
        <v>2100</v>
      </c>
      <c r="K7" s="15">
        <f>L7+3721+6061+2100</f>
        <v>11882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0.53385416666666663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5168</v>
      </c>
      <c r="K8" s="15">
        <f>L8+4389+4644+4956+4921+4171</f>
        <v>28249</v>
      </c>
      <c r="L8" s="15">
        <f>2818+2350</f>
        <v>5168</v>
      </c>
      <c r="M8" s="15">
        <f t="shared" si="0"/>
        <v>5168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0.53385416666666663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126</v>
      </c>
      <c r="E9" s="53" t="s">
        <v>353</v>
      </c>
      <c r="F9" s="30" t="s">
        <v>137</v>
      </c>
      <c r="G9" s="33">
        <v>1</v>
      </c>
      <c r="H9" s="35">
        <v>24</v>
      </c>
      <c r="I9" s="7">
        <v>2000</v>
      </c>
      <c r="J9" s="14">
        <v>3030</v>
      </c>
      <c r="K9" s="15">
        <f>L9</f>
        <v>3030</v>
      </c>
      <c r="L9" s="15">
        <f>551+2479</f>
        <v>3030</v>
      </c>
      <c r="M9" s="15">
        <f t="shared" si="0"/>
        <v>3030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0.53385416666666663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120</v>
      </c>
      <c r="D10" s="52" t="s">
        <v>126</v>
      </c>
      <c r="E10" s="53" t="s">
        <v>329</v>
      </c>
      <c r="F10" s="30" t="s">
        <v>337</v>
      </c>
      <c r="G10" s="33">
        <v>1</v>
      </c>
      <c r="H10" s="35">
        <v>24</v>
      </c>
      <c r="I10" s="7">
        <v>7000</v>
      </c>
      <c r="J10" s="5">
        <v>3214</v>
      </c>
      <c r="K10" s="15">
        <f>L10+3843</f>
        <v>7057</v>
      </c>
      <c r="L10" s="15">
        <f>1096+2118</f>
        <v>3214</v>
      </c>
      <c r="M10" s="15">
        <f t="shared" si="0"/>
        <v>3214</v>
      </c>
      <c r="N10" s="15">
        <v>0</v>
      </c>
      <c r="O10" s="58">
        <f t="shared" si="1"/>
        <v>0</v>
      </c>
      <c r="P10" s="39">
        <f t="shared" si="2"/>
        <v>19</v>
      </c>
      <c r="Q10" s="40">
        <f t="shared" si="3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0.79166666666666663</v>
      </c>
      <c r="AD10" s="10">
        <f>AC10*AB10*(1-O10)</f>
        <v>0.79166666666666663</v>
      </c>
      <c r="AE10" s="36">
        <f t="shared" si="7"/>
        <v>0.53385416666666663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127</v>
      </c>
      <c r="E11" s="53" t="s">
        <v>283</v>
      </c>
      <c r="F11" s="30" t="s">
        <v>149</v>
      </c>
      <c r="G11" s="12">
        <v>1</v>
      </c>
      <c r="H11" s="13">
        <v>28</v>
      </c>
      <c r="I11" s="7">
        <v>70000</v>
      </c>
      <c r="J11" s="14">
        <v>4643</v>
      </c>
      <c r="K11" s="15">
        <f>L11</f>
        <v>4643</v>
      </c>
      <c r="L11" s="15">
        <f>1620+3023</f>
        <v>4643</v>
      </c>
      <c r="M11" s="15">
        <f t="shared" si="0"/>
        <v>4643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0.53385416666666663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4686</v>
      </c>
      <c r="K12" s="15">
        <f>L12+1126+4135+4723</f>
        <v>14670</v>
      </c>
      <c r="L12" s="15">
        <f>2460+2226</f>
        <v>4686</v>
      </c>
      <c r="M12" s="15">
        <f t="shared" si="0"/>
        <v>4686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0.53385416666666663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3</v>
      </c>
      <c r="H13" s="35">
        <v>24</v>
      </c>
      <c r="I13" s="7">
        <v>500000</v>
      </c>
      <c r="J13" s="5">
        <v>16449</v>
      </c>
      <c r="K13" s="15">
        <f>L13+12212+20232+16256+9762+15771+11739+16704+16779+14433+15558+10107+21780+11559+16257</f>
        <v>225598</v>
      </c>
      <c r="L13" s="15">
        <f>2847*3+2636*3</f>
        <v>16449</v>
      </c>
      <c r="M13" s="15">
        <f t="shared" si="0"/>
        <v>16449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0.53385416666666663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0.53385416666666663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293</v>
      </c>
      <c r="D15" s="52"/>
      <c r="E15" s="53" t="s">
        <v>173</v>
      </c>
      <c r="F15" s="12" t="s">
        <v>165</v>
      </c>
      <c r="G15" s="12">
        <v>8</v>
      </c>
      <c r="H15" s="13">
        <v>24</v>
      </c>
      <c r="I15" s="31">
        <v>40000</v>
      </c>
      <c r="J15" s="14">
        <v>16545</v>
      </c>
      <c r="K15" s="15">
        <f>L15+33605+16545</f>
        <v>50150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0.53385416666666663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0.53385416666666663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10492</v>
      </c>
      <c r="K17" s="15">
        <f>L17+18660+21236</f>
        <v>50388</v>
      </c>
      <c r="L17" s="15">
        <f>2623*4</f>
        <v>10492</v>
      </c>
      <c r="M17" s="15">
        <f t="shared" si="0"/>
        <v>10492</v>
      </c>
      <c r="N17" s="15">
        <v>0</v>
      </c>
      <c r="O17" s="58">
        <f t="shared" si="1"/>
        <v>0</v>
      </c>
      <c r="P17" s="39">
        <f t="shared" si="2"/>
        <v>11</v>
      </c>
      <c r="Q17" s="40">
        <f t="shared" si="3"/>
        <v>13</v>
      </c>
      <c r="R17" s="7"/>
      <c r="S17" s="6"/>
      <c r="T17" s="16"/>
      <c r="U17" s="16"/>
      <c r="V17" s="17">
        <v>13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6">
        <f t="shared" si="7"/>
        <v>0.53385416666666663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294</v>
      </c>
      <c r="F18" s="30" t="s">
        <v>292</v>
      </c>
      <c r="G18" s="12">
        <v>1</v>
      </c>
      <c r="H18" s="13">
        <v>28</v>
      </c>
      <c r="I18" s="31">
        <v>70000</v>
      </c>
      <c r="J18" s="5">
        <v>2641</v>
      </c>
      <c r="K18" s="15">
        <f>L18+2641</f>
        <v>2641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0.53385416666666663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2699</v>
      </c>
      <c r="K19" s="15">
        <f>L19+1964</f>
        <v>4663</v>
      </c>
      <c r="L19" s="15">
        <f>1442+1257</f>
        <v>2699</v>
      </c>
      <c r="M19" s="15">
        <f t="shared" si="0"/>
        <v>2699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>AC19*AB19*(1-O19)</f>
        <v>0.625</v>
      </c>
      <c r="AE19" s="36">
        <f t="shared" si="7"/>
        <v>0.53385416666666663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120</v>
      </c>
      <c r="D20" s="52" t="s">
        <v>115</v>
      </c>
      <c r="E20" s="53" t="s">
        <v>318</v>
      </c>
      <c r="F20" s="30" t="s">
        <v>150</v>
      </c>
      <c r="G20" s="33">
        <v>1</v>
      </c>
      <c r="H20" s="35">
        <v>24</v>
      </c>
      <c r="I20" s="7">
        <v>6000</v>
      </c>
      <c r="J20" s="14">
        <v>4229</v>
      </c>
      <c r="K20" s="15">
        <f>L20+817+3439</f>
        <v>8485</v>
      </c>
      <c r="L20" s="15">
        <f>2332+1897</f>
        <v>4229</v>
      </c>
      <c r="M20" s="15">
        <f t="shared" si="0"/>
        <v>4229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0.53385416666666663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43260</v>
      </c>
      <c r="K21" s="15">
        <f>L21+16808+39112+38440+39748+31140+68844+45656+37140+73976+32892+39440+37868+39596+38388+34736+36544+66564+43260</f>
        <v>760152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0.53385416666666663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0">SUM(I6:I21)</f>
        <v>1743300</v>
      </c>
      <c r="J22" s="19">
        <f t="shared" si="10"/>
        <v>173480</v>
      </c>
      <c r="K22" s="20">
        <f t="shared" si="10"/>
        <v>1228812</v>
      </c>
      <c r="L22" s="21">
        <f t="shared" si="10"/>
        <v>89935</v>
      </c>
      <c r="M22" s="20">
        <f t="shared" si="10"/>
        <v>89935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205</v>
      </c>
      <c r="Q22" s="43">
        <f t="shared" si="11"/>
        <v>179</v>
      </c>
      <c r="R22" s="23">
        <f t="shared" si="11"/>
        <v>24</v>
      </c>
      <c r="S22" s="24">
        <f t="shared" si="11"/>
        <v>46</v>
      </c>
      <c r="T22" s="24">
        <f t="shared" si="11"/>
        <v>0</v>
      </c>
      <c r="U22" s="24">
        <f t="shared" si="11"/>
        <v>0</v>
      </c>
      <c r="V22" s="25">
        <f t="shared" si="11"/>
        <v>37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0.625</v>
      </c>
      <c r="AC22" s="4">
        <f>AVERAGE(AC6:AC21)</f>
        <v>0.53385416666666663</v>
      </c>
      <c r="AD22" s="4">
        <f>AVERAGE(AD6:AD21)</f>
        <v>0.53385416666666663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354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357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216" t="s">
        <v>46</v>
      </c>
      <c r="D51" s="216" t="s">
        <v>47</v>
      </c>
      <c r="E51" s="216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216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112</v>
      </c>
      <c r="B52" s="451"/>
      <c r="C52" s="213" t="s">
        <v>135</v>
      </c>
      <c r="D52" s="213" t="s">
        <v>126</v>
      </c>
      <c r="E52" s="213" t="s">
        <v>353</v>
      </c>
      <c r="F52" s="452" t="s">
        <v>118</v>
      </c>
      <c r="G52" s="453"/>
      <c r="H52" s="453"/>
      <c r="I52" s="453"/>
      <c r="J52" s="453"/>
      <c r="K52" s="453"/>
      <c r="L52" s="453"/>
      <c r="M52" s="454"/>
      <c r="N52" s="212" t="s">
        <v>120</v>
      </c>
      <c r="O52" s="210" t="s">
        <v>135</v>
      </c>
      <c r="P52" s="455" t="s">
        <v>265</v>
      </c>
      <c r="Q52" s="456"/>
      <c r="R52" s="455" t="s">
        <v>273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213" t="s">
        <v>151</v>
      </c>
      <c r="D53" s="213" t="s">
        <v>126</v>
      </c>
      <c r="E53" s="213" t="s">
        <v>342</v>
      </c>
      <c r="F53" s="452" t="s">
        <v>355</v>
      </c>
      <c r="G53" s="453"/>
      <c r="H53" s="453"/>
      <c r="I53" s="453"/>
      <c r="J53" s="453"/>
      <c r="K53" s="453"/>
      <c r="L53" s="453"/>
      <c r="M53" s="454"/>
      <c r="N53" s="212" t="s">
        <v>112</v>
      </c>
      <c r="O53" s="210" t="s">
        <v>215</v>
      </c>
      <c r="P53" s="455" t="s">
        <v>155</v>
      </c>
      <c r="Q53" s="456"/>
      <c r="R53" s="455" t="s">
        <v>280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213" t="s">
        <v>193</v>
      </c>
      <c r="D54" s="213" t="s">
        <v>115</v>
      </c>
      <c r="E54" s="213" t="s">
        <v>318</v>
      </c>
      <c r="F54" s="452" t="s">
        <v>344</v>
      </c>
      <c r="G54" s="453"/>
      <c r="H54" s="453"/>
      <c r="I54" s="453"/>
      <c r="J54" s="453"/>
      <c r="K54" s="453"/>
      <c r="L54" s="453"/>
      <c r="M54" s="454"/>
      <c r="N54" s="212" t="s">
        <v>120</v>
      </c>
      <c r="O54" s="210" t="s">
        <v>157</v>
      </c>
      <c r="P54" s="455" t="s">
        <v>126</v>
      </c>
      <c r="Q54" s="456"/>
      <c r="R54" s="455" t="s">
        <v>303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213" t="s">
        <v>215</v>
      </c>
      <c r="D55" s="213" t="s">
        <v>155</v>
      </c>
      <c r="E55" s="213" t="s">
        <v>280</v>
      </c>
      <c r="F55" s="452" t="s">
        <v>356</v>
      </c>
      <c r="G55" s="453"/>
      <c r="H55" s="453"/>
      <c r="I55" s="453"/>
      <c r="J55" s="453"/>
      <c r="K55" s="453"/>
      <c r="L55" s="453"/>
      <c r="M55" s="454"/>
      <c r="N55" s="212" t="s">
        <v>120</v>
      </c>
      <c r="O55" s="210" t="s">
        <v>193</v>
      </c>
      <c r="P55" s="455" t="s">
        <v>115</v>
      </c>
      <c r="Q55" s="456"/>
      <c r="R55" s="455" t="s">
        <v>358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213" t="s">
        <v>157</v>
      </c>
      <c r="D56" s="213" t="s">
        <v>127</v>
      </c>
      <c r="E56" s="213" t="s">
        <v>283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212" t="s">
        <v>120</v>
      </c>
      <c r="O56" s="210" t="s">
        <v>138</v>
      </c>
      <c r="P56" s="455" t="s">
        <v>115</v>
      </c>
      <c r="Q56" s="456"/>
      <c r="R56" s="455" t="s">
        <v>312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213"/>
      <c r="D57" s="213"/>
      <c r="E57" s="213"/>
      <c r="F57" s="452"/>
      <c r="G57" s="453"/>
      <c r="H57" s="453"/>
      <c r="I57" s="453"/>
      <c r="J57" s="453"/>
      <c r="K57" s="453"/>
      <c r="L57" s="453"/>
      <c r="M57" s="454"/>
      <c r="N57" s="212" t="s">
        <v>112</v>
      </c>
      <c r="O57" s="210" t="s">
        <v>151</v>
      </c>
      <c r="P57" s="455" t="s">
        <v>360</v>
      </c>
      <c r="Q57" s="456"/>
      <c r="R57" s="455" t="s">
        <v>359</v>
      </c>
      <c r="S57" s="457"/>
      <c r="T57" s="457"/>
      <c r="U57" s="456"/>
      <c r="V57" s="458" t="s">
        <v>118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213"/>
      <c r="D58" s="213"/>
      <c r="E58" s="213"/>
      <c r="F58" s="452"/>
      <c r="G58" s="453"/>
      <c r="H58" s="453"/>
      <c r="I58" s="453"/>
      <c r="J58" s="453"/>
      <c r="K58" s="453"/>
      <c r="L58" s="453"/>
      <c r="M58" s="454"/>
      <c r="N58" s="212"/>
      <c r="O58" s="210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13"/>
      <c r="D59" s="213"/>
      <c r="E59" s="213"/>
      <c r="F59" s="452"/>
      <c r="G59" s="453"/>
      <c r="H59" s="453"/>
      <c r="I59" s="453"/>
      <c r="J59" s="453"/>
      <c r="K59" s="453"/>
      <c r="L59" s="453"/>
      <c r="M59" s="454"/>
      <c r="N59" s="212"/>
      <c r="O59" s="210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13"/>
      <c r="D60" s="213"/>
      <c r="E60" s="213"/>
      <c r="F60" s="452"/>
      <c r="G60" s="453"/>
      <c r="H60" s="453"/>
      <c r="I60" s="453"/>
      <c r="J60" s="453"/>
      <c r="K60" s="453"/>
      <c r="L60" s="453"/>
      <c r="M60" s="454"/>
      <c r="N60" s="212"/>
      <c r="O60" s="210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214"/>
      <c r="D61" s="215"/>
      <c r="E61" s="215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361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11" t="s">
        <v>2</v>
      </c>
      <c r="D63" s="211" t="s">
        <v>37</v>
      </c>
      <c r="E63" s="211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11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/>
      <c r="D64" s="206"/>
      <c r="E64" s="209"/>
      <c r="F64" s="477"/>
      <c r="G64" s="478"/>
      <c r="H64" s="478"/>
      <c r="I64" s="478"/>
      <c r="J64" s="479"/>
      <c r="K64" s="480"/>
      <c r="L64" s="480"/>
      <c r="M64" s="51"/>
      <c r="N64" s="481"/>
      <c r="O64" s="481"/>
      <c r="P64" s="482"/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/>
      <c r="D65" s="206"/>
      <c r="E65" s="209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206"/>
      <c r="E66" s="209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206"/>
      <c r="E67" s="209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206"/>
      <c r="E68" s="209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206"/>
      <c r="E69" s="209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206"/>
      <c r="E70" s="209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206"/>
      <c r="E71" s="209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206"/>
      <c r="E72" s="209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206"/>
      <c r="E73" s="209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362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208" t="s">
        <v>2</v>
      </c>
      <c r="D75" s="208" t="s">
        <v>37</v>
      </c>
      <c r="E75" s="208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207" t="s">
        <v>112</v>
      </c>
      <c r="D76" s="207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206"/>
      <c r="D77" s="206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2">A77+1</f>
        <v>3</v>
      </c>
      <c r="B78" s="496"/>
      <c r="C78" s="206"/>
      <c r="D78" s="206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2"/>
        <v>4</v>
      </c>
      <c r="B79" s="496"/>
      <c r="C79" s="206"/>
      <c r="D79" s="206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2"/>
        <v>5</v>
      </c>
      <c r="B80" s="496"/>
      <c r="C80" s="206"/>
      <c r="D80" s="206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2"/>
        <v>6</v>
      </c>
      <c r="B81" s="496"/>
      <c r="C81" s="206"/>
      <c r="D81" s="206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2"/>
        <v>7</v>
      </c>
      <c r="B82" s="496"/>
      <c r="C82" s="206"/>
      <c r="D82" s="206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363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5E6-B7CA-4644-942F-786F89D71F31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366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18" t="s">
        <v>17</v>
      </c>
      <c r="L5" s="218" t="s">
        <v>18</v>
      </c>
      <c r="M5" s="218" t="s">
        <v>19</v>
      </c>
      <c r="N5" s="2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5060</v>
      </c>
      <c r="K6" s="15">
        <f>L6+21540+35325</f>
        <v>61925</v>
      </c>
      <c r="L6" s="15">
        <f>1012*5</f>
        <v>5060</v>
      </c>
      <c r="M6" s="15">
        <f t="shared" ref="M6:M23" si="0">L6-N6</f>
        <v>5060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6</v>
      </c>
      <c r="Q6" s="40">
        <f t="shared" ref="Q6:Q23" si="3">SUM(R6:AA6)</f>
        <v>18</v>
      </c>
      <c r="R6" s="7"/>
      <c r="S6" s="6">
        <v>18</v>
      </c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0.25</v>
      </c>
      <c r="AD6" s="10">
        <f t="shared" ref="AD6:AD23" si="6">AC6*AB6*(1-O6)</f>
        <v>0.25</v>
      </c>
      <c r="AE6" s="36">
        <f t="shared" ref="AE6:AE23" si="7">$AD$24</f>
        <v>0.3217592592592593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670</v>
      </c>
      <c r="K7" s="15">
        <f>L7</f>
        <v>670</v>
      </c>
      <c r="L7" s="15">
        <v>670</v>
      </c>
      <c r="M7" s="15">
        <f t="shared" si="0"/>
        <v>670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>
        <v>20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0.3217592592592593</v>
      </c>
      <c r="AF7" s="84">
        <f t="shared" si="8"/>
        <v>2</v>
      </c>
    </row>
    <row r="8" spans="1:32" ht="27" customHeight="1">
      <c r="A8" s="113">
        <v>2</v>
      </c>
      <c r="B8" s="11" t="s">
        <v>57</v>
      </c>
      <c r="C8" s="34" t="s">
        <v>120</v>
      </c>
      <c r="D8" s="52" t="s">
        <v>143</v>
      </c>
      <c r="E8" s="53" t="s">
        <v>365</v>
      </c>
      <c r="F8" s="12" t="s">
        <v>136</v>
      </c>
      <c r="G8" s="12">
        <v>1</v>
      </c>
      <c r="H8" s="13">
        <v>24</v>
      </c>
      <c r="I8" s="31">
        <v>520</v>
      </c>
      <c r="J8" s="14">
        <v>857</v>
      </c>
      <c r="K8" s="15">
        <f>L8</f>
        <v>857</v>
      </c>
      <c r="L8" s="15">
        <v>857</v>
      </c>
      <c r="M8" s="15">
        <f t="shared" ref="M8" si="9">L8-N8</f>
        <v>857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5</v>
      </c>
      <c r="Q8" s="40">
        <f t="shared" ref="Q8" si="12">SUM(R8:AA8)</f>
        <v>19</v>
      </c>
      <c r="R8" s="7"/>
      <c r="S8" s="6"/>
      <c r="T8" s="16"/>
      <c r="U8" s="16"/>
      <c r="V8" s="17">
        <v>19</v>
      </c>
      <c r="W8" s="5"/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0.20833333333333334</v>
      </c>
      <c r="AD8" s="10">
        <f t="shared" ref="AD8" si="15">AC8*AB8*(1-O8)</f>
        <v>0.20833333333333334</v>
      </c>
      <c r="AE8" s="36">
        <f t="shared" si="7"/>
        <v>0.3217592592592593</v>
      </c>
      <c r="AF8" s="84">
        <f t="shared" ref="AF8" si="16">A8</f>
        <v>2</v>
      </c>
    </row>
    <row r="9" spans="1:32" ht="27" customHeight="1">
      <c r="A9" s="95">
        <v>3</v>
      </c>
      <c r="B9" s="11" t="s">
        <v>57</v>
      </c>
      <c r="C9" s="11" t="s">
        <v>112</v>
      </c>
      <c r="D9" s="52" t="s">
        <v>115</v>
      </c>
      <c r="E9" s="53" t="s">
        <v>247</v>
      </c>
      <c r="F9" s="30" t="s">
        <v>124</v>
      </c>
      <c r="G9" s="33">
        <v>1</v>
      </c>
      <c r="H9" s="35">
        <v>24</v>
      </c>
      <c r="I9" s="7">
        <v>100000</v>
      </c>
      <c r="J9" s="14">
        <v>4891</v>
      </c>
      <c r="K9" s="15">
        <f>L9+4389+4644+4956+4921+4171+5168</f>
        <v>33140</v>
      </c>
      <c r="L9" s="15">
        <f>2070+2821</f>
        <v>4891</v>
      </c>
      <c r="M9" s="15">
        <f t="shared" si="0"/>
        <v>4891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0.3217592592592593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265</v>
      </c>
      <c r="E10" s="53" t="s">
        <v>273</v>
      </c>
      <c r="F10" s="30" t="s">
        <v>234</v>
      </c>
      <c r="G10" s="33">
        <v>1</v>
      </c>
      <c r="H10" s="35">
        <v>24</v>
      </c>
      <c r="I10" s="7">
        <v>140000</v>
      </c>
      <c r="J10" s="14">
        <v>4307</v>
      </c>
      <c r="K10" s="15">
        <f>L10</f>
        <v>4307</v>
      </c>
      <c r="L10" s="15">
        <f>2792+1515</f>
        <v>4307</v>
      </c>
      <c r="M10" s="15">
        <f t="shared" si="0"/>
        <v>4307</v>
      </c>
      <c r="N10" s="15">
        <v>0</v>
      </c>
      <c r="O10" s="58">
        <f t="shared" si="1"/>
        <v>0</v>
      </c>
      <c r="P10" s="39">
        <f t="shared" si="2"/>
        <v>21</v>
      </c>
      <c r="Q10" s="40">
        <f t="shared" si="3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6">
        <f t="shared" si="7"/>
        <v>0.3217592592592593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34" t="s">
        <v>112</v>
      </c>
      <c r="D11" s="52" t="s">
        <v>360</v>
      </c>
      <c r="E11" s="53" t="s">
        <v>359</v>
      </c>
      <c r="F11" s="30" t="s">
        <v>337</v>
      </c>
      <c r="G11" s="33">
        <v>1</v>
      </c>
      <c r="H11" s="35">
        <v>24</v>
      </c>
      <c r="I11" s="7">
        <v>2000</v>
      </c>
      <c r="J11" s="5">
        <v>2211</v>
      </c>
      <c r="K11" s="15">
        <f>L11</f>
        <v>2211</v>
      </c>
      <c r="L11" s="15">
        <f>1603+608</f>
        <v>2211</v>
      </c>
      <c r="M11" s="15">
        <f t="shared" si="0"/>
        <v>2211</v>
      </c>
      <c r="N11" s="15">
        <v>0</v>
      </c>
      <c r="O11" s="58">
        <f t="shared" si="1"/>
        <v>0</v>
      </c>
      <c r="P11" s="39">
        <f t="shared" si="2"/>
        <v>11</v>
      </c>
      <c r="Q11" s="40">
        <f t="shared" si="3"/>
        <v>13</v>
      </c>
      <c r="R11" s="7"/>
      <c r="S11" s="6">
        <v>13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0.45833333333333331</v>
      </c>
      <c r="AD11" s="10">
        <f>AC11*AB11*(1-O11)</f>
        <v>0.45833333333333331</v>
      </c>
      <c r="AE11" s="36">
        <f t="shared" si="7"/>
        <v>0.3217592592592593</v>
      </c>
      <c r="AF11" s="84">
        <f t="shared" si="8"/>
        <v>5</v>
      </c>
    </row>
    <row r="12" spans="1:32" ht="30" customHeight="1">
      <c r="A12" s="96">
        <v>6</v>
      </c>
      <c r="B12" s="11" t="s">
        <v>57</v>
      </c>
      <c r="C12" s="34" t="s">
        <v>120</v>
      </c>
      <c r="D12" s="52" t="s">
        <v>127</v>
      </c>
      <c r="E12" s="53" t="s">
        <v>283</v>
      </c>
      <c r="F12" s="30" t="s">
        <v>149</v>
      </c>
      <c r="G12" s="12">
        <v>1</v>
      </c>
      <c r="H12" s="13">
        <v>28</v>
      </c>
      <c r="I12" s="7">
        <v>70000</v>
      </c>
      <c r="J12" s="14">
        <v>932</v>
      </c>
      <c r="K12" s="15">
        <f>L12+4643</f>
        <v>5575</v>
      </c>
      <c r="L12" s="15">
        <f>932</f>
        <v>932</v>
      </c>
      <c r="M12" s="15">
        <f t="shared" si="0"/>
        <v>932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/>
      <c r="T12" s="16"/>
      <c r="U12" s="16"/>
      <c r="V12" s="17">
        <v>19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ref="AD12:AD16" si="17">AC12*AB12*(1-O12)</f>
        <v>0.20833333333333334</v>
      </c>
      <c r="AE12" s="36">
        <f t="shared" si="7"/>
        <v>0.3217592592592593</v>
      </c>
      <c r="AF12" s="84">
        <f t="shared" si="8"/>
        <v>6</v>
      </c>
    </row>
    <row r="13" spans="1:32" ht="30" customHeight="1">
      <c r="A13" s="96">
        <v>6</v>
      </c>
      <c r="B13" s="11" t="s">
        <v>57</v>
      </c>
      <c r="C13" s="34" t="s">
        <v>120</v>
      </c>
      <c r="D13" s="52" t="s">
        <v>126</v>
      </c>
      <c r="E13" s="53" t="s">
        <v>303</v>
      </c>
      <c r="F13" s="30" t="s">
        <v>292</v>
      </c>
      <c r="G13" s="12">
        <v>1</v>
      </c>
      <c r="H13" s="13">
        <v>28</v>
      </c>
      <c r="I13" s="7">
        <v>140000</v>
      </c>
      <c r="J13" s="14">
        <v>800</v>
      </c>
      <c r="K13" s="15">
        <f>L13</f>
        <v>800</v>
      </c>
      <c r="L13" s="15">
        <v>800</v>
      </c>
      <c r="M13" s="15">
        <f t="shared" ref="M13" si="18">L13-N13</f>
        <v>800</v>
      </c>
      <c r="N13" s="15">
        <v>0</v>
      </c>
      <c r="O13" s="58">
        <f t="shared" ref="O13" si="19">IF(L13=0,"0",N13/L13)</f>
        <v>0</v>
      </c>
      <c r="P13" s="39">
        <f t="shared" ref="P13" si="20">IF(L13=0,"0",(24-Q13))</f>
        <v>5</v>
      </c>
      <c r="Q13" s="40">
        <f t="shared" ref="Q13" si="21">SUM(R13:AA13)</f>
        <v>19</v>
      </c>
      <c r="R13" s="7"/>
      <c r="S13" s="6"/>
      <c r="T13" s="16"/>
      <c r="U13" s="16"/>
      <c r="V13" s="17">
        <v>19</v>
      </c>
      <c r="W13" s="5"/>
      <c r="X13" s="16"/>
      <c r="Y13" s="16"/>
      <c r="Z13" s="16"/>
      <c r="AA13" s="18"/>
      <c r="AB13" s="8">
        <f t="shared" ref="AB13" si="22">IF(J13=0,"0",(L13/J13))</f>
        <v>1</v>
      </c>
      <c r="AC13" s="9">
        <f t="shared" ref="AC13" si="23">IF(P13=0,"0",(P13/24))</f>
        <v>0.20833333333333334</v>
      </c>
      <c r="AD13" s="10">
        <f t="shared" ref="AD13" si="24">AC13*AB13*(1-O13)</f>
        <v>0.20833333333333334</v>
      </c>
      <c r="AE13" s="36">
        <f t="shared" si="7"/>
        <v>0.3217592592592593</v>
      </c>
      <c r="AF13" s="84">
        <f t="shared" ref="AF13" si="25">A13</f>
        <v>6</v>
      </c>
    </row>
    <row r="14" spans="1:32" ht="27" customHeight="1">
      <c r="A14" s="96">
        <v>7</v>
      </c>
      <c r="B14" s="11" t="s">
        <v>57</v>
      </c>
      <c r="C14" s="11" t="s">
        <v>112</v>
      </c>
      <c r="D14" s="52" t="s">
        <v>115</v>
      </c>
      <c r="E14" s="53" t="s">
        <v>116</v>
      </c>
      <c r="F14" s="30" t="s">
        <v>119</v>
      </c>
      <c r="G14" s="33">
        <v>1</v>
      </c>
      <c r="H14" s="35">
        <v>24</v>
      </c>
      <c r="I14" s="7">
        <v>38000</v>
      </c>
      <c r="J14" s="14">
        <v>4459</v>
      </c>
      <c r="K14" s="15">
        <f>L14+1126+4135+4723+4686</f>
        <v>19129</v>
      </c>
      <c r="L14" s="15">
        <f>1990+2469</f>
        <v>4459</v>
      </c>
      <c r="M14" s="15">
        <f t="shared" si="0"/>
        <v>4459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17"/>
        <v>1</v>
      </c>
      <c r="AE14" s="36">
        <f t="shared" si="7"/>
        <v>0.3217592592592593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115</v>
      </c>
      <c r="E15" s="53" t="s">
        <v>158</v>
      </c>
      <c r="F15" s="30" t="s">
        <v>125</v>
      </c>
      <c r="G15" s="33">
        <v>3</v>
      </c>
      <c r="H15" s="35">
        <v>24</v>
      </c>
      <c r="I15" s="7">
        <v>500000</v>
      </c>
      <c r="J15" s="5">
        <v>16449</v>
      </c>
      <c r="K15" s="15">
        <f>L15+12212+20232+16256+9762+15771+11739+16704+16779+14433+15558+10107+21780+11559+16257+16449</f>
        <v>225598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>AC15*AB15*(1-O15)</f>
        <v>0</v>
      </c>
      <c r="AE15" s="36">
        <f t="shared" si="7"/>
        <v>0.3217592592592593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146</v>
      </c>
      <c r="F16" s="30" t="s">
        <v>150</v>
      </c>
      <c r="G16" s="33">
        <v>1</v>
      </c>
      <c r="H16" s="35">
        <v>24</v>
      </c>
      <c r="I16" s="7">
        <v>300</v>
      </c>
      <c r="J16" s="5">
        <v>339</v>
      </c>
      <c r="K16" s="15">
        <f>L16+339</f>
        <v>339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17"/>
        <v>0</v>
      </c>
      <c r="AE16" s="36">
        <f t="shared" si="7"/>
        <v>0.3217592592592593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293</v>
      </c>
      <c r="D17" s="52"/>
      <c r="E17" s="53" t="s">
        <v>173</v>
      </c>
      <c r="F17" s="12" t="s">
        <v>165</v>
      </c>
      <c r="G17" s="12">
        <v>8</v>
      </c>
      <c r="H17" s="13">
        <v>24</v>
      </c>
      <c r="I17" s="31">
        <v>40000</v>
      </c>
      <c r="J17" s="14">
        <v>16545</v>
      </c>
      <c r="K17" s="15">
        <f>L17+33605+16545</f>
        <v>50150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0.3217592592592593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121</v>
      </c>
      <c r="D18" s="52" t="s">
        <v>127</v>
      </c>
      <c r="E18" s="53" t="s">
        <v>316</v>
      </c>
      <c r="F18" s="30" t="s">
        <v>323</v>
      </c>
      <c r="G18" s="12">
        <v>4</v>
      </c>
      <c r="H18" s="13">
        <v>24</v>
      </c>
      <c r="I18" s="7">
        <v>80000</v>
      </c>
      <c r="J18" s="14">
        <v>18660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0.3217592592592593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121</v>
      </c>
      <c r="D19" s="52" t="s">
        <v>127</v>
      </c>
      <c r="E19" s="53" t="s">
        <v>316</v>
      </c>
      <c r="F19" s="30" t="s">
        <v>323</v>
      </c>
      <c r="G19" s="12">
        <v>4</v>
      </c>
      <c r="H19" s="13">
        <v>24</v>
      </c>
      <c r="I19" s="7">
        <v>80000</v>
      </c>
      <c r="J19" s="14">
        <v>10492</v>
      </c>
      <c r="K19" s="15">
        <f>L19+18660+21236+10492</f>
        <v>50388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>
        <v>24</v>
      </c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0.3217592592592593</v>
      </c>
      <c r="AF19" s="84">
        <f t="shared" si="8"/>
        <v>12</v>
      </c>
    </row>
    <row r="20" spans="1:32" ht="27" customHeight="1">
      <c r="A20" s="113">
        <v>13</v>
      </c>
      <c r="B20" s="11" t="s">
        <v>57</v>
      </c>
      <c r="C20" s="34" t="s">
        <v>120</v>
      </c>
      <c r="D20" s="52" t="s">
        <v>115</v>
      </c>
      <c r="E20" s="53" t="s">
        <v>294</v>
      </c>
      <c r="F20" s="30" t="s">
        <v>292</v>
      </c>
      <c r="G20" s="12">
        <v>1</v>
      </c>
      <c r="H20" s="13">
        <v>28</v>
      </c>
      <c r="I20" s="31">
        <v>140000</v>
      </c>
      <c r="J20" s="5">
        <v>255</v>
      </c>
      <c r="K20" s="15">
        <f>L20+2641</f>
        <v>2896</v>
      </c>
      <c r="L20" s="15">
        <v>255</v>
      </c>
      <c r="M20" s="15">
        <f t="shared" si="0"/>
        <v>255</v>
      </c>
      <c r="N20" s="15">
        <v>0</v>
      </c>
      <c r="O20" s="58">
        <f t="shared" si="1"/>
        <v>0</v>
      </c>
      <c r="P20" s="39">
        <f t="shared" si="2"/>
        <v>3</v>
      </c>
      <c r="Q20" s="40">
        <f t="shared" si="3"/>
        <v>21</v>
      </c>
      <c r="R20" s="7"/>
      <c r="S20" s="6">
        <v>21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0.125</v>
      </c>
      <c r="AD20" s="10">
        <f t="shared" si="6"/>
        <v>0.125</v>
      </c>
      <c r="AE20" s="36">
        <f t="shared" si="7"/>
        <v>0.3217592592592593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112</v>
      </c>
      <c r="D21" s="52" t="s">
        <v>155</v>
      </c>
      <c r="E21" s="53" t="s">
        <v>280</v>
      </c>
      <c r="F21" s="30" t="s">
        <v>124</v>
      </c>
      <c r="G21" s="33">
        <v>1</v>
      </c>
      <c r="H21" s="35">
        <v>24</v>
      </c>
      <c r="I21" s="7">
        <v>40000</v>
      </c>
      <c r="J21" s="5">
        <v>1215</v>
      </c>
      <c r="K21" s="15">
        <f>L21+1964+2699</f>
        <v>5878</v>
      </c>
      <c r="L21" s="15">
        <f>211+1004</f>
        <v>1215</v>
      </c>
      <c r="M21" s="15">
        <f t="shared" si="0"/>
        <v>1215</v>
      </c>
      <c r="N21" s="15">
        <v>0</v>
      </c>
      <c r="O21" s="58">
        <f t="shared" si="1"/>
        <v>0</v>
      </c>
      <c r="P21" s="39">
        <f t="shared" si="2"/>
        <v>7</v>
      </c>
      <c r="Q21" s="40">
        <f t="shared" si="3"/>
        <v>17</v>
      </c>
      <c r="R21" s="7"/>
      <c r="S21" s="6">
        <v>17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0.29166666666666669</v>
      </c>
      <c r="AD21" s="10">
        <f>AC21*AB21*(1-O21)</f>
        <v>0.29166666666666669</v>
      </c>
      <c r="AE21" s="36">
        <f t="shared" si="7"/>
        <v>0.3217592592592593</v>
      </c>
      <c r="AF21" s="84">
        <f t="shared" si="8"/>
        <v>14</v>
      </c>
    </row>
    <row r="22" spans="1:32" ht="27" customHeight="1">
      <c r="A22" s="96">
        <v>15</v>
      </c>
      <c r="B22" s="11" t="s">
        <v>57</v>
      </c>
      <c r="C22" s="11" t="s">
        <v>120</v>
      </c>
      <c r="D22" s="52" t="s">
        <v>115</v>
      </c>
      <c r="E22" s="53" t="s">
        <v>358</v>
      </c>
      <c r="F22" s="30" t="s">
        <v>150</v>
      </c>
      <c r="G22" s="33">
        <v>1</v>
      </c>
      <c r="H22" s="35">
        <v>24</v>
      </c>
      <c r="I22" s="7">
        <v>1000</v>
      </c>
      <c r="J22" s="14">
        <v>1490</v>
      </c>
      <c r="K22" s="15">
        <f>L22</f>
        <v>1490</v>
      </c>
      <c r="L22" s="15">
        <v>1490</v>
      </c>
      <c r="M22" s="15">
        <f t="shared" si="0"/>
        <v>1490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>
        <v>14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7"/>
        <v>0.3217592592592593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162</v>
      </c>
      <c r="F23" s="12" t="s">
        <v>114</v>
      </c>
      <c r="G23" s="12">
        <v>4</v>
      </c>
      <c r="H23" s="35">
        <v>20</v>
      </c>
      <c r="I23" s="7">
        <v>500000</v>
      </c>
      <c r="J23" s="14">
        <v>46640</v>
      </c>
      <c r="K23" s="15">
        <f>L23+16808+39112+38440+39748+31140+68844+45656+37140+73976+32892+39440+37868+39596+38388+34736+36544+66564+43260</f>
        <v>806792</v>
      </c>
      <c r="L23" s="15">
        <f>8703*4+2957*4</f>
        <v>46640</v>
      </c>
      <c r="M23" s="15">
        <f t="shared" si="0"/>
        <v>46640</v>
      </c>
      <c r="N23" s="15">
        <v>0</v>
      </c>
      <c r="O23" s="58">
        <f t="shared" si="1"/>
        <v>0</v>
      </c>
      <c r="P23" s="39">
        <f t="shared" si="2"/>
        <v>14</v>
      </c>
      <c r="Q23" s="40">
        <f t="shared" si="3"/>
        <v>10</v>
      </c>
      <c r="R23" s="7"/>
      <c r="S23" s="6"/>
      <c r="T23" s="16"/>
      <c r="U23" s="16"/>
      <c r="V23" s="17">
        <v>10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0.58333333333333337</v>
      </c>
      <c r="AD23" s="10">
        <f t="shared" si="6"/>
        <v>0.58333333333333337</v>
      </c>
      <c r="AE23" s="36">
        <f t="shared" si="7"/>
        <v>0.3217592592592593</v>
      </c>
      <c r="AF23" s="84">
        <f t="shared" si="8"/>
        <v>16</v>
      </c>
    </row>
    <row r="24" spans="1:32" ht="31.5" customHeight="1" thickBot="1">
      <c r="A24" s="424" t="s">
        <v>34</v>
      </c>
      <c r="B24" s="425"/>
      <c r="C24" s="425"/>
      <c r="D24" s="425"/>
      <c r="E24" s="425"/>
      <c r="F24" s="425"/>
      <c r="G24" s="425"/>
      <c r="H24" s="426"/>
      <c r="I24" s="22">
        <f t="shared" ref="I24:N24" si="26">SUM(I6:I23)</f>
        <v>2211820</v>
      </c>
      <c r="J24" s="19">
        <f t="shared" si="26"/>
        <v>136272</v>
      </c>
      <c r="K24" s="20">
        <f t="shared" si="26"/>
        <v>1272145</v>
      </c>
      <c r="L24" s="21">
        <f t="shared" si="26"/>
        <v>73787</v>
      </c>
      <c r="M24" s="20">
        <f t="shared" si="26"/>
        <v>73787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139</v>
      </c>
      <c r="Q24" s="43">
        <f t="shared" si="27"/>
        <v>293</v>
      </c>
      <c r="R24" s="23">
        <f t="shared" si="27"/>
        <v>24</v>
      </c>
      <c r="S24" s="24">
        <f t="shared" si="27"/>
        <v>110</v>
      </c>
      <c r="T24" s="24">
        <f t="shared" si="27"/>
        <v>0</v>
      </c>
      <c r="U24" s="24">
        <f t="shared" si="27"/>
        <v>0</v>
      </c>
      <c r="V24" s="25">
        <f t="shared" si="27"/>
        <v>111</v>
      </c>
      <c r="W24" s="26">
        <f t="shared" si="27"/>
        <v>0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48</v>
      </c>
      <c r="AB24" s="28">
        <f>AVERAGE(AB6:AB23)</f>
        <v>0.72222222222222221</v>
      </c>
      <c r="AC24" s="4">
        <f>AVERAGE(AC6:AC23)</f>
        <v>0.3217592592592593</v>
      </c>
      <c r="AD24" s="4">
        <f>AVERAGE(AD6:AD23)</f>
        <v>0.3217592592592593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27" t="s">
        <v>45</v>
      </c>
      <c r="B51" s="427"/>
      <c r="C51" s="427"/>
      <c r="D51" s="427"/>
      <c r="E51" s="42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28" t="s">
        <v>367</v>
      </c>
      <c r="B52" s="429"/>
      <c r="C52" s="429"/>
      <c r="D52" s="429"/>
      <c r="E52" s="429"/>
      <c r="F52" s="429"/>
      <c r="G52" s="429"/>
      <c r="H52" s="429"/>
      <c r="I52" s="429"/>
      <c r="J52" s="429"/>
      <c r="K52" s="429"/>
      <c r="L52" s="429"/>
      <c r="M52" s="430"/>
      <c r="N52" s="431" t="s">
        <v>371</v>
      </c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  <c r="AA52" s="432"/>
      <c r="AB52" s="432"/>
      <c r="AC52" s="432"/>
      <c r="AD52" s="433"/>
    </row>
    <row r="53" spans="1:32" ht="27" customHeight="1">
      <c r="A53" s="434" t="s">
        <v>2</v>
      </c>
      <c r="B53" s="435"/>
      <c r="C53" s="219" t="s">
        <v>46</v>
      </c>
      <c r="D53" s="219" t="s">
        <v>47</v>
      </c>
      <c r="E53" s="219" t="s">
        <v>107</v>
      </c>
      <c r="F53" s="436" t="s">
        <v>106</v>
      </c>
      <c r="G53" s="437"/>
      <c r="H53" s="437"/>
      <c r="I53" s="437"/>
      <c r="J53" s="437"/>
      <c r="K53" s="437"/>
      <c r="L53" s="437"/>
      <c r="M53" s="438"/>
      <c r="N53" s="67" t="s">
        <v>110</v>
      </c>
      <c r="O53" s="219" t="s">
        <v>46</v>
      </c>
      <c r="P53" s="436" t="s">
        <v>47</v>
      </c>
      <c r="Q53" s="439"/>
      <c r="R53" s="436" t="s">
        <v>38</v>
      </c>
      <c r="S53" s="437"/>
      <c r="T53" s="437"/>
      <c r="U53" s="439"/>
      <c r="V53" s="436" t="s">
        <v>48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50" t="s">
        <v>121</v>
      </c>
      <c r="B54" s="451"/>
      <c r="C54" s="221" t="s">
        <v>145</v>
      </c>
      <c r="D54" s="221"/>
      <c r="E54" s="221" t="s">
        <v>330</v>
      </c>
      <c r="F54" s="452" t="s">
        <v>325</v>
      </c>
      <c r="G54" s="453"/>
      <c r="H54" s="453"/>
      <c r="I54" s="453"/>
      <c r="J54" s="453"/>
      <c r="K54" s="453"/>
      <c r="L54" s="453"/>
      <c r="M54" s="454"/>
      <c r="N54" s="220" t="s">
        <v>121</v>
      </c>
      <c r="O54" s="226" t="s">
        <v>145</v>
      </c>
      <c r="P54" s="455"/>
      <c r="Q54" s="456"/>
      <c r="R54" s="455" t="s">
        <v>330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221" t="s">
        <v>131</v>
      </c>
      <c r="D55" s="221" t="s">
        <v>143</v>
      </c>
      <c r="E55" s="221" t="s">
        <v>170</v>
      </c>
      <c r="F55" s="452" t="s">
        <v>118</v>
      </c>
      <c r="G55" s="453"/>
      <c r="H55" s="453"/>
      <c r="I55" s="453"/>
      <c r="J55" s="453"/>
      <c r="K55" s="453"/>
      <c r="L55" s="453"/>
      <c r="M55" s="454"/>
      <c r="N55" s="220" t="s">
        <v>112</v>
      </c>
      <c r="O55" s="226" t="s">
        <v>215</v>
      </c>
      <c r="P55" s="455" t="s">
        <v>155</v>
      </c>
      <c r="Q55" s="456"/>
      <c r="R55" s="455" t="s">
        <v>280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221" t="s">
        <v>131</v>
      </c>
      <c r="D56" s="221" t="s">
        <v>143</v>
      </c>
      <c r="E56" s="221" t="s">
        <v>365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220" t="s">
        <v>112</v>
      </c>
      <c r="O56" s="226" t="s">
        <v>151</v>
      </c>
      <c r="P56" s="455" t="s">
        <v>360</v>
      </c>
      <c r="Q56" s="456"/>
      <c r="R56" s="455" t="s">
        <v>359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112</v>
      </c>
      <c r="B57" s="451"/>
      <c r="C57" s="221" t="s">
        <v>215</v>
      </c>
      <c r="D57" s="221" t="s">
        <v>155</v>
      </c>
      <c r="E57" s="221" t="s">
        <v>280</v>
      </c>
      <c r="F57" s="452" t="s">
        <v>356</v>
      </c>
      <c r="G57" s="453"/>
      <c r="H57" s="453"/>
      <c r="I57" s="453"/>
      <c r="J57" s="453"/>
      <c r="K57" s="453"/>
      <c r="L57" s="453"/>
      <c r="M57" s="454"/>
      <c r="N57" s="220" t="s">
        <v>121</v>
      </c>
      <c r="O57" s="226" t="s">
        <v>240</v>
      </c>
      <c r="P57" s="455" t="s">
        <v>115</v>
      </c>
      <c r="Q57" s="456"/>
      <c r="R57" s="455" t="s">
        <v>372</v>
      </c>
      <c r="S57" s="457"/>
      <c r="T57" s="457"/>
      <c r="U57" s="456"/>
      <c r="V57" s="458" t="s">
        <v>139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120</v>
      </c>
      <c r="B58" s="451"/>
      <c r="C58" s="221" t="s">
        <v>135</v>
      </c>
      <c r="D58" s="221" t="s">
        <v>265</v>
      </c>
      <c r="E58" s="221" t="s">
        <v>273</v>
      </c>
      <c r="F58" s="452" t="s">
        <v>368</v>
      </c>
      <c r="G58" s="453"/>
      <c r="H58" s="453"/>
      <c r="I58" s="453"/>
      <c r="J58" s="453"/>
      <c r="K58" s="453"/>
      <c r="L58" s="453"/>
      <c r="M58" s="454"/>
      <c r="N58" s="220" t="s">
        <v>120</v>
      </c>
      <c r="O58" s="226" t="s">
        <v>138</v>
      </c>
      <c r="P58" s="455" t="s">
        <v>115</v>
      </c>
      <c r="Q58" s="456"/>
      <c r="R58" s="455" t="s">
        <v>201</v>
      </c>
      <c r="S58" s="457"/>
      <c r="T58" s="457"/>
      <c r="U58" s="456"/>
      <c r="V58" s="458" t="s">
        <v>118</v>
      </c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112</v>
      </c>
      <c r="B59" s="451"/>
      <c r="C59" s="221" t="s">
        <v>151</v>
      </c>
      <c r="D59" s="221" t="s">
        <v>360</v>
      </c>
      <c r="E59" s="221" t="s">
        <v>359</v>
      </c>
      <c r="F59" s="452" t="s">
        <v>369</v>
      </c>
      <c r="G59" s="453"/>
      <c r="H59" s="453"/>
      <c r="I59" s="453"/>
      <c r="J59" s="453"/>
      <c r="K59" s="453"/>
      <c r="L59" s="453"/>
      <c r="M59" s="454"/>
      <c r="N59" s="220"/>
      <c r="O59" s="226"/>
      <c r="P59" s="455"/>
      <c r="Q59" s="456"/>
      <c r="R59" s="455"/>
      <c r="S59" s="457"/>
      <c r="T59" s="457"/>
      <c r="U59" s="456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 t="s">
        <v>120</v>
      </c>
      <c r="B60" s="451"/>
      <c r="C60" s="221" t="s">
        <v>157</v>
      </c>
      <c r="D60" s="221" t="s">
        <v>126</v>
      </c>
      <c r="E60" s="221" t="s">
        <v>303</v>
      </c>
      <c r="F60" s="452" t="s">
        <v>118</v>
      </c>
      <c r="G60" s="453"/>
      <c r="H60" s="453"/>
      <c r="I60" s="453"/>
      <c r="J60" s="453"/>
      <c r="K60" s="453"/>
      <c r="L60" s="453"/>
      <c r="M60" s="454"/>
      <c r="N60" s="220"/>
      <c r="O60" s="226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 t="s">
        <v>120</v>
      </c>
      <c r="B61" s="451"/>
      <c r="C61" s="221" t="s">
        <v>193</v>
      </c>
      <c r="D61" s="221" t="s">
        <v>115</v>
      </c>
      <c r="E61" s="221" t="s">
        <v>358</v>
      </c>
      <c r="F61" s="452" t="s">
        <v>370</v>
      </c>
      <c r="G61" s="453"/>
      <c r="H61" s="453"/>
      <c r="I61" s="453"/>
      <c r="J61" s="453"/>
      <c r="K61" s="453"/>
      <c r="L61" s="453"/>
      <c r="M61" s="454"/>
      <c r="N61" s="220"/>
      <c r="O61" s="226"/>
      <c r="P61" s="455"/>
      <c r="Q61" s="456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</row>
    <row r="62" spans="1:32" ht="27" customHeight="1">
      <c r="A62" s="450"/>
      <c r="B62" s="451"/>
      <c r="C62" s="221"/>
      <c r="D62" s="221"/>
      <c r="E62" s="221"/>
      <c r="F62" s="452"/>
      <c r="G62" s="453"/>
      <c r="H62" s="453"/>
      <c r="I62" s="453"/>
      <c r="J62" s="453"/>
      <c r="K62" s="453"/>
      <c r="L62" s="453"/>
      <c r="M62" s="454"/>
      <c r="N62" s="220"/>
      <c r="O62" s="226"/>
      <c r="P62" s="451"/>
      <c r="Q62" s="451"/>
      <c r="R62" s="451"/>
      <c r="S62" s="451"/>
      <c r="T62" s="451"/>
      <c r="U62" s="451"/>
      <c r="V62" s="458"/>
      <c r="W62" s="458"/>
      <c r="X62" s="458"/>
      <c r="Y62" s="458"/>
      <c r="Z62" s="458"/>
      <c r="AA62" s="458"/>
      <c r="AB62" s="458"/>
      <c r="AC62" s="458"/>
      <c r="AD62" s="459"/>
      <c r="AF62" s="84">
        <f>8*3000</f>
        <v>24000</v>
      </c>
    </row>
    <row r="63" spans="1:32" ht="27" customHeight="1" thickBot="1">
      <c r="A63" s="460"/>
      <c r="B63" s="461"/>
      <c r="C63" s="222"/>
      <c r="D63" s="223"/>
      <c r="E63" s="223"/>
      <c r="F63" s="462"/>
      <c r="G63" s="463"/>
      <c r="H63" s="463"/>
      <c r="I63" s="463"/>
      <c r="J63" s="463"/>
      <c r="K63" s="463"/>
      <c r="L63" s="463"/>
      <c r="M63" s="464"/>
      <c r="N63" s="112"/>
      <c r="O63" s="103"/>
      <c r="P63" s="465"/>
      <c r="Q63" s="465"/>
      <c r="R63" s="465"/>
      <c r="S63" s="465"/>
      <c r="T63" s="465"/>
      <c r="U63" s="465"/>
      <c r="V63" s="466"/>
      <c r="W63" s="466"/>
      <c r="X63" s="466"/>
      <c r="Y63" s="466"/>
      <c r="Z63" s="466"/>
      <c r="AA63" s="466"/>
      <c r="AB63" s="466"/>
      <c r="AC63" s="466"/>
      <c r="AD63" s="467"/>
      <c r="AF63" s="84">
        <f>16*3000</f>
        <v>48000</v>
      </c>
    </row>
    <row r="64" spans="1:32" ht="27.75" thickBot="1">
      <c r="A64" s="468" t="s">
        <v>373</v>
      </c>
      <c r="B64" s="468"/>
      <c r="C64" s="468"/>
      <c r="D64" s="468"/>
      <c r="E64" s="468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69" t="s">
        <v>111</v>
      </c>
      <c r="B65" s="470"/>
      <c r="C65" s="224" t="s">
        <v>2</v>
      </c>
      <c r="D65" s="224" t="s">
        <v>37</v>
      </c>
      <c r="E65" s="224" t="s">
        <v>3</v>
      </c>
      <c r="F65" s="470" t="s">
        <v>109</v>
      </c>
      <c r="G65" s="470"/>
      <c r="H65" s="470"/>
      <c r="I65" s="470"/>
      <c r="J65" s="470"/>
      <c r="K65" s="470" t="s">
        <v>39</v>
      </c>
      <c r="L65" s="470"/>
      <c r="M65" s="224" t="s">
        <v>40</v>
      </c>
      <c r="N65" s="470" t="s">
        <v>41</v>
      </c>
      <c r="O65" s="470"/>
      <c r="P65" s="471" t="s">
        <v>42</v>
      </c>
      <c r="Q65" s="472"/>
      <c r="R65" s="471" t="s">
        <v>43</v>
      </c>
      <c r="S65" s="473"/>
      <c r="T65" s="473"/>
      <c r="U65" s="473"/>
      <c r="V65" s="473"/>
      <c r="W65" s="473"/>
      <c r="X65" s="473"/>
      <c r="Y65" s="473"/>
      <c r="Z65" s="473"/>
      <c r="AA65" s="472"/>
      <c r="AB65" s="470" t="s">
        <v>44</v>
      </c>
      <c r="AC65" s="470"/>
      <c r="AD65" s="474"/>
      <c r="AF65" s="84">
        <f>SUM(AF62:AF64)</f>
        <v>96000</v>
      </c>
    </row>
    <row r="66" spans="1:32" ht="25.5" customHeight="1">
      <c r="A66" s="475">
        <v>1</v>
      </c>
      <c r="B66" s="476"/>
      <c r="C66" s="105" t="s">
        <v>120</v>
      </c>
      <c r="D66" s="228"/>
      <c r="E66" s="225" t="s">
        <v>143</v>
      </c>
      <c r="F66" s="477" t="s">
        <v>170</v>
      </c>
      <c r="G66" s="478"/>
      <c r="H66" s="478"/>
      <c r="I66" s="478"/>
      <c r="J66" s="479"/>
      <c r="K66" s="480" t="s">
        <v>364</v>
      </c>
      <c r="L66" s="480"/>
      <c r="M66" s="51" t="s">
        <v>147</v>
      </c>
      <c r="N66" s="481" t="s">
        <v>131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3"/>
      <c r="AC66" s="484"/>
      <c r="AD66" s="485"/>
      <c r="AF66" s="50"/>
    </row>
    <row r="67" spans="1:32" ht="25.5" customHeight="1">
      <c r="A67" s="475">
        <v>2</v>
      </c>
      <c r="B67" s="476"/>
      <c r="C67" s="105" t="s">
        <v>120</v>
      </c>
      <c r="D67" s="228"/>
      <c r="E67" s="225" t="s">
        <v>126</v>
      </c>
      <c r="F67" s="477" t="s">
        <v>303</v>
      </c>
      <c r="G67" s="478"/>
      <c r="H67" s="478"/>
      <c r="I67" s="478"/>
      <c r="J67" s="479"/>
      <c r="K67" s="480" t="s">
        <v>292</v>
      </c>
      <c r="L67" s="480"/>
      <c r="M67" s="51" t="s">
        <v>147</v>
      </c>
      <c r="N67" s="481" t="s">
        <v>157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3</v>
      </c>
      <c r="B68" s="476"/>
      <c r="C68" s="105" t="s">
        <v>120</v>
      </c>
      <c r="D68" s="228"/>
      <c r="E68" s="225" t="s">
        <v>143</v>
      </c>
      <c r="F68" s="477" t="s">
        <v>376</v>
      </c>
      <c r="G68" s="478"/>
      <c r="H68" s="478"/>
      <c r="I68" s="478"/>
      <c r="J68" s="479"/>
      <c r="K68" s="480" t="s">
        <v>136</v>
      </c>
      <c r="L68" s="480"/>
      <c r="M68" s="51" t="s">
        <v>147</v>
      </c>
      <c r="N68" s="481" t="s">
        <v>131</v>
      </c>
      <c r="O68" s="481"/>
      <c r="P68" s="482">
        <v>50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4</v>
      </c>
      <c r="B69" s="476"/>
      <c r="C69" s="105" t="s">
        <v>112</v>
      </c>
      <c r="D69" s="228"/>
      <c r="E69" s="225" t="s">
        <v>115</v>
      </c>
      <c r="F69" s="477" t="s">
        <v>374</v>
      </c>
      <c r="G69" s="478"/>
      <c r="H69" s="478"/>
      <c r="I69" s="478"/>
      <c r="J69" s="479"/>
      <c r="K69" s="480">
        <v>8301</v>
      </c>
      <c r="L69" s="480"/>
      <c r="M69" s="51" t="s">
        <v>375</v>
      </c>
      <c r="N69" s="481" t="s">
        <v>148</v>
      </c>
      <c r="O69" s="481"/>
      <c r="P69" s="482">
        <v>10</v>
      </c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5</v>
      </c>
      <c r="B70" s="476"/>
      <c r="C70" s="105" t="s">
        <v>120</v>
      </c>
      <c r="D70" s="228"/>
      <c r="E70" s="225" t="s">
        <v>115</v>
      </c>
      <c r="F70" s="477" t="s">
        <v>358</v>
      </c>
      <c r="G70" s="478"/>
      <c r="H70" s="478"/>
      <c r="I70" s="478"/>
      <c r="J70" s="479"/>
      <c r="K70" s="480">
        <v>7301</v>
      </c>
      <c r="L70" s="480"/>
      <c r="M70" s="51" t="s">
        <v>147</v>
      </c>
      <c r="N70" s="481" t="s">
        <v>193</v>
      </c>
      <c r="O70" s="481"/>
      <c r="P70" s="482">
        <v>50</v>
      </c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6</v>
      </c>
      <c r="B71" s="476"/>
      <c r="C71" s="105"/>
      <c r="D71" s="228"/>
      <c r="E71" s="225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7</v>
      </c>
      <c r="B72" s="476"/>
      <c r="C72" s="105"/>
      <c r="D72" s="228"/>
      <c r="E72" s="225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8</v>
      </c>
      <c r="B73" s="476"/>
      <c r="C73" s="105"/>
      <c r="D73" s="228"/>
      <c r="E73" s="225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9</v>
      </c>
      <c r="B74" s="476"/>
      <c r="C74" s="105"/>
      <c r="D74" s="228"/>
      <c r="E74" s="225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5.5" customHeight="1">
      <c r="A75" s="475">
        <v>10</v>
      </c>
      <c r="B75" s="476"/>
      <c r="C75" s="105"/>
      <c r="D75" s="228"/>
      <c r="E75" s="225"/>
      <c r="F75" s="487"/>
      <c r="G75" s="480"/>
      <c r="H75" s="480"/>
      <c r="I75" s="480"/>
      <c r="J75" s="480"/>
      <c r="K75" s="480"/>
      <c r="L75" s="480"/>
      <c r="M75" s="51"/>
      <c r="N75" s="481"/>
      <c r="O75" s="481"/>
      <c r="P75" s="482"/>
      <c r="Q75" s="482"/>
      <c r="R75" s="458"/>
      <c r="S75" s="458"/>
      <c r="T75" s="458"/>
      <c r="U75" s="458"/>
      <c r="V75" s="458"/>
      <c r="W75" s="458"/>
      <c r="X75" s="458"/>
      <c r="Y75" s="458"/>
      <c r="Z75" s="458"/>
      <c r="AA75" s="458"/>
      <c r="AB75" s="480"/>
      <c r="AC75" s="480"/>
      <c r="AD75" s="486"/>
      <c r="AF75" s="50"/>
    </row>
    <row r="76" spans="1:32" ht="26.25" customHeight="1" thickBot="1">
      <c r="A76" s="488" t="s">
        <v>377</v>
      </c>
      <c r="B76" s="488"/>
      <c r="C76" s="488"/>
      <c r="D76" s="488"/>
      <c r="E76" s="488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89" t="s">
        <v>111</v>
      </c>
      <c r="B77" s="490"/>
      <c r="C77" s="227" t="s">
        <v>2</v>
      </c>
      <c r="D77" s="227" t="s">
        <v>37</v>
      </c>
      <c r="E77" s="227" t="s">
        <v>3</v>
      </c>
      <c r="F77" s="490" t="s">
        <v>38</v>
      </c>
      <c r="G77" s="490"/>
      <c r="H77" s="490"/>
      <c r="I77" s="490"/>
      <c r="J77" s="490"/>
      <c r="K77" s="491" t="s">
        <v>58</v>
      </c>
      <c r="L77" s="492"/>
      <c r="M77" s="492"/>
      <c r="N77" s="492"/>
      <c r="O77" s="492"/>
      <c r="P77" s="492"/>
      <c r="Q77" s="492"/>
      <c r="R77" s="492"/>
      <c r="S77" s="493"/>
      <c r="T77" s="490" t="s">
        <v>49</v>
      </c>
      <c r="U77" s="490"/>
      <c r="V77" s="491" t="s">
        <v>50</v>
      </c>
      <c r="W77" s="493"/>
      <c r="X77" s="492" t="s">
        <v>51</v>
      </c>
      <c r="Y77" s="492"/>
      <c r="Z77" s="492"/>
      <c r="AA77" s="492"/>
      <c r="AB77" s="492"/>
      <c r="AC77" s="492"/>
      <c r="AD77" s="494"/>
      <c r="AF77" s="50"/>
    </row>
    <row r="78" spans="1:32" ht="33.75" customHeight="1">
      <c r="A78" s="503">
        <v>1</v>
      </c>
      <c r="B78" s="504"/>
      <c r="C78" s="229" t="s">
        <v>112</v>
      </c>
      <c r="D78" s="229"/>
      <c r="E78" s="65" t="s">
        <v>117</v>
      </c>
      <c r="F78" s="505" t="s">
        <v>116</v>
      </c>
      <c r="G78" s="506"/>
      <c r="H78" s="506"/>
      <c r="I78" s="506"/>
      <c r="J78" s="507"/>
      <c r="K78" s="508" t="s">
        <v>122</v>
      </c>
      <c r="L78" s="509"/>
      <c r="M78" s="509"/>
      <c r="N78" s="509"/>
      <c r="O78" s="509"/>
      <c r="P78" s="509"/>
      <c r="Q78" s="509"/>
      <c r="R78" s="509"/>
      <c r="S78" s="510"/>
      <c r="T78" s="511">
        <v>43675</v>
      </c>
      <c r="U78" s="512"/>
      <c r="V78" s="513"/>
      <c r="W78" s="513"/>
      <c r="X78" s="514"/>
      <c r="Y78" s="514"/>
      <c r="Z78" s="514"/>
      <c r="AA78" s="514"/>
      <c r="AB78" s="514"/>
      <c r="AC78" s="514"/>
      <c r="AD78" s="515"/>
      <c r="AF78" s="50"/>
    </row>
    <row r="79" spans="1:32" ht="30" customHeight="1">
      <c r="A79" s="495">
        <f>A78+1</f>
        <v>2</v>
      </c>
      <c r="B79" s="496"/>
      <c r="C79" s="228"/>
      <c r="D79" s="228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ref="A80:A84" si="28">A79+1</f>
        <v>3</v>
      </c>
      <c r="B80" s="496"/>
      <c r="C80" s="228"/>
      <c r="D80" s="228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8"/>
        <v>4</v>
      </c>
      <c r="B81" s="496"/>
      <c r="C81" s="228"/>
      <c r="D81" s="228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8"/>
        <v>5</v>
      </c>
      <c r="B82" s="496"/>
      <c r="C82" s="228"/>
      <c r="D82" s="228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8"/>
        <v>6</v>
      </c>
      <c r="B83" s="496"/>
      <c r="C83" s="228"/>
      <c r="D83" s="228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0" customHeight="1">
      <c r="A84" s="495">
        <f t="shared" si="28"/>
        <v>7</v>
      </c>
      <c r="B84" s="496"/>
      <c r="C84" s="228"/>
      <c r="D84" s="228"/>
      <c r="E84" s="32"/>
      <c r="F84" s="496"/>
      <c r="G84" s="496"/>
      <c r="H84" s="496"/>
      <c r="I84" s="496"/>
      <c r="J84" s="496"/>
      <c r="K84" s="497"/>
      <c r="L84" s="498"/>
      <c r="M84" s="498"/>
      <c r="N84" s="498"/>
      <c r="O84" s="498"/>
      <c r="P84" s="498"/>
      <c r="Q84" s="498"/>
      <c r="R84" s="498"/>
      <c r="S84" s="499"/>
      <c r="T84" s="500"/>
      <c r="U84" s="500"/>
      <c r="V84" s="500"/>
      <c r="W84" s="500"/>
      <c r="X84" s="501"/>
      <c r="Y84" s="501"/>
      <c r="Z84" s="501"/>
      <c r="AA84" s="501"/>
      <c r="AB84" s="501"/>
      <c r="AC84" s="501"/>
      <c r="AD84" s="502"/>
      <c r="AF84" s="50"/>
    </row>
    <row r="85" spans="1:32" ht="36" thickBot="1">
      <c r="A85" s="488" t="s">
        <v>378</v>
      </c>
      <c r="B85" s="488"/>
      <c r="C85" s="488"/>
      <c r="D85" s="488"/>
      <c r="E85" s="488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89" t="s">
        <v>111</v>
      </c>
      <c r="B86" s="490"/>
      <c r="C86" s="516" t="s">
        <v>52</v>
      </c>
      <c r="D86" s="516"/>
      <c r="E86" s="516" t="s">
        <v>53</v>
      </c>
      <c r="F86" s="516"/>
      <c r="G86" s="516"/>
      <c r="H86" s="516"/>
      <c r="I86" s="516"/>
      <c r="J86" s="516"/>
      <c r="K86" s="516" t="s">
        <v>54</v>
      </c>
      <c r="L86" s="516"/>
      <c r="M86" s="516"/>
      <c r="N86" s="516"/>
      <c r="O86" s="516"/>
      <c r="P86" s="516"/>
      <c r="Q86" s="516"/>
      <c r="R86" s="516"/>
      <c r="S86" s="516"/>
      <c r="T86" s="516" t="s">
        <v>55</v>
      </c>
      <c r="U86" s="516"/>
      <c r="V86" s="516" t="s">
        <v>56</v>
      </c>
      <c r="W86" s="516"/>
      <c r="X86" s="516"/>
      <c r="Y86" s="516" t="s">
        <v>51</v>
      </c>
      <c r="Z86" s="516"/>
      <c r="AA86" s="516"/>
      <c r="AB86" s="516"/>
      <c r="AC86" s="516"/>
      <c r="AD86" s="517"/>
      <c r="AF86" s="50"/>
    </row>
    <row r="87" spans="1:32" ht="30.75" customHeight="1">
      <c r="A87" s="503">
        <v>1</v>
      </c>
      <c r="B87" s="504"/>
      <c r="C87" s="518"/>
      <c r="D87" s="518"/>
      <c r="E87" s="518"/>
      <c r="F87" s="518"/>
      <c r="G87" s="518"/>
      <c r="H87" s="518"/>
      <c r="I87" s="518"/>
      <c r="J87" s="518"/>
      <c r="K87" s="518"/>
      <c r="L87" s="518"/>
      <c r="M87" s="518"/>
      <c r="N87" s="518"/>
      <c r="O87" s="518"/>
      <c r="P87" s="518"/>
      <c r="Q87" s="518"/>
      <c r="R87" s="518"/>
      <c r="S87" s="518"/>
      <c r="T87" s="518"/>
      <c r="U87" s="518"/>
      <c r="V87" s="519"/>
      <c r="W87" s="519"/>
      <c r="X87" s="519"/>
      <c r="Y87" s="520"/>
      <c r="Z87" s="520"/>
      <c r="AA87" s="520"/>
      <c r="AB87" s="520"/>
      <c r="AC87" s="520"/>
      <c r="AD87" s="521"/>
      <c r="AF87" s="50"/>
    </row>
    <row r="88" spans="1:32" ht="30.75" customHeight="1">
      <c r="A88" s="495">
        <v>2</v>
      </c>
      <c r="B88" s="496"/>
      <c r="C88" s="529"/>
      <c r="D88" s="529"/>
      <c r="E88" s="529"/>
      <c r="F88" s="529"/>
      <c r="G88" s="529"/>
      <c r="H88" s="529"/>
      <c r="I88" s="529"/>
      <c r="J88" s="529"/>
      <c r="K88" s="529"/>
      <c r="L88" s="529"/>
      <c r="M88" s="529"/>
      <c r="N88" s="529"/>
      <c r="O88" s="529"/>
      <c r="P88" s="529"/>
      <c r="Q88" s="529"/>
      <c r="R88" s="529"/>
      <c r="S88" s="529"/>
      <c r="T88" s="530"/>
      <c r="U88" s="530"/>
      <c r="V88" s="531"/>
      <c r="W88" s="531"/>
      <c r="X88" s="531"/>
      <c r="Y88" s="522"/>
      <c r="Z88" s="522"/>
      <c r="AA88" s="522"/>
      <c r="AB88" s="522"/>
      <c r="AC88" s="522"/>
      <c r="AD88" s="523"/>
      <c r="AF88" s="50"/>
    </row>
    <row r="89" spans="1:32" ht="30.75" customHeight="1" thickBot="1">
      <c r="A89" s="524">
        <v>3</v>
      </c>
      <c r="B89" s="525"/>
      <c r="C89" s="526"/>
      <c r="D89" s="526"/>
      <c r="E89" s="526"/>
      <c r="F89" s="526"/>
      <c r="G89" s="526"/>
      <c r="H89" s="526"/>
      <c r="I89" s="526"/>
      <c r="J89" s="526"/>
      <c r="K89" s="526"/>
      <c r="L89" s="526"/>
      <c r="M89" s="526"/>
      <c r="N89" s="526"/>
      <c r="O89" s="526"/>
      <c r="P89" s="526"/>
      <c r="Q89" s="526"/>
      <c r="R89" s="526"/>
      <c r="S89" s="526"/>
      <c r="T89" s="526"/>
      <c r="U89" s="526"/>
      <c r="V89" s="526"/>
      <c r="W89" s="526"/>
      <c r="X89" s="526"/>
      <c r="Y89" s="527"/>
      <c r="Z89" s="527"/>
      <c r="AA89" s="527"/>
      <c r="AB89" s="527"/>
      <c r="AC89" s="527"/>
      <c r="AD89" s="528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8301-CA9C-4207-9B89-72240968D209}">
  <dimension ref="A1:AF88"/>
  <sheetViews>
    <sheetView view="pageBreakPreview" zoomScale="70" zoomScaleNormal="72" zoomScaleSheetLayoutView="70" workbookViewId="0">
      <selection activeCell="L15" sqref="L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379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41" t="s">
        <v>17</v>
      </c>
      <c r="L5" s="241" t="s">
        <v>18</v>
      </c>
      <c r="M5" s="241" t="s">
        <v>19</v>
      </c>
      <c r="N5" s="2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5060</v>
      </c>
      <c r="K6" s="15">
        <f>L6+21540+35325+5060</f>
        <v>61925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0.46568627450980388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3377</v>
      </c>
      <c r="K7" s="15">
        <f>L7+670</f>
        <v>4047</v>
      </c>
      <c r="L7" s="15">
        <f>3102+275</f>
        <v>3377</v>
      </c>
      <c r="M7" s="15">
        <f t="shared" si="0"/>
        <v>3377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/>
      <c r="T7" s="16"/>
      <c r="U7" s="16"/>
      <c r="V7" s="17">
        <v>8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0.46568627450980388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5201</v>
      </c>
      <c r="K8" s="15">
        <f>L8+4389+4644+4956+4921+4171+5168+4891</f>
        <v>38341</v>
      </c>
      <c r="L8" s="15">
        <f>2751+2450</f>
        <v>5201</v>
      </c>
      <c r="M8" s="15">
        <f t="shared" si="0"/>
        <v>5201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0.46568627450980388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140000</v>
      </c>
      <c r="J9" s="14">
        <v>3057</v>
      </c>
      <c r="K9" s="15">
        <f>L9+4307</f>
        <v>7364</v>
      </c>
      <c r="L9" s="15">
        <f>774+2283</f>
        <v>3057</v>
      </c>
      <c r="M9" s="15">
        <f t="shared" si="0"/>
        <v>3057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0.46568627450980388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360</v>
      </c>
      <c r="E10" s="53" t="s">
        <v>359</v>
      </c>
      <c r="F10" s="30" t="s">
        <v>337</v>
      </c>
      <c r="G10" s="33">
        <v>1</v>
      </c>
      <c r="H10" s="35">
        <v>24</v>
      </c>
      <c r="I10" s="7">
        <v>2000</v>
      </c>
      <c r="J10" s="5">
        <v>4593</v>
      </c>
      <c r="K10" s="15">
        <f>L10+2211</f>
        <v>6804</v>
      </c>
      <c r="L10" s="15">
        <f>2929+1664</f>
        <v>4593</v>
      </c>
      <c r="M10" s="15">
        <f t="shared" si="0"/>
        <v>4593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>AC10*AB10*(1-O10)</f>
        <v>0.91666666666666663</v>
      </c>
      <c r="AE10" s="36">
        <f t="shared" si="7"/>
        <v>0.46568627450980388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1932</v>
      </c>
      <c r="K11" s="15">
        <f>L11+800</f>
        <v>2732</v>
      </c>
      <c r="L11" s="15">
        <f>1482+450</f>
        <v>1932</v>
      </c>
      <c r="M11" s="15">
        <f t="shared" si="0"/>
        <v>1932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ref="AD11:AD14" si="9">AC11*AB11*(1-O11)</f>
        <v>0.41666666666666669</v>
      </c>
      <c r="AE11" s="36">
        <f t="shared" si="7"/>
        <v>0.46568627450980388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3892</v>
      </c>
      <c r="K12" s="15">
        <f>L12+1126+4135+4723+4686+4459</f>
        <v>23021</v>
      </c>
      <c r="L12" s="15">
        <f>1950+1942</f>
        <v>3892</v>
      </c>
      <c r="M12" s="15">
        <f t="shared" si="0"/>
        <v>3892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0.46568627450980388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4</v>
      </c>
      <c r="H13" s="35">
        <v>24</v>
      </c>
      <c r="I13" s="7">
        <v>500000</v>
      </c>
      <c r="J13" s="5">
        <v>13932</v>
      </c>
      <c r="K13" s="15">
        <f>L13+12212+20232+16256+9762+15771+11739+16704+16779+14433+15558+10107+21780+11559+16257+16449</f>
        <v>239530</v>
      </c>
      <c r="L13" s="15">
        <f>2891*4+592*4</f>
        <v>13932</v>
      </c>
      <c r="M13" s="15">
        <f t="shared" si="0"/>
        <v>13932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>AC13*AB13*(1-O13)</f>
        <v>0.70833333333333337</v>
      </c>
      <c r="AE13" s="36">
        <f t="shared" si="7"/>
        <v>0.46568627450980388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0.46568627450980388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293</v>
      </c>
      <c r="D15" s="52"/>
      <c r="E15" s="53" t="s">
        <v>173</v>
      </c>
      <c r="F15" s="12" t="s">
        <v>165</v>
      </c>
      <c r="G15" s="12">
        <v>8</v>
      </c>
      <c r="H15" s="13">
        <v>24</v>
      </c>
      <c r="I15" s="31">
        <v>40000</v>
      </c>
      <c r="J15" s="14">
        <v>16545</v>
      </c>
      <c r="K15" s="15">
        <f>L15+33605+16545</f>
        <v>50150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0.46568627450980388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0.46568627450980388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10492</v>
      </c>
      <c r="K17" s="15">
        <f>L17+18660+21236+10492</f>
        <v>50388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>
        <v>24</v>
      </c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0.46568627450980388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201</v>
      </c>
      <c r="F18" s="30" t="s">
        <v>150</v>
      </c>
      <c r="G18" s="12">
        <v>1</v>
      </c>
      <c r="H18" s="13">
        <v>28</v>
      </c>
      <c r="I18" s="31">
        <v>5000</v>
      </c>
      <c r="J18" s="5">
        <v>4724</v>
      </c>
      <c r="K18" s="15">
        <f>L18</f>
        <v>4724</v>
      </c>
      <c r="L18" s="15">
        <f>1993+2731</f>
        <v>4724</v>
      </c>
      <c r="M18" s="15">
        <f t="shared" si="0"/>
        <v>4724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0.46568627450980388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115</v>
      </c>
      <c r="E19" s="53" t="s">
        <v>380</v>
      </c>
      <c r="F19" s="30" t="s">
        <v>150</v>
      </c>
      <c r="G19" s="33">
        <v>1</v>
      </c>
      <c r="H19" s="35">
        <v>24</v>
      </c>
      <c r="I19" s="7">
        <v>100</v>
      </c>
      <c r="J19" s="5">
        <v>171</v>
      </c>
      <c r="K19" s="15">
        <f>L19</f>
        <v>171</v>
      </c>
      <c r="L19" s="15">
        <v>171</v>
      </c>
      <c r="M19" s="15">
        <f t="shared" ref="M19" si="10">L19-N19</f>
        <v>171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4</v>
      </c>
      <c r="Q19" s="40">
        <f t="shared" ref="Q19" si="13">SUM(R19:AA19)</f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0.16666666666666666</v>
      </c>
      <c r="AD19" s="10">
        <f>AC19*AB19*(1-O19)</f>
        <v>0.16666666666666666</v>
      </c>
      <c r="AE19" s="36">
        <f t="shared" si="7"/>
        <v>0.46568627450980388</v>
      </c>
      <c r="AF19" s="84">
        <f t="shared" ref="AF19" si="16">A19</f>
        <v>14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155</v>
      </c>
      <c r="E20" s="53" t="s">
        <v>280</v>
      </c>
      <c r="F20" s="30" t="s">
        <v>124</v>
      </c>
      <c r="G20" s="33">
        <v>1</v>
      </c>
      <c r="H20" s="35">
        <v>24</v>
      </c>
      <c r="I20" s="7">
        <v>40000</v>
      </c>
      <c r="J20" s="5">
        <v>3702</v>
      </c>
      <c r="K20" s="15">
        <f>L20+1964+2699+1215</f>
        <v>9580</v>
      </c>
      <c r="L20" s="15">
        <f>2622+1080</f>
        <v>3702</v>
      </c>
      <c r="M20" s="15">
        <f t="shared" si="0"/>
        <v>3702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>AC20*AB20*(1-O20)</f>
        <v>0.75</v>
      </c>
      <c r="AE20" s="36">
        <f t="shared" si="7"/>
        <v>0.46568627450980388</v>
      </c>
      <c r="AF20" s="84">
        <f t="shared" si="8"/>
        <v>14</v>
      </c>
    </row>
    <row r="21" spans="1:32" ht="27" customHeight="1">
      <c r="A21" s="96">
        <v>15</v>
      </c>
      <c r="B21" s="11" t="s">
        <v>57</v>
      </c>
      <c r="C21" s="11" t="s">
        <v>120</v>
      </c>
      <c r="D21" s="52" t="s">
        <v>115</v>
      </c>
      <c r="E21" s="53" t="s">
        <v>358</v>
      </c>
      <c r="F21" s="30" t="s">
        <v>150</v>
      </c>
      <c r="G21" s="33">
        <v>1</v>
      </c>
      <c r="H21" s="35">
        <v>24</v>
      </c>
      <c r="I21" s="7">
        <v>1000</v>
      </c>
      <c r="J21" s="14">
        <v>1490</v>
      </c>
      <c r="K21" s="15">
        <f>L21+1490</f>
        <v>1490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14</v>
      </c>
      <c r="R21" s="7"/>
      <c r="S21" s="6">
        <v>14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0.46568627450980388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42244</v>
      </c>
      <c r="K22" s="15">
        <f>L22+16808+39112+38440+39748+31140+68844+45656+37140+73976+32892+39440+37868+39596+38388+34736+36544+66564+43260+46640</f>
        <v>849036</v>
      </c>
      <c r="L22" s="15">
        <f>10561*4</f>
        <v>42244</v>
      </c>
      <c r="M22" s="15">
        <f t="shared" si="0"/>
        <v>42244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6">
        <f t="shared" si="7"/>
        <v>0.46568627450980388</v>
      </c>
      <c r="AF22" s="84">
        <f t="shared" si="8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17">SUM(I6:I22)</f>
        <v>2006400</v>
      </c>
      <c r="J23" s="19">
        <f t="shared" si="17"/>
        <v>139411</v>
      </c>
      <c r="K23" s="20">
        <f t="shared" si="17"/>
        <v>1349642</v>
      </c>
      <c r="L23" s="21">
        <f t="shared" si="17"/>
        <v>86825</v>
      </c>
      <c r="M23" s="20">
        <f t="shared" si="17"/>
        <v>86825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190</v>
      </c>
      <c r="Q23" s="43">
        <f t="shared" si="18"/>
        <v>208</v>
      </c>
      <c r="R23" s="23">
        <f t="shared" si="18"/>
        <v>24</v>
      </c>
      <c r="S23" s="24">
        <f t="shared" si="18"/>
        <v>73</v>
      </c>
      <c r="T23" s="24">
        <f t="shared" si="18"/>
        <v>1</v>
      </c>
      <c r="U23" s="24">
        <f t="shared" si="18"/>
        <v>0</v>
      </c>
      <c r="V23" s="25">
        <f t="shared" si="18"/>
        <v>42</v>
      </c>
      <c r="W23" s="26">
        <f t="shared" si="18"/>
        <v>20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48</v>
      </c>
      <c r="AB23" s="28">
        <f>AVERAGE(AB6:AB22)</f>
        <v>0.6470588235294118</v>
      </c>
      <c r="AC23" s="4">
        <f>AVERAGE(AC6:AC22)</f>
        <v>0.46568627450980388</v>
      </c>
      <c r="AD23" s="4">
        <f>AVERAGE(AD6:AD22)</f>
        <v>0.46568627450980388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381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384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240" t="s">
        <v>46</v>
      </c>
      <c r="D52" s="240" t="s">
        <v>47</v>
      </c>
      <c r="E52" s="240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240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120</v>
      </c>
      <c r="B53" s="451"/>
      <c r="C53" s="237" t="s">
        <v>138</v>
      </c>
      <c r="D53" s="237" t="s">
        <v>115</v>
      </c>
      <c r="E53" s="237" t="s">
        <v>201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236" t="s">
        <v>121</v>
      </c>
      <c r="O53" s="234" t="s">
        <v>145</v>
      </c>
      <c r="P53" s="455"/>
      <c r="Q53" s="456"/>
      <c r="R53" s="455" t="s">
        <v>330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112</v>
      </c>
      <c r="B54" s="451"/>
      <c r="C54" s="237" t="s">
        <v>215</v>
      </c>
      <c r="D54" s="237" t="s">
        <v>115</v>
      </c>
      <c r="E54" s="237" t="s">
        <v>380</v>
      </c>
      <c r="F54" s="452" t="s">
        <v>118</v>
      </c>
      <c r="G54" s="453"/>
      <c r="H54" s="453"/>
      <c r="I54" s="453"/>
      <c r="J54" s="453"/>
      <c r="K54" s="453"/>
      <c r="L54" s="453"/>
      <c r="M54" s="454"/>
      <c r="N54" s="236" t="s">
        <v>120</v>
      </c>
      <c r="O54" s="234" t="s">
        <v>135</v>
      </c>
      <c r="P54" s="455" t="s">
        <v>265</v>
      </c>
      <c r="Q54" s="456"/>
      <c r="R54" s="455" t="s">
        <v>273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237" t="s">
        <v>215</v>
      </c>
      <c r="D55" s="237" t="s">
        <v>155</v>
      </c>
      <c r="E55" s="237" t="s">
        <v>280</v>
      </c>
      <c r="F55" s="452" t="s">
        <v>139</v>
      </c>
      <c r="G55" s="453"/>
      <c r="H55" s="453"/>
      <c r="I55" s="453"/>
      <c r="J55" s="453"/>
      <c r="K55" s="453"/>
      <c r="L55" s="453"/>
      <c r="M55" s="454"/>
      <c r="N55" s="236" t="s">
        <v>120</v>
      </c>
      <c r="O55" s="234" t="s">
        <v>157</v>
      </c>
      <c r="P55" s="455" t="s">
        <v>126</v>
      </c>
      <c r="Q55" s="456"/>
      <c r="R55" s="455" t="s">
        <v>303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237" t="s">
        <v>135</v>
      </c>
      <c r="D56" s="237" t="s">
        <v>265</v>
      </c>
      <c r="E56" s="237" t="s">
        <v>273</v>
      </c>
      <c r="F56" s="452" t="s">
        <v>356</v>
      </c>
      <c r="G56" s="453"/>
      <c r="H56" s="453"/>
      <c r="I56" s="453"/>
      <c r="J56" s="453"/>
      <c r="K56" s="453"/>
      <c r="L56" s="453"/>
      <c r="M56" s="454"/>
      <c r="N56" s="236" t="s">
        <v>123</v>
      </c>
      <c r="O56" s="234" t="s">
        <v>193</v>
      </c>
      <c r="P56" s="455"/>
      <c r="Q56" s="456"/>
      <c r="R56" s="455" t="s">
        <v>385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112</v>
      </c>
      <c r="B57" s="451"/>
      <c r="C57" s="237" t="s">
        <v>151</v>
      </c>
      <c r="D57" s="237" t="s">
        <v>360</v>
      </c>
      <c r="E57" s="237" t="s">
        <v>359</v>
      </c>
      <c r="F57" s="452" t="s">
        <v>344</v>
      </c>
      <c r="G57" s="453"/>
      <c r="H57" s="453"/>
      <c r="I57" s="453"/>
      <c r="J57" s="453"/>
      <c r="K57" s="453"/>
      <c r="L57" s="453"/>
      <c r="M57" s="454"/>
      <c r="N57" s="236" t="s">
        <v>112</v>
      </c>
      <c r="O57" s="234" t="s">
        <v>152</v>
      </c>
      <c r="P57" s="455" t="s">
        <v>115</v>
      </c>
      <c r="Q57" s="456"/>
      <c r="R57" s="455" t="s">
        <v>116</v>
      </c>
      <c r="S57" s="457"/>
      <c r="T57" s="457"/>
      <c r="U57" s="456"/>
      <c r="V57" s="458" t="s">
        <v>192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120</v>
      </c>
      <c r="B58" s="451"/>
      <c r="C58" s="237" t="s">
        <v>157</v>
      </c>
      <c r="D58" s="237" t="s">
        <v>126</v>
      </c>
      <c r="E58" s="237" t="s">
        <v>303</v>
      </c>
      <c r="F58" s="452" t="s">
        <v>382</v>
      </c>
      <c r="G58" s="453"/>
      <c r="H58" s="453"/>
      <c r="I58" s="453"/>
      <c r="J58" s="453"/>
      <c r="K58" s="453"/>
      <c r="L58" s="453"/>
      <c r="M58" s="454"/>
      <c r="N58" s="236"/>
      <c r="O58" s="234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383</v>
      </c>
      <c r="B59" s="451"/>
      <c r="C59" s="237" t="s">
        <v>240</v>
      </c>
      <c r="D59" s="237" t="s">
        <v>115</v>
      </c>
      <c r="E59" s="237" t="s">
        <v>158</v>
      </c>
      <c r="F59" s="452" t="s">
        <v>139</v>
      </c>
      <c r="G59" s="453"/>
      <c r="H59" s="453"/>
      <c r="I59" s="453"/>
      <c r="J59" s="453"/>
      <c r="K59" s="453"/>
      <c r="L59" s="453"/>
      <c r="M59" s="454"/>
      <c r="N59" s="236"/>
      <c r="O59" s="234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37"/>
      <c r="D60" s="237"/>
      <c r="E60" s="237"/>
      <c r="F60" s="452"/>
      <c r="G60" s="453"/>
      <c r="H60" s="453"/>
      <c r="I60" s="453"/>
      <c r="J60" s="453"/>
      <c r="K60" s="453"/>
      <c r="L60" s="453"/>
      <c r="M60" s="454"/>
      <c r="N60" s="236"/>
      <c r="O60" s="234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237"/>
      <c r="D61" s="237"/>
      <c r="E61" s="237"/>
      <c r="F61" s="452"/>
      <c r="G61" s="453"/>
      <c r="H61" s="453"/>
      <c r="I61" s="453"/>
      <c r="J61" s="453"/>
      <c r="K61" s="453"/>
      <c r="L61" s="453"/>
      <c r="M61" s="454"/>
      <c r="N61" s="236"/>
      <c r="O61" s="234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238"/>
      <c r="D62" s="239"/>
      <c r="E62" s="239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386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235" t="s">
        <v>2</v>
      </c>
      <c r="D64" s="235" t="s">
        <v>37</v>
      </c>
      <c r="E64" s="235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235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112</v>
      </c>
      <c r="D65" s="230"/>
      <c r="E65" s="233" t="s">
        <v>115</v>
      </c>
      <c r="F65" s="477" t="s">
        <v>223</v>
      </c>
      <c r="G65" s="478"/>
      <c r="H65" s="478"/>
      <c r="I65" s="478"/>
      <c r="J65" s="479"/>
      <c r="K65" s="480" t="s">
        <v>292</v>
      </c>
      <c r="L65" s="480"/>
      <c r="M65" s="51" t="s">
        <v>375</v>
      </c>
      <c r="N65" s="481" t="s">
        <v>193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 t="s">
        <v>112</v>
      </c>
      <c r="D66" s="230"/>
      <c r="E66" s="233" t="s">
        <v>126</v>
      </c>
      <c r="F66" s="477" t="s">
        <v>303</v>
      </c>
      <c r="G66" s="478"/>
      <c r="H66" s="478"/>
      <c r="I66" s="478"/>
      <c r="J66" s="479"/>
      <c r="K66" s="480" t="s">
        <v>292</v>
      </c>
      <c r="L66" s="480"/>
      <c r="M66" s="51" t="s">
        <v>375</v>
      </c>
      <c r="N66" s="481" t="s">
        <v>193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 t="s">
        <v>120</v>
      </c>
      <c r="D67" s="230"/>
      <c r="E67" s="233" t="s">
        <v>265</v>
      </c>
      <c r="F67" s="477" t="s">
        <v>387</v>
      </c>
      <c r="G67" s="478"/>
      <c r="H67" s="478"/>
      <c r="I67" s="478"/>
      <c r="J67" s="479"/>
      <c r="K67" s="480" t="s">
        <v>149</v>
      </c>
      <c r="L67" s="480"/>
      <c r="M67" s="51" t="s">
        <v>147</v>
      </c>
      <c r="N67" s="481" t="s">
        <v>193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/>
      <c r="D68" s="230"/>
      <c r="E68" s="23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/>
      <c r="D69" s="230"/>
      <c r="E69" s="23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/>
      <c r="D70" s="230"/>
      <c r="E70" s="233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/>
      <c r="D71" s="230"/>
      <c r="E71" s="233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230"/>
      <c r="E72" s="23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230"/>
      <c r="E73" s="23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230"/>
      <c r="E74" s="233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388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232" t="s">
        <v>2</v>
      </c>
      <c r="D76" s="232" t="s">
        <v>37</v>
      </c>
      <c r="E76" s="232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231" t="s">
        <v>112</v>
      </c>
      <c r="D77" s="231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230"/>
      <c r="D78" s="230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19">A78+1</f>
        <v>3</v>
      </c>
      <c r="B79" s="496"/>
      <c r="C79" s="230"/>
      <c r="D79" s="230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9"/>
        <v>4</v>
      </c>
      <c r="B80" s="496"/>
      <c r="C80" s="230"/>
      <c r="D80" s="230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9"/>
        <v>5</v>
      </c>
      <c r="B81" s="496"/>
      <c r="C81" s="230"/>
      <c r="D81" s="230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9"/>
        <v>6</v>
      </c>
      <c r="B82" s="496"/>
      <c r="C82" s="230"/>
      <c r="D82" s="230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19"/>
        <v>7</v>
      </c>
      <c r="B83" s="496"/>
      <c r="C83" s="230"/>
      <c r="D83" s="230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389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72EB-D279-497A-A8C4-36A8105B918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390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42" t="s">
        <v>17</v>
      </c>
      <c r="L5" s="242" t="s">
        <v>18</v>
      </c>
      <c r="M5" s="242" t="s">
        <v>19</v>
      </c>
      <c r="N5" s="2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5060</v>
      </c>
      <c r="K6" s="15">
        <f>L6+21540+35325+5060</f>
        <v>61925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0.5234375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5927</v>
      </c>
      <c r="K7" s="15">
        <f>L7+670+3377</f>
        <v>9974</v>
      </c>
      <c r="L7" s="15">
        <f>3102+2825</f>
        <v>5927</v>
      </c>
      <c r="M7" s="15">
        <f t="shared" si="0"/>
        <v>5927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0.5234375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4835</v>
      </c>
      <c r="K8" s="15">
        <f>L8+4389+4644+4956+4921+4171+5168+4891+5201</f>
        <v>43176</v>
      </c>
      <c r="L8" s="15">
        <f>2580+2255</f>
        <v>4835</v>
      </c>
      <c r="M8" s="15">
        <f t="shared" si="0"/>
        <v>4835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0.5234375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140000</v>
      </c>
      <c r="J9" s="14">
        <v>1874</v>
      </c>
      <c r="K9" s="15">
        <f>L9+4307+3057</f>
        <v>9238</v>
      </c>
      <c r="L9" s="15">
        <v>1874</v>
      </c>
      <c r="M9" s="15">
        <f t="shared" si="0"/>
        <v>1874</v>
      </c>
      <c r="N9" s="15">
        <v>0</v>
      </c>
      <c r="O9" s="58">
        <f t="shared" si="1"/>
        <v>0</v>
      </c>
      <c r="P9" s="39">
        <f t="shared" si="2"/>
        <v>9</v>
      </c>
      <c r="Q9" s="40">
        <f t="shared" si="3"/>
        <v>15</v>
      </c>
      <c r="R9" s="7"/>
      <c r="S9" s="6">
        <v>15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6">
        <f t="shared" si="7"/>
        <v>0.5234375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360</v>
      </c>
      <c r="E10" s="53" t="s">
        <v>359</v>
      </c>
      <c r="F10" s="30" t="s">
        <v>337</v>
      </c>
      <c r="G10" s="33">
        <v>1</v>
      </c>
      <c r="H10" s="35">
        <v>24</v>
      </c>
      <c r="I10" s="7">
        <v>2000</v>
      </c>
      <c r="J10" s="5">
        <v>2220</v>
      </c>
      <c r="K10" s="15">
        <f>L10+2211+4593</f>
        <v>9024</v>
      </c>
      <c r="L10" s="15">
        <v>2220</v>
      </c>
      <c r="M10" s="15">
        <f t="shared" si="0"/>
        <v>2220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>AC10*AB10*(1-O10)</f>
        <v>0.41666666666666669</v>
      </c>
      <c r="AE10" s="36">
        <f t="shared" si="7"/>
        <v>0.5234375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2923</v>
      </c>
      <c r="K11" s="15">
        <f>L11+800+1932</f>
        <v>5655</v>
      </c>
      <c r="L11" s="15">
        <f>1164+1759</f>
        <v>2923</v>
      </c>
      <c r="M11" s="15">
        <f t="shared" si="0"/>
        <v>2923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ref="AD11:AD14" si="9">AC11*AB11*(1-O11)</f>
        <v>0.625</v>
      </c>
      <c r="AE11" s="36">
        <f t="shared" si="7"/>
        <v>0.5234375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2750</v>
      </c>
      <c r="K12" s="15">
        <f>L12+1126+4135+4723+4686+4459+3892</f>
        <v>25771</v>
      </c>
      <c r="L12" s="15">
        <f>2352+398</f>
        <v>2750</v>
      </c>
      <c r="M12" s="15">
        <f t="shared" si="0"/>
        <v>2750</v>
      </c>
      <c r="N12" s="15">
        <v>0</v>
      </c>
      <c r="O12" s="58">
        <f t="shared" si="1"/>
        <v>0</v>
      </c>
      <c r="P12" s="39">
        <f t="shared" si="2"/>
        <v>17</v>
      </c>
      <c r="Q12" s="40">
        <f t="shared" si="3"/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0.70833333333333337</v>
      </c>
      <c r="AD12" s="10">
        <f t="shared" si="9"/>
        <v>0.70833333333333337</v>
      </c>
      <c r="AE12" s="36">
        <f t="shared" si="7"/>
        <v>0.5234375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4</v>
      </c>
      <c r="H13" s="35">
        <v>24</v>
      </c>
      <c r="I13" s="7">
        <v>500000</v>
      </c>
      <c r="J13" s="5">
        <v>20784</v>
      </c>
      <c r="K13" s="15">
        <f>L13+12212+20232+16256+9762+15771+11739+16704+16779+14433+15558+10107+21780+11559+16257+16449+13932</f>
        <v>260314</v>
      </c>
      <c r="L13" s="15">
        <f>2741*4+2455*4</f>
        <v>20784</v>
      </c>
      <c r="M13" s="15">
        <f t="shared" si="0"/>
        <v>20784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0.5234375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0.5234375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293</v>
      </c>
      <c r="D15" s="52"/>
      <c r="E15" s="53" t="s">
        <v>173</v>
      </c>
      <c r="F15" s="12" t="s">
        <v>165</v>
      </c>
      <c r="G15" s="12">
        <v>8</v>
      </c>
      <c r="H15" s="13">
        <v>24</v>
      </c>
      <c r="I15" s="31">
        <v>40000</v>
      </c>
      <c r="J15" s="14">
        <v>16545</v>
      </c>
      <c r="K15" s="15">
        <f>L15+33605+16545</f>
        <v>50150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0.5234375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0.5234375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391</v>
      </c>
      <c r="F17" s="30" t="s">
        <v>128</v>
      </c>
      <c r="G17" s="12">
        <v>4</v>
      </c>
      <c r="H17" s="13">
        <v>24</v>
      </c>
      <c r="I17" s="7">
        <v>90000</v>
      </c>
      <c r="J17" s="14">
        <v>10048</v>
      </c>
      <c r="K17" s="15">
        <f>L17</f>
        <v>10048</v>
      </c>
      <c r="L17" s="15">
        <f>2512*4</f>
        <v>10048</v>
      </c>
      <c r="M17" s="15">
        <f t="shared" si="0"/>
        <v>10048</v>
      </c>
      <c r="N17" s="15">
        <v>0</v>
      </c>
      <c r="O17" s="58">
        <f t="shared" si="1"/>
        <v>0</v>
      </c>
      <c r="P17" s="39">
        <f t="shared" si="2"/>
        <v>14</v>
      </c>
      <c r="Q17" s="40">
        <f t="shared" si="3"/>
        <v>10</v>
      </c>
      <c r="R17" s="7"/>
      <c r="S17" s="6">
        <v>10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0.58333333333333337</v>
      </c>
      <c r="AD17" s="10">
        <f t="shared" si="6"/>
        <v>0.58333333333333337</v>
      </c>
      <c r="AE17" s="36">
        <f t="shared" si="7"/>
        <v>0.5234375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201</v>
      </c>
      <c r="F18" s="30" t="s">
        <v>150</v>
      </c>
      <c r="G18" s="12">
        <v>1</v>
      </c>
      <c r="H18" s="13">
        <v>28</v>
      </c>
      <c r="I18" s="31">
        <v>5000</v>
      </c>
      <c r="J18" s="5">
        <v>3035</v>
      </c>
      <c r="K18" s="15">
        <f>L18+4724</f>
        <v>7759</v>
      </c>
      <c r="L18" s="15">
        <f>2489+546</f>
        <v>3035</v>
      </c>
      <c r="M18" s="15">
        <f t="shared" si="0"/>
        <v>3035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/>
      <c r="T18" s="16"/>
      <c r="U18" s="16"/>
      <c r="V18" s="17"/>
      <c r="W18" s="5">
        <v>9</v>
      </c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0.5234375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2680</v>
      </c>
      <c r="K19" s="15">
        <f>L19+1964+2699+1215+3702</f>
        <v>12260</v>
      </c>
      <c r="L19" s="15">
        <f>1451+1229</f>
        <v>2680</v>
      </c>
      <c r="M19" s="15">
        <f t="shared" si="0"/>
        <v>2680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>AC19*AB19*(1-O19)</f>
        <v>0.625</v>
      </c>
      <c r="AE19" s="36">
        <f t="shared" si="7"/>
        <v>0.5234375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123</v>
      </c>
      <c r="D20" s="52"/>
      <c r="E20" s="53" t="s">
        <v>385</v>
      </c>
      <c r="F20" s="30" t="s">
        <v>119</v>
      </c>
      <c r="G20" s="33">
        <v>1</v>
      </c>
      <c r="H20" s="35">
        <v>24</v>
      </c>
      <c r="I20" s="7">
        <v>1700</v>
      </c>
      <c r="J20" s="14">
        <v>3599</v>
      </c>
      <c r="K20" s="15">
        <f>L20</f>
        <v>3599</v>
      </c>
      <c r="L20" s="15">
        <f>2148+1451</f>
        <v>3599</v>
      </c>
      <c r="M20" s="15">
        <f t="shared" si="0"/>
        <v>3599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/>
      <c r="T20" s="16"/>
      <c r="U20" s="16"/>
      <c r="V20" s="17"/>
      <c r="W20" s="5">
        <v>4</v>
      </c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0.5234375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41088</v>
      </c>
      <c r="K21" s="15">
        <f>L21+16808+39112+38440+39748+31140+68844+45656+37140+73976+32892+39440+37868+39596+38388+34736+36544+66564+43260+46640+42244</f>
        <v>890124</v>
      </c>
      <c r="L21" s="15">
        <f>10272*4</f>
        <v>41088</v>
      </c>
      <c r="M21" s="15">
        <f t="shared" si="0"/>
        <v>41088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0.5234375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0">SUM(I6:I21)</f>
        <v>2017000</v>
      </c>
      <c r="J22" s="19">
        <f t="shared" si="10"/>
        <v>142367</v>
      </c>
      <c r="K22" s="20">
        <f t="shared" si="10"/>
        <v>1399356</v>
      </c>
      <c r="L22" s="21">
        <f t="shared" si="10"/>
        <v>101763</v>
      </c>
      <c r="M22" s="20">
        <f t="shared" si="10"/>
        <v>101763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201</v>
      </c>
      <c r="Q22" s="43">
        <f t="shared" si="11"/>
        <v>183</v>
      </c>
      <c r="R22" s="23">
        <f t="shared" si="11"/>
        <v>24</v>
      </c>
      <c r="S22" s="24">
        <f t="shared" si="11"/>
        <v>88</v>
      </c>
      <c r="T22" s="24">
        <f t="shared" si="11"/>
        <v>0</v>
      </c>
      <c r="U22" s="24">
        <f t="shared" si="11"/>
        <v>0</v>
      </c>
      <c r="V22" s="25">
        <f t="shared" si="11"/>
        <v>10</v>
      </c>
      <c r="W22" s="26">
        <f t="shared" si="11"/>
        <v>13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0.75</v>
      </c>
      <c r="AC22" s="4">
        <f>AVERAGE(AC6:AC21)</f>
        <v>0.5234375</v>
      </c>
      <c r="AD22" s="4">
        <f>AVERAGE(AD6:AD21)</f>
        <v>0.5234375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392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394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243" t="s">
        <v>46</v>
      </c>
      <c r="D51" s="243" t="s">
        <v>47</v>
      </c>
      <c r="E51" s="243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243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112</v>
      </c>
      <c r="B52" s="451"/>
      <c r="C52" s="245" t="s">
        <v>215</v>
      </c>
      <c r="D52" s="245" t="s">
        <v>155</v>
      </c>
      <c r="E52" s="245" t="s">
        <v>280</v>
      </c>
      <c r="F52" s="452" t="s">
        <v>393</v>
      </c>
      <c r="G52" s="453"/>
      <c r="H52" s="453"/>
      <c r="I52" s="453"/>
      <c r="J52" s="453"/>
      <c r="K52" s="453"/>
      <c r="L52" s="453"/>
      <c r="M52" s="454"/>
      <c r="N52" s="244" t="s">
        <v>121</v>
      </c>
      <c r="O52" s="250" t="s">
        <v>145</v>
      </c>
      <c r="P52" s="455"/>
      <c r="Q52" s="456"/>
      <c r="R52" s="455" t="s">
        <v>330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245" t="s">
        <v>135</v>
      </c>
      <c r="D53" s="245" t="s">
        <v>265</v>
      </c>
      <c r="E53" s="245" t="s">
        <v>273</v>
      </c>
      <c r="F53" s="452" t="s">
        <v>139</v>
      </c>
      <c r="G53" s="453"/>
      <c r="H53" s="453"/>
      <c r="I53" s="453"/>
      <c r="J53" s="453"/>
      <c r="K53" s="453"/>
      <c r="L53" s="453"/>
      <c r="M53" s="454"/>
      <c r="N53" s="244" t="s">
        <v>120</v>
      </c>
      <c r="O53" s="250" t="s">
        <v>157</v>
      </c>
      <c r="P53" s="455" t="s">
        <v>126</v>
      </c>
      <c r="Q53" s="456"/>
      <c r="R53" s="455" t="s">
        <v>303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245" t="s">
        <v>157</v>
      </c>
      <c r="D54" s="245" t="s">
        <v>126</v>
      </c>
      <c r="E54" s="245" t="s">
        <v>303</v>
      </c>
      <c r="F54" s="452" t="s">
        <v>356</v>
      </c>
      <c r="G54" s="453"/>
      <c r="H54" s="453"/>
      <c r="I54" s="453"/>
      <c r="J54" s="453"/>
      <c r="K54" s="453"/>
      <c r="L54" s="453"/>
      <c r="M54" s="454"/>
      <c r="N54" s="244" t="s">
        <v>120</v>
      </c>
      <c r="O54" s="250" t="s">
        <v>193</v>
      </c>
      <c r="P54" s="455" t="s">
        <v>115</v>
      </c>
      <c r="Q54" s="456"/>
      <c r="R54" s="455" t="s">
        <v>395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245" t="s">
        <v>152</v>
      </c>
      <c r="D55" s="245" t="s">
        <v>115</v>
      </c>
      <c r="E55" s="245" t="s">
        <v>116</v>
      </c>
      <c r="F55" s="452" t="s">
        <v>192</v>
      </c>
      <c r="G55" s="453"/>
      <c r="H55" s="453"/>
      <c r="I55" s="453"/>
      <c r="J55" s="453"/>
      <c r="K55" s="453"/>
      <c r="L55" s="453"/>
      <c r="M55" s="454"/>
      <c r="N55" s="244" t="s">
        <v>112</v>
      </c>
      <c r="O55" s="250" t="s">
        <v>215</v>
      </c>
      <c r="P55" s="455" t="s">
        <v>155</v>
      </c>
      <c r="Q55" s="456"/>
      <c r="R55" s="455" t="s">
        <v>280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121</v>
      </c>
      <c r="B56" s="451"/>
      <c r="C56" s="245" t="s">
        <v>317</v>
      </c>
      <c r="D56" s="245" t="s">
        <v>127</v>
      </c>
      <c r="E56" s="245" t="s">
        <v>391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244" t="s">
        <v>120</v>
      </c>
      <c r="O56" s="250" t="s">
        <v>138</v>
      </c>
      <c r="P56" s="455" t="s">
        <v>115</v>
      </c>
      <c r="Q56" s="456"/>
      <c r="R56" s="455" t="s">
        <v>312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123</v>
      </c>
      <c r="B57" s="451"/>
      <c r="C57" s="245" t="s">
        <v>193</v>
      </c>
      <c r="D57" s="245"/>
      <c r="E57" s="245" t="s">
        <v>385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244"/>
      <c r="O57" s="250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245"/>
      <c r="D58" s="245"/>
      <c r="E58" s="245"/>
      <c r="F58" s="452"/>
      <c r="G58" s="453"/>
      <c r="H58" s="453"/>
      <c r="I58" s="453"/>
      <c r="J58" s="453"/>
      <c r="K58" s="453"/>
      <c r="L58" s="453"/>
      <c r="M58" s="454"/>
      <c r="N58" s="244"/>
      <c r="O58" s="250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45"/>
      <c r="D59" s="245"/>
      <c r="E59" s="245"/>
      <c r="F59" s="452"/>
      <c r="G59" s="453"/>
      <c r="H59" s="453"/>
      <c r="I59" s="453"/>
      <c r="J59" s="453"/>
      <c r="K59" s="453"/>
      <c r="L59" s="453"/>
      <c r="M59" s="454"/>
      <c r="N59" s="244"/>
      <c r="O59" s="250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45"/>
      <c r="D60" s="245"/>
      <c r="E60" s="245"/>
      <c r="F60" s="452"/>
      <c r="G60" s="453"/>
      <c r="H60" s="453"/>
      <c r="I60" s="453"/>
      <c r="J60" s="453"/>
      <c r="K60" s="453"/>
      <c r="L60" s="453"/>
      <c r="M60" s="454"/>
      <c r="N60" s="244"/>
      <c r="O60" s="250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246"/>
      <c r="D61" s="247"/>
      <c r="E61" s="247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396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48" t="s">
        <v>2</v>
      </c>
      <c r="D63" s="248" t="s">
        <v>37</v>
      </c>
      <c r="E63" s="248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48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112</v>
      </c>
      <c r="D64" s="252"/>
      <c r="E64" s="249" t="s">
        <v>115</v>
      </c>
      <c r="F64" s="477" t="s">
        <v>229</v>
      </c>
      <c r="G64" s="478"/>
      <c r="H64" s="478"/>
      <c r="I64" s="478"/>
      <c r="J64" s="479"/>
      <c r="K64" s="480">
        <v>7301</v>
      </c>
      <c r="L64" s="480"/>
      <c r="M64" s="51" t="s">
        <v>397</v>
      </c>
      <c r="N64" s="481" t="s">
        <v>148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/>
      <c r="D65" s="252"/>
      <c r="E65" s="249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252"/>
      <c r="E66" s="249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252"/>
      <c r="E67" s="249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252"/>
      <c r="E68" s="249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252"/>
      <c r="E69" s="249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252"/>
      <c r="E70" s="249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252"/>
      <c r="E71" s="249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252"/>
      <c r="E72" s="249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252"/>
      <c r="E73" s="249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398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251" t="s">
        <v>2</v>
      </c>
      <c r="D75" s="251" t="s">
        <v>37</v>
      </c>
      <c r="E75" s="251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253" t="s">
        <v>112</v>
      </c>
      <c r="D76" s="253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252"/>
      <c r="D77" s="252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2">A77+1</f>
        <v>3</v>
      </c>
      <c r="B78" s="496"/>
      <c r="C78" s="252"/>
      <c r="D78" s="252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2"/>
        <v>4</v>
      </c>
      <c r="B79" s="496"/>
      <c r="C79" s="252"/>
      <c r="D79" s="252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2"/>
        <v>5</v>
      </c>
      <c r="B80" s="496"/>
      <c r="C80" s="252"/>
      <c r="D80" s="252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2"/>
        <v>6</v>
      </c>
      <c r="B81" s="496"/>
      <c r="C81" s="252"/>
      <c r="D81" s="252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2"/>
        <v>7</v>
      </c>
      <c r="B82" s="496"/>
      <c r="C82" s="252"/>
      <c r="D82" s="252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399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6E10-4ABC-44E6-8BAD-CA43BA9B579F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400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65" t="s">
        <v>17</v>
      </c>
      <c r="L5" s="265" t="s">
        <v>18</v>
      </c>
      <c r="M5" s="265" t="s">
        <v>19</v>
      </c>
      <c r="N5" s="2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28540</v>
      </c>
      <c r="K6" s="15">
        <f>L6+21540+35325+5060</f>
        <v>90465</v>
      </c>
      <c r="L6" s="15">
        <f>4265*5+1443*5</f>
        <v>28540</v>
      </c>
      <c r="M6" s="15">
        <f t="shared" ref="M6:M21" si="0">L6-N6</f>
        <v>28540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18</v>
      </c>
      <c r="Q6" s="40">
        <f t="shared" ref="Q6:Q21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0.75</v>
      </c>
      <c r="AD6" s="10">
        <f t="shared" ref="AD6:AD21" si="6">AC6*AB6*(1-O6)</f>
        <v>0.75</v>
      </c>
      <c r="AE6" s="36">
        <f t="shared" ref="AE6:AE21" si="7">$AD$22</f>
        <v>0.54166666666666674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5899</v>
      </c>
      <c r="K7" s="15">
        <f>L7+670+3377+5927</f>
        <v>15873</v>
      </c>
      <c r="L7" s="15">
        <f>3063+2836</f>
        <v>5899</v>
      </c>
      <c r="M7" s="15">
        <f t="shared" si="0"/>
        <v>5899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0.54166666666666674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5114</v>
      </c>
      <c r="K8" s="15">
        <f>L8+4389+4644+4956+4921+4171+5168+4891+5201+4835</f>
        <v>48290</v>
      </c>
      <c r="L8" s="15">
        <f>2716+2398</f>
        <v>5114</v>
      </c>
      <c r="M8" s="15">
        <f t="shared" si="0"/>
        <v>5114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0.54166666666666674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140000</v>
      </c>
      <c r="J9" s="14">
        <v>3536</v>
      </c>
      <c r="K9" s="15">
        <f>L9+4307+3057+1874</f>
        <v>12774</v>
      </c>
      <c r="L9" s="15">
        <f>2645+891</f>
        <v>3536</v>
      </c>
      <c r="M9" s="15">
        <f t="shared" si="0"/>
        <v>3536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0.54166666666666674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360</v>
      </c>
      <c r="E10" s="53" t="s">
        <v>359</v>
      </c>
      <c r="F10" s="30" t="s">
        <v>337</v>
      </c>
      <c r="G10" s="33">
        <v>1</v>
      </c>
      <c r="H10" s="35">
        <v>24</v>
      </c>
      <c r="I10" s="7">
        <v>2000</v>
      </c>
      <c r="J10" s="5">
        <v>2220</v>
      </c>
      <c r="K10" s="15">
        <f>L10+2211+4593+2220</f>
        <v>9024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0.54166666666666674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3428</v>
      </c>
      <c r="K11" s="15">
        <f>L11+800+1932+2923</f>
        <v>9083</v>
      </c>
      <c r="L11" s="15">
        <f>2861+567</f>
        <v>3428</v>
      </c>
      <c r="M11" s="15">
        <f t="shared" si="0"/>
        <v>3428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0.54166666666666674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4502</v>
      </c>
      <c r="K12" s="15">
        <f>L12+1126+4135+4723+4686+4459+3892+2750</f>
        <v>30273</v>
      </c>
      <c r="L12" s="15">
        <f>2370+2132</f>
        <v>4502</v>
      </c>
      <c r="M12" s="15">
        <f t="shared" si="0"/>
        <v>4502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0.54166666666666674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158</v>
      </c>
      <c r="F13" s="30" t="s">
        <v>125</v>
      </c>
      <c r="G13" s="33">
        <v>4</v>
      </c>
      <c r="H13" s="35">
        <v>24</v>
      </c>
      <c r="I13" s="7">
        <v>500000</v>
      </c>
      <c r="J13" s="5">
        <v>7848</v>
      </c>
      <c r="K13" s="15">
        <f>L13+12212+20232+16256+9762+15771+11739+16704+16779+14433+15558+10107+21780+11559+16257+16449+13932+20784</f>
        <v>268162</v>
      </c>
      <c r="L13" s="15">
        <f>1962*4</f>
        <v>7848</v>
      </c>
      <c r="M13" s="15">
        <f t="shared" si="0"/>
        <v>7848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>
        <v>15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>AC13*AB13*(1-O13)</f>
        <v>0.375</v>
      </c>
      <c r="AE13" s="36">
        <f t="shared" si="7"/>
        <v>0.54166666666666674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0.54166666666666674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2680</v>
      </c>
      <c r="K15" s="15">
        <f>L15</f>
        <v>2680</v>
      </c>
      <c r="L15" s="15">
        <f>2680</f>
        <v>2680</v>
      </c>
      <c r="M15" s="15">
        <f t="shared" si="0"/>
        <v>2680</v>
      </c>
      <c r="N15" s="15">
        <v>0</v>
      </c>
      <c r="O15" s="58">
        <f t="shared" si="1"/>
        <v>0</v>
      </c>
      <c r="P15" s="39">
        <f t="shared" si="2"/>
        <v>13</v>
      </c>
      <c r="Q15" s="40">
        <f t="shared" si="3"/>
        <v>11</v>
      </c>
      <c r="R15" s="7"/>
      <c r="S15" s="6">
        <v>11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6">
        <f t="shared" si="7"/>
        <v>0.54166666666666674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0.54166666666666674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391</v>
      </c>
      <c r="F17" s="30" t="s">
        <v>128</v>
      </c>
      <c r="G17" s="12">
        <v>4</v>
      </c>
      <c r="H17" s="13">
        <v>24</v>
      </c>
      <c r="I17" s="7">
        <v>90000</v>
      </c>
      <c r="J17" s="14">
        <v>21792</v>
      </c>
      <c r="K17" s="15">
        <f>L17+10048</f>
        <v>31840</v>
      </c>
      <c r="L17" s="15">
        <f>2837*4+2611*4</f>
        <v>21792</v>
      </c>
      <c r="M17" s="15">
        <f t="shared" si="0"/>
        <v>21792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0.54166666666666674</v>
      </c>
      <c r="AF17" s="84">
        <f t="shared" si="8"/>
        <v>12</v>
      </c>
    </row>
    <row r="18" spans="1:32" ht="27" customHeight="1">
      <c r="A18" s="113">
        <v>13</v>
      </c>
      <c r="B18" s="11" t="s">
        <v>57</v>
      </c>
      <c r="C18" s="34" t="s">
        <v>120</v>
      </c>
      <c r="D18" s="52" t="s">
        <v>115</v>
      </c>
      <c r="E18" s="53" t="s">
        <v>312</v>
      </c>
      <c r="F18" s="30" t="s">
        <v>292</v>
      </c>
      <c r="G18" s="12">
        <v>1</v>
      </c>
      <c r="H18" s="13">
        <v>28</v>
      </c>
      <c r="I18" s="31">
        <v>140000</v>
      </c>
      <c r="J18" s="5">
        <v>3035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0.54166666666666674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927</v>
      </c>
      <c r="K19" s="15">
        <f>L19+1964+2699+1215+3702+2680</f>
        <v>13187</v>
      </c>
      <c r="L19" s="15">
        <f>927</f>
        <v>927</v>
      </c>
      <c r="M19" s="15">
        <f t="shared" si="0"/>
        <v>927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>
        <v>19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>AC19*AB19*(1-O19)</f>
        <v>0.20833333333333334</v>
      </c>
      <c r="AE19" s="36">
        <f t="shared" si="7"/>
        <v>0.54166666666666674</v>
      </c>
      <c r="AF19" s="84">
        <f t="shared" si="8"/>
        <v>14</v>
      </c>
    </row>
    <row r="20" spans="1:32" ht="27" customHeight="1">
      <c r="A20" s="96">
        <v>15</v>
      </c>
      <c r="B20" s="11" t="s">
        <v>57</v>
      </c>
      <c r="C20" s="11" t="s">
        <v>120</v>
      </c>
      <c r="D20" s="52" t="s">
        <v>115</v>
      </c>
      <c r="E20" s="53" t="s">
        <v>395</v>
      </c>
      <c r="F20" s="30" t="s">
        <v>150</v>
      </c>
      <c r="G20" s="33">
        <v>1</v>
      </c>
      <c r="H20" s="35">
        <v>24</v>
      </c>
      <c r="I20" s="7">
        <v>35000</v>
      </c>
      <c r="J20" s="14">
        <v>4046</v>
      </c>
      <c r="K20" s="15">
        <f>L20</f>
        <v>4046</v>
      </c>
      <c r="L20" s="15">
        <f>1618+2428</f>
        <v>4046</v>
      </c>
      <c r="M20" s="15">
        <f t="shared" si="0"/>
        <v>4046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0.54166666666666674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41832</v>
      </c>
      <c r="K21" s="15">
        <f>L21+16808+39112+38440+39748+31140+68844+45656+37140+73976+32892+39440+37868+39596+38388+34736+36544+66564+43260+46640+42244+41088</f>
        <v>931956</v>
      </c>
      <c r="L21" s="15">
        <f>10458*4</f>
        <v>41832</v>
      </c>
      <c r="M21" s="15">
        <f t="shared" si="0"/>
        <v>41832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0.54166666666666674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0">SUM(I6:I21)</f>
        <v>2152300</v>
      </c>
      <c r="J22" s="19">
        <f t="shared" si="10"/>
        <v>154398</v>
      </c>
      <c r="K22" s="20">
        <f t="shared" si="10"/>
        <v>1467992</v>
      </c>
      <c r="L22" s="21">
        <f t="shared" si="10"/>
        <v>130144</v>
      </c>
      <c r="M22" s="20">
        <f t="shared" si="10"/>
        <v>130144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208</v>
      </c>
      <c r="Q22" s="43">
        <f t="shared" si="11"/>
        <v>176</v>
      </c>
      <c r="R22" s="23">
        <f t="shared" si="11"/>
        <v>24</v>
      </c>
      <c r="S22" s="24">
        <f t="shared" si="11"/>
        <v>118</v>
      </c>
      <c r="T22" s="24">
        <f t="shared" si="11"/>
        <v>0</v>
      </c>
      <c r="U22" s="24">
        <f t="shared" si="11"/>
        <v>0</v>
      </c>
      <c r="V22" s="25">
        <f t="shared" si="11"/>
        <v>10</v>
      </c>
      <c r="W22" s="26">
        <f t="shared" si="11"/>
        <v>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0.75</v>
      </c>
      <c r="AC22" s="4">
        <f>AVERAGE(AC6:AC21)</f>
        <v>0.54166666666666674</v>
      </c>
      <c r="AD22" s="4">
        <f>AVERAGE(AD6:AD21)</f>
        <v>0.54166666666666674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402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405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264" t="s">
        <v>46</v>
      </c>
      <c r="D51" s="264" t="s">
        <v>47</v>
      </c>
      <c r="E51" s="264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264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112</v>
      </c>
      <c r="B52" s="451"/>
      <c r="C52" s="261" t="s">
        <v>215</v>
      </c>
      <c r="D52" s="261" t="s">
        <v>155</v>
      </c>
      <c r="E52" s="261" t="s">
        <v>280</v>
      </c>
      <c r="F52" s="452" t="s">
        <v>403</v>
      </c>
      <c r="G52" s="453"/>
      <c r="H52" s="453"/>
      <c r="I52" s="453"/>
      <c r="J52" s="453"/>
      <c r="K52" s="453"/>
      <c r="L52" s="453"/>
      <c r="M52" s="454"/>
      <c r="N52" s="260" t="s">
        <v>112</v>
      </c>
      <c r="O52" s="258" t="s">
        <v>215</v>
      </c>
      <c r="P52" s="455" t="s">
        <v>155</v>
      </c>
      <c r="Q52" s="456"/>
      <c r="R52" s="455" t="s">
        <v>280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261" t="s">
        <v>135</v>
      </c>
      <c r="D53" s="261" t="s">
        <v>265</v>
      </c>
      <c r="E53" s="261" t="s">
        <v>273</v>
      </c>
      <c r="F53" s="452" t="s">
        <v>344</v>
      </c>
      <c r="G53" s="453"/>
      <c r="H53" s="453"/>
      <c r="I53" s="453"/>
      <c r="J53" s="453"/>
      <c r="K53" s="453"/>
      <c r="L53" s="453"/>
      <c r="M53" s="454"/>
      <c r="N53" s="260" t="s">
        <v>120</v>
      </c>
      <c r="O53" s="258" t="s">
        <v>138</v>
      </c>
      <c r="P53" s="455" t="s">
        <v>115</v>
      </c>
      <c r="Q53" s="456"/>
      <c r="R53" s="455" t="s">
        <v>312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261" t="s">
        <v>157</v>
      </c>
      <c r="D54" s="261" t="s">
        <v>126</v>
      </c>
      <c r="E54" s="261" t="s">
        <v>303</v>
      </c>
      <c r="F54" s="452" t="s">
        <v>344</v>
      </c>
      <c r="G54" s="453"/>
      <c r="H54" s="453"/>
      <c r="I54" s="453"/>
      <c r="J54" s="453"/>
      <c r="K54" s="453"/>
      <c r="L54" s="453"/>
      <c r="M54" s="454"/>
      <c r="N54" s="260"/>
      <c r="O54" s="258"/>
      <c r="P54" s="455"/>
      <c r="Q54" s="456"/>
      <c r="R54" s="455"/>
      <c r="S54" s="457"/>
      <c r="T54" s="457"/>
      <c r="U54" s="456"/>
      <c r="V54" s="458"/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121</v>
      </c>
      <c r="B55" s="451"/>
      <c r="C55" s="261" t="s">
        <v>240</v>
      </c>
      <c r="D55" s="261" t="s">
        <v>115</v>
      </c>
      <c r="E55" s="261" t="s">
        <v>158</v>
      </c>
      <c r="F55" s="452" t="s">
        <v>404</v>
      </c>
      <c r="G55" s="453"/>
      <c r="H55" s="453"/>
      <c r="I55" s="453"/>
      <c r="J55" s="453"/>
      <c r="K55" s="453"/>
      <c r="L55" s="453"/>
      <c r="M55" s="454"/>
      <c r="N55" s="260"/>
      <c r="O55" s="258"/>
      <c r="P55" s="455"/>
      <c r="Q55" s="456"/>
      <c r="R55" s="455"/>
      <c r="S55" s="457"/>
      <c r="T55" s="457"/>
      <c r="U55" s="456"/>
      <c r="V55" s="458"/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261" t="s">
        <v>138</v>
      </c>
      <c r="D56" s="261" t="s">
        <v>115</v>
      </c>
      <c r="E56" s="261" t="s">
        <v>312</v>
      </c>
      <c r="F56" s="452" t="s">
        <v>326</v>
      </c>
      <c r="G56" s="453"/>
      <c r="H56" s="453"/>
      <c r="I56" s="453"/>
      <c r="J56" s="453"/>
      <c r="K56" s="453"/>
      <c r="L56" s="453"/>
      <c r="M56" s="454"/>
      <c r="N56" s="260"/>
      <c r="O56" s="258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121</v>
      </c>
      <c r="B57" s="451"/>
      <c r="C57" s="261" t="s">
        <v>145</v>
      </c>
      <c r="D57" s="261"/>
      <c r="E57" s="261" t="s">
        <v>330</v>
      </c>
      <c r="F57" s="452" t="s">
        <v>139</v>
      </c>
      <c r="G57" s="453"/>
      <c r="H57" s="453"/>
      <c r="I57" s="453"/>
      <c r="J57" s="453"/>
      <c r="K57" s="453"/>
      <c r="L57" s="453"/>
      <c r="M57" s="454"/>
      <c r="N57" s="260"/>
      <c r="O57" s="258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120</v>
      </c>
      <c r="B58" s="451"/>
      <c r="C58" s="261" t="s">
        <v>193</v>
      </c>
      <c r="D58" s="261" t="s">
        <v>115</v>
      </c>
      <c r="E58" s="261" t="s">
        <v>395</v>
      </c>
      <c r="F58" s="452" t="s">
        <v>406</v>
      </c>
      <c r="G58" s="453"/>
      <c r="H58" s="453"/>
      <c r="I58" s="453"/>
      <c r="J58" s="453"/>
      <c r="K58" s="453"/>
      <c r="L58" s="453"/>
      <c r="M58" s="454"/>
      <c r="N58" s="260"/>
      <c r="O58" s="258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61"/>
      <c r="D59" s="261"/>
      <c r="E59" s="261"/>
      <c r="F59" s="452"/>
      <c r="G59" s="453"/>
      <c r="H59" s="453"/>
      <c r="I59" s="453"/>
      <c r="J59" s="453"/>
      <c r="K59" s="453"/>
      <c r="L59" s="453"/>
      <c r="M59" s="454"/>
      <c r="N59" s="260"/>
      <c r="O59" s="258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61"/>
      <c r="D60" s="261"/>
      <c r="E60" s="261"/>
      <c r="F60" s="452"/>
      <c r="G60" s="453"/>
      <c r="H60" s="453"/>
      <c r="I60" s="453"/>
      <c r="J60" s="453"/>
      <c r="K60" s="453"/>
      <c r="L60" s="453"/>
      <c r="M60" s="454"/>
      <c r="N60" s="260"/>
      <c r="O60" s="258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262"/>
      <c r="D61" s="263"/>
      <c r="E61" s="263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407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59" t="s">
        <v>2</v>
      </c>
      <c r="D63" s="259" t="s">
        <v>37</v>
      </c>
      <c r="E63" s="259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59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254"/>
      <c r="E64" s="257" t="s">
        <v>143</v>
      </c>
      <c r="F64" s="477" t="s">
        <v>408</v>
      </c>
      <c r="G64" s="478"/>
      <c r="H64" s="478"/>
      <c r="I64" s="478"/>
      <c r="J64" s="479"/>
      <c r="K64" s="480" t="s">
        <v>128</v>
      </c>
      <c r="L64" s="480"/>
      <c r="M64" s="51" t="s">
        <v>147</v>
      </c>
      <c r="N64" s="481" t="s">
        <v>151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/>
      <c r="D65" s="254"/>
      <c r="E65" s="257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254"/>
      <c r="E66" s="257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254"/>
      <c r="E67" s="257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254"/>
      <c r="E68" s="257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254"/>
      <c r="E69" s="257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254"/>
      <c r="E70" s="257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254"/>
      <c r="E71" s="257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254"/>
      <c r="E72" s="257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254"/>
      <c r="E73" s="257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409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256" t="s">
        <v>2</v>
      </c>
      <c r="D75" s="256" t="s">
        <v>37</v>
      </c>
      <c r="E75" s="256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255" t="s">
        <v>112</v>
      </c>
      <c r="D76" s="255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254"/>
      <c r="D77" s="254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2">A77+1</f>
        <v>3</v>
      </c>
      <c r="B78" s="496"/>
      <c r="C78" s="254"/>
      <c r="D78" s="254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2"/>
        <v>4</v>
      </c>
      <c r="B79" s="496"/>
      <c r="C79" s="254"/>
      <c r="D79" s="254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2"/>
        <v>5</v>
      </c>
      <c r="B80" s="496"/>
      <c r="C80" s="254"/>
      <c r="D80" s="254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2"/>
        <v>6</v>
      </c>
      <c r="B81" s="496"/>
      <c r="C81" s="254"/>
      <c r="D81" s="254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2"/>
        <v>7</v>
      </c>
      <c r="B82" s="496"/>
      <c r="C82" s="254"/>
      <c r="D82" s="254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410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E397-D878-4959-86CB-ECEBEB4E12B7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411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66" t="s">
        <v>17</v>
      </c>
      <c r="L5" s="266" t="s">
        <v>18</v>
      </c>
      <c r="M5" s="266" t="s">
        <v>19</v>
      </c>
      <c r="N5" s="26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29960</v>
      </c>
      <c r="K6" s="15">
        <f>L6+21540+35325+5060+28540</f>
        <v>120425</v>
      </c>
      <c r="L6" s="15">
        <f>2054*5+3938*5</f>
        <v>29960</v>
      </c>
      <c r="M6" s="15">
        <f t="shared" ref="M6:M21" si="0">L6-N6</f>
        <v>29960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22</v>
      </c>
      <c r="Q6" s="40">
        <f t="shared" ref="Q6:Q21" si="3">SUM(R6:AA6)</f>
        <v>2</v>
      </c>
      <c r="R6" s="7"/>
      <c r="S6" s="6">
        <v>2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0.91666666666666663</v>
      </c>
      <c r="AD6" s="10">
        <f t="shared" ref="AD6:AD21" si="6">AC6*AB6*(1-O6)</f>
        <v>0.91666666666666663</v>
      </c>
      <c r="AE6" s="36">
        <f t="shared" ref="AE6:AE21" si="7">$AD$22</f>
        <v>0.70052083333333326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5938</v>
      </c>
      <c r="K7" s="15">
        <f>L7+670+3377+5927+5899</f>
        <v>21811</v>
      </c>
      <c r="L7" s="15">
        <f>3101+2837</f>
        <v>5938</v>
      </c>
      <c r="M7" s="15">
        <f t="shared" si="0"/>
        <v>5938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0.70052083333333326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5236</v>
      </c>
      <c r="K8" s="15">
        <f>L8+4389+4644+4956+4921+4171+5168+4891+5201+4835+5114</f>
        <v>53526</v>
      </c>
      <c r="L8" s="15">
        <f>2748+2488</f>
        <v>5236</v>
      </c>
      <c r="M8" s="15">
        <f t="shared" si="0"/>
        <v>5236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0.70052083333333326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140000</v>
      </c>
      <c r="J9" s="14">
        <v>5075</v>
      </c>
      <c r="K9" s="15">
        <f>L9+4307+3057+1874+3536</f>
        <v>17849</v>
      </c>
      <c r="L9" s="15">
        <f>2635+2440</f>
        <v>5075</v>
      </c>
      <c r="M9" s="15">
        <f t="shared" si="0"/>
        <v>5075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0.70052083333333326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360</v>
      </c>
      <c r="E10" s="53" t="s">
        <v>359</v>
      </c>
      <c r="F10" s="30" t="s">
        <v>337</v>
      </c>
      <c r="G10" s="33">
        <v>1</v>
      </c>
      <c r="H10" s="35">
        <v>24</v>
      </c>
      <c r="I10" s="7">
        <v>2000</v>
      </c>
      <c r="J10" s="5">
        <v>2220</v>
      </c>
      <c r="K10" s="15">
        <f>L10+2211+4593+2220</f>
        <v>9024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0.70052083333333326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3780</v>
      </c>
      <c r="K11" s="15">
        <f>L11+800+1932+2923+3428</f>
        <v>12863</v>
      </c>
      <c r="L11" s="15">
        <f>1129+2651</f>
        <v>3780</v>
      </c>
      <c r="M11" s="15">
        <f t="shared" si="0"/>
        <v>3780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ref="AD11:AD14" si="9">AC11*AB11*(1-O11)</f>
        <v>0.79166666666666663</v>
      </c>
      <c r="AE11" s="36">
        <f t="shared" si="7"/>
        <v>0.70052083333333326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4561</v>
      </c>
      <c r="K12" s="15">
        <f>L12+1126+4135+4723+4686+4459+3892+2750+4502</f>
        <v>34834</v>
      </c>
      <c r="L12" s="15">
        <f>2391+2170</f>
        <v>4561</v>
      </c>
      <c r="M12" s="15">
        <f t="shared" si="0"/>
        <v>4561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0.70052083333333326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412</v>
      </c>
      <c r="E13" s="53" t="s">
        <v>413</v>
      </c>
      <c r="F13" s="30" t="s">
        <v>150</v>
      </c>
      <c r="G13" s="33">
        <v>1</v>
      </c>
      <c r="H13" s="35">
        <v>24</v>
      </c>
      <c r="I13" s="7">
        <v>4000</v>
      </c>
      <c r="J13" s="5">
        <v>4525</v>
      </c>
      <c r="K13" s="15">
        <f>L13</f>
        <v>4525</v>
      </c>
      <c r="L13" s="15">
        <f>1406+2735+384</f>
        <v>4525</v>
      </c>
      <c r="M13" s="15">
        <f t="shared" si="0"/>
        <v>4525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>AC13*AB13*(1-O13)</f>
        <v>0.95833333333333337</v>
      </c>
      <c r="AE13" s="36">
        <f t="shared" si="7"/>
        <v>0.70052083333333326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0.70052083333333326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</f>
        <v>7363</v>
      </c>
      <c r="L15" s="15">
        <f>2859+1824</f>
        <v>4683</v>
      </c>
      <c r="M15" s="15">
        <f t="shared" si="0"/>
        <v>4683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0.70052083333333326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0.70052083333333326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391</v>
      </c>
      <c r="F17" s="30" t="s">
        <v>128</v>
      </c>
      <c r="G17" s="12">
        <v>4</v>
      </c>
      <c r="H17" s="13">
        <v>24</v>
      </c>
      <c r="I17" s="7">
        <v>90000</v>
      </c>
      <c r="J17" s="14">
        <v>17916</v>
      </c>
      <c r="K17" s="15">
        <f>L17+10048+21792</f>
        <v>49756</v>
      </c>
      <c r="L17" s="15">
        <f>2865*4+1614*4</f>
        <v>17916</v>
      </c>
      <c r="M17" s="15">
        <f t="shared" si="0"/>
        <v>17916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0.70052083333333326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395</v>
      </c>
      <c r="F18" s="30" t="s">
        <v>150</v>
      </c>
      <c r="G18" s="33">
        <v>1</v>
      </c>
      <c r="H18" s="35">
        <v>24</v>
      </c>
      <c r="I18" s="7">
        <v>35000</v>
      </c>
      <c r="J18" s="14">
        <v>4865</v>
      </c>
      <c r="K18" s="15">
        <f>L18+4046</f>
        <v>8911</v>
      </c>
      <c r="L18" s="15">
        <f>2116+2749</f>
        <v>4865</v>
      </c>
      <c r="M18" s="15">
        <f t="shared" ref="M18" si="10">L18-N18</f>
        <v>4865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24</v>
      </c>
      <c r="Q18" s="40">
        <f t="shared" ref="Q18" si="13">SUM(R18:AA18)</f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1</v>
      </c>
      <c r="AD18" s="10">
        <f t="shared" ref="AD18" si="16">AC18*AB18*(1-O18)</f>
        <v>1</v>
      </c>
      <c r="AE18" s="36">
        <f t="shared" si="7"/>
        <v>0.70052083333333326</v>
      </c>
      <c r="AF18" s="84">
        <f t="shared" ref="AF18" si="17">A18</f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2666</v>
      </c>
      <c r="K19" s="15">
        <f>L19+1964+2699+1215+3702+2680+927</f>
        <v>15853</v>
      </c>
      <c r="L19" s="15">
        <f>1838+828</f>
        <v>2666</v>
      </c>
      <c r="M19" s="15">
        <f t="shared" si="0"/>
        <v>2666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>AC19*AB19*(1-O19)</f>
        <v>0.66666666666666663</v>
      </c>
      <c r="AE19" s="36">
        <f t="shared" si="7"/>
        <v>0.70052083333333326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312</v>
      </c>
      <c r="F20" s="30" t="s">
        <v>292</v>
      </c>
      <c r="G20" s="12">
        <v>1</v>
      </c>
      <c r="H20" s="13">
        <v>28</v>
      </c>
      <c r="I20" s="31">
        <v>140000</v>
      </c>
      <c r="J20" s="5">
        <v>1103</v>
      </c>
      <c r="K20" s="15">
        <f>L20</f>
        <v>1103</v>
      </c>
      <c r="L20" s="15">
        <f>1103</f>
        <v>1103</v>
      </c>
      <c r="M20" s="15">
        <f t="shared" ref="M20" si="18">L20-N20</f>
        <v>1103</v>
      </c>
      <c r="N20" s="15">
        <v>0</v>
      </c>
      <c r="O20" s="58">
        <f t="shared" ref="O20" si="19">IF(L20=0,"0",N20/L20)</f>
        <v>0</v>
      </c>
      <c r="P20" s="39">
        <f t="shared" ref="P20" si="20">IF(L20=0,"0",(24-Q20))</f>
        <v>7</v>
      </c>
      <c r="Q20" s="40">
        <f t="shared" ref="Q20" si="21">SUM(R20:AA20)</f>
        <v>17</v>
      </c>
      <c r="R20" s="7"/>
      <c r="S20" s="6">
        <v>17</v>
      </c>
      <c r="T20" s="16"/>
      <c r="U20" s="16"/>
      <c r="V20" s="17"/>
      <c r="W20" s="5"/>
      <c r="X20" s="16"/>
      <c r="Y20" s="16"/>
      <c r="Z20" s="16"/>
      <c r="AA20" s="18"/>
      <c r="AB20" s="8">
        <f t="shared" ref="AB20" si="22">IF(J20=0,"0",(L20/J20))</f>
        <v>1</v>
      </c>
      <c r="AC20" s="9">
        <f t="shared" ref="AC20" si="23">IF(P20=0,"0",(P20/24))</f>
        <v>0.29166666666666669</v>
      </c>
      <c r="AD20" s="10">
        <f t="shared" ref="AD20" si="24">AC20*AB20*(1-O20)</f>
        <v>0.29166666666666669</v>
      </c>
      <c r="AE20" s="36">
        <f t="shared" si="7"/>
        <v>0.70052083333333326</v>
      </c>
      <c r="AF20" s="84">
        <f t="shared" ref="AF20" si="25">A20</f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36124</v>
      </c>
      <c r="K21" s="15">
        <f>L21+16808+39112+38440+39748+31140+68844+45656+37140+73976+32892+39440+37868+39596+38388+34736+36544+66564+43260+46640+42244+41088+41832</f>
        <v>968080</v>
      </c>
      <c r="L21" s="15">
        <f>9031*4</f>
        <v>36124</v>
      </c>
      <c r="M21" s="15">
        <f t="shared" si="0"/>
        <v>36124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0.70052083333333326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26">SUM(I6:I21)</f>
        <v>1656300</v>
      </c>
      <c r="J22" s="19">
        <f t="shared" si="26"/>
        <v>147651</v>
      </c>
      <c r="K22" s="20">
        <f t="shared" si="26"/>
        <v>1326262</v>
      </c>
      <c r="L22" s="21">
        <f t="shared" si="26"/>
        <v>126432</v>
      </c>
      <c r="M22" s="20">
        <f t="shared" si="26"/>
        <v>126432</v>
      </c>
      <c r="N22" s="21">
        <f t="shared" si="26"/>
        <v>0</v>
      </c>
      <c r="O22" s="41">
        <f t="shared" si="1"/>
        <v>0</v>
      </c>
      <c r="P22" s="42">
        <f t="shared" ref="P22:AA22" si="27">SUM(P6:P21)</f>
        <v>269</v>
      </c>
      <c r="Q22" s="43">
        <f t="shared" si="27"/>
        <v>115</v>
      </c>
      <c r="R22" s="23">
        <f t="shared" si="27"/>
        <v>24</v>
      </c>
      <c r="S22" s="24">
        <f t="shared" si="27"/>
        <v>56</v>
      </c>
      <c r="T22" s="24">
        <f t="shared" si="27"/>
        <v>1</v>
      </c>
      <c r="U22" s="24">
        <f t="shared" si="27"/>
        <v>0</v>
      </c>
      <c r="V22" s="25">
        <f t="shared" si="27"/>
        <v>10</v>
      </c>
      <c r="W22" s="26">
        <f t="shared" si="27"/>
        <v>0</v>
      </c>
      <c r="X22" s="27">
        <f t="shared" si="27"/>
        <v>0</v>
      </c>
      <c r="Y22" s="27">
        <f t="shared" si="27"/>
        <v>0</v>
      </c>
      <c r="Z22" s="27">
        <f t="shared" si="27"/>
        <v>0</v>
      </c>
      <c r="AA22" s="27">
        <f t="shared" si="27"/>
        <v>24</v>
      </c>
      <c r="AB22" s="28">
        <f>AVERAGE(AB6:AB21)</f>
        <v>0.8125</v>
      </c>
      <c r="AC22" s="4">
        <f>AVERAGE(AC6:AC21)</f>
        <v>0.70052083333333326</v>
      </c>
      <c r="AD22" s="4">
        <f>AVERAGE(AD6:AD21)</f>
        <v>0.70052083333333326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414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416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267" t="s">
        <v>46</v>
      </c>
      <c r="D51" s="267" t="s">
        <v>47</v>
      </c>
      <c r="E51" s="267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267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112</v>
      </c>
      <c r="B52" s="451"/>
      <c r="C52" s="269" t="s">
        <v>215</v>
      </c>
      <c r="D52" s="269" t="s">
        <v>155</v>
      </c>
      <c r="E52" s="269" t="s">
        <v>280</v>
      </c>
      <c r="F52" s="452" t="s">
        <v>356</v>
      </c>
      <c r="G52" s="453"/>
      <c r="H52" s="453"/>
      <c r="I52" s="453"/>
      <c r="J52" s="453"/>
      <c r="K52" s="453"/>
      <c r="L52" s="453"/>
      <c r="M52" s="454"/>
      <c r="N52" s="268" t="s">
        <v>112</v>
      </c>
      <c r="O52" s="274" t="s">
        <v>215</v>
      </c>
      <c r="P52" s="455" t="s">
        <v>155</v>
      </c>
      <c r="Q52" s="456"/>
      <c r="R52" s="455" t="s">
        <v>280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121</v>
      </c>
      <c r="B53" s="451"/>
      <c r="C53" s="269" t="s">
        <v>145</v>
      </c>
      <c r="D53" s="269"/>
      <c r="E53" s="269" t="s">
        <v>330</v>
      </c>
      <c r="F53" s="452" t="s">
        <v>415</v>
      </c>
      <c r="G53" s="453"/>
      <c r="H53" s="453"/>
      <c r="I53" s="453"/>
      <c r="J53" s="453"/>
      <c r="K53" s="453"/>
      <c r="L53" s="453"/>
      <c r="M53" s="454"/>
      <c r="N53" s="268" t="s">
        <v>120</v>
      </c>
      <c r="O53" s="274" t="s">
        <v>193</v>
      </c>
      <c r="P53" s="455" t="s">
        <v>115</v>
      </c>
      <c r="Q53" s="456"/>
      <c r="R53" s="455" t="s">
        <v>312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269" t="s">
        <v>157</v>
      </c>
      <c r="D54" s="269" t="s">
        <v>126</v>
      </c>
      <c r="E54" s="269" t="s">
        <v>303</v>
      </c>
      <c r="F54" s="452" t="s">
        <v>348</v>
      </c>
      <c r="G54" s="453"/>
      <c r="H54" s="453"/>
      <c r="I54" s="453"/>
      <c r="J54" s="453"/>
      <c r="K54" s="453"/>
      <c r="L54" s="453"/>
      <c r="M54" s="454"/>
      <c r="N54" s="268" t="s">
        <v>121</v>
      </c>
      <c r="O54" s="274" t="s">
        <v>145</v>
      </c>
      <c r="P54" s="455"/>
      <c r="Q54" s="456"/>
      <c r="R54" s="455" t="s">
        <v>330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121</v>
      </c>
      <c r="B55" s="451"/>
      <c r="C55" s="269" t="s">
        <v>240</v>
      </c>
      <c r="D55" s="269" t="s">
        <v>412</v>
      </c>
      <c r="E55" s="269" t="s">
        <v>413</v>
      </c>
      <c r="F55" s="452" t="s">
        <v>118</v>
      </c>
      <c r="G55" s="453"/>
      <c r="H55" s="453"/>
      <c r="I55" s="453"/>
      <c r="J55" s="453"/>
      <c r="K55" s="453"/>
      <c r="L55" s="453"/>
      <c r="M55" s="454"/>
      <c r="N55" s="268"/>
      <c r="O55" s="274"/>
      <c r="P55" s="455"/>
      <c r="Q55" s="456"/>
      <c r="R55" s="455"/>
      <c r="S55" s="457"/>
      <c r="T55" s="457"/>
      <c r="U55" s="456"/>
      <c r="V55" s="458"/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269" t="s">
        <v>193</v>
      </c>
      <c r="D56" s="269" t="s">
        <v>115</v>
      </c>
      <c r="E56" s="269" t="s">
        <v>312</v>
      </c>
      <c r="F56" s="452" t="s">
        <v>326</v>
      </c>
      <c r="G56" s="453"/>
      <c r="H56" s="453"/>
      <c r="I56" s="453"/>
      <c r="J56" s="453"/>
      <c r="K56" s="453"/>
      <c r="L56" s="453"/>
      <c r="M56" s="454"/>
      <c r="N56" s="268"/>
      <c r="O56" s="274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269"/>
      <c r="D57" s="269"/>
      <c r="E57" s="269"/>
      <c r="F57" s="452"/>
      <c r="G57" s="453"/>
      <c r="H57" s="453"/>
      <c r="I57" s="453"/>
      <c r="J57" s="453"/>
      <c r="K57" s="453"/>
      <c r="L57" s="453"/>
      <c r="M57" s="454"/>
      <c r="N57" s="268"/>
      <c r="O57" s="274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269"/>
      <c r="D58" s="269"/>
      <c r="E58" s="269"/>
      <c r="F58" s="452"/>
      <c r="G58" s="453"/>
      <c r="H58" s="453"/>
      <c r="I58" s="453"/>
      <c r="J58" s="453"/>
      <c r="K58" s="453"/>
      <c r="L58" s="453"/>
      <c r="M58" s="454"/>
      <c r="N58" s="268"/>
      <c r="O58" s="274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69"/>
      <c r="D59" s="269"/>
      <c r="E59" s="269"/>
      <c r="F59" s="452"/>
      <c r="G59" s="453"/>
      <c r="H59" s="453"/>
      <c r="I59" s="453"/>
      <c r="J59" s="453"/>
      <c r="K59" s="453"/>
      <c r="L59" s="453"/>
      <c r="M59" s="454"/>
      <c r="N59" s="268"/>
      <c r="O59" s="274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69"/>
      <c r="D60" s="269"/>
      <c r="E60" s="269"/>
      <c r="F60" s="452"/>
      <c r="G60" s="453"/>
      <c r="H60" s="453"/>
      <c r="I60" s="453"/>
      <c r="J60" s="453"/>
      <c r="K60" s="453"/>
      <c r="L60" s="453"/>
      <c r="M60" s="454"/>
      <c r="N60" s="268"/>
      <c r="O60" s="274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270"/>
      <c r="D61" s="271"/>
      <c r="E61" s="271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417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72" t="s">
        <v>2</v>
      </c>
      <c r="D63" s="272" t="s">
        <v>37</v>
      </c>
      <c r="E63" s="272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72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112</v>
      </c>
      <c r="D64" s="276"/>
      <c r="E64" s="273" t="s">
        <v>126</v>
      </c>
      <c r="F64" s="477" t="s">
        <v>418</v>
      </c>
      <c r="G64" s="478"/>
      <c r="H64" s="478"/>
      <c r="I64" s="478"/>
      <c r="J64" s="479"/>
      <c r="K64" s="480" t="s">
        <v>234</v>
      </c>
      <c r="L64" s="480"/>
      <c r="M64" s="51" t="s">
        <v>375</v>
      </c>
      <c r="N64" s="481" t="s">
        <v>151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112</v>
      </c>
      <c r="D65" s="276"/>
      <c r="E65" s="273" t="s">
        <v>115</v>
      </c>
      <c r="F65" s="477" t="s">
        <v>146</v>
      </c>
      <c r="G65" s="478"/>
      <c r="H65" s="478"/>
      <c r="I65" s="478"/>
      <c r="J65" s="479"/>
      <c r="K65" s="480">
        <v>7301</v>
      </c>
      <c r="L65" s="480"/>
      <c r="M65" s="51" t="s">
        <v>419</v>
      </c>
      <c r="N65" s="481" t="s">
        <v>148</v>
      </c>
      <c r="O65" s="481"/>
      <c r="P65" s="482">
        <v>50</v>
      </c>
      <c r="Q65" s="482"/>
      <c r="R65" s="458" t="s">
        <v>420</v>
      </c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 t="s">
        <v>112</v>
      </c>
      <c r="D66" s="276"/>
      <c r="E66" s="273" t="s">
        <v>115</v>
      </c>
      <c r="F66" s="477" t="s">
        <v>380</v>
      </c>
      <c r="G66" s="478"/>
      <c r="H66" s="478"/>
      <c r="I66" s="478"/>
      <c r="J66" s="479"/>
      <c r="K66" s="480">
        <v>7301</v>
      </c>
      <c r="L66" s="480"/>
      <c r="M66" s="51" t="s">
        <v>419</v>
      </c>
      <c r="N66" s="481" t="s">
        <v>215</v>
      </c>
      <c r="O66" s="481"/>
      <c r="P66" s="482">
        <v>30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276"/>
      <c r="E67" s="273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276"/>
      <c r="E68" s="27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276"/>
      <c r="E69" s="27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276"/>
      <c r="E70" s="273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276"/>
      <c r="E71" s="273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276"/>
      <c r="E72" s="27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276"/>
      <c r="E73" s="27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421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275" t="s">
        <v>2</v>
      </c>
      <c r="D75" s="275" t="s">
        <v>37</v>
      </c>
      <c r="E75" s="275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277" t="s">
        <v>112</v>
      </c>
      <c r="D76" s="277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276"/>
      <c r="D77" s="276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28">A77+1</f>
        <v>3</v>
      </c>
      <c r="B78" s="496"/>
      <c r="C78" s="276"/>
      <c r="D78" s="276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28"/>
        <v>4</v>
      </c>
      <c r="B79" s="496"/>
      <c r="C79" s="276"/>
      <c r="D79" s="276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8"/>
        <v>5</v>
      </c>
      <c r="B80" s="496"/>
      <c r="C80" s="276"/>
      <c r="D80" s="276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8"/>
        <v>6</v>
      </c>
      <c r="B81" s="496"/>
      <c r="C81" s="276"/>
      <c r="D81" s="276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8"/>
        <v>7</v>
      </c>
      <c r="B82" s="496"/>
      <c r="C82" s="276"/>
      <c r="D82" s="276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422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D77B-6C2E-41B2-803B-F9ADB494FED3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423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89" t="s">
        <v>17</v>
      </c>
      <c r="L5" s="289" t="s">
        <v>18</v>
      </c>
      <c r="M5" s="289" t="s">
        <v>19</v>
      </c>
      <c r="N5" s="2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39245</v>
      </c>
      <c r="K6" s="15">
        <f>L6+21540+35325+5060+28540+29960</f>
        <v>159670</v>
      </c>
      <c r="L6" s="15">
        <f>4499*5+3350*5</f>
        <v>39245</v>
      </c>
      <c r="M6" s="15">
        <f t="shared" ref="M6:M21" si="0">L6-N6</f>
        <v>39245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0.5859375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5872</v>
      </c>
      <c r="K7" s="15">
        <f>L7+670+3377+5927+5899+5938</f>
        <v>27683</v>
      </c>
      <c r="L7" s="15">
        <f>3025+2847</f>
        <v>5872</v>
      </c>
      <c r="M7" s="15">
        <f t="shared" si="0"/>
        <v>5872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0.5859375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5245</v>
      </c>
      <c r="K8" s="15">
        <f>L8+4389+4644+4956+4921+4171+5168+4891+5201+4835+5114+5236</f>
        <v>58771</v>
      </c>
      <c r="L8" s="15">
        <f>2753+2492</f>
        <v>5245</v>
      </c>
      <c r="M8" s="15">
        <f t="shared" si="0"/>
        <v>5245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0.5859375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273</v>
      </c>
      <c r="F9" s="30" t="s">
        <v>234</v>
      </c>
      <c r="G9" s="33">
        <v>1</v>
      </c>
      <c r="H9" s="35">
        <v>24</v>
      </c>
      <c r="I9" s="7">
        <v>140000</v>
      </c>
      <c r="J9" s="14">
        <v>4728</v>
      </c>
      <c r="K9" s="15">
        <f>L9+4307+3057+1874+3536+5075</f>
        <v>22577</v>
      </c>
      <c r="L9" s="15">
        <f>2283+2445</f>
        <v>4728</v>
      </c>
      <c r="M9" s="15">
        <f t="shared" si="0"/>
        <v>4728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0.5859375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360</v>
      </c>
      <c r="E10" s="53" t="s">
        <v>359</v>
      </c>
      <c r="F10" s="30" t="s">
        <v>337</v>
      </c>
      <c r="G10" s="33">
        <v>1</v>
      </c>
      <c r="H10" s="35">
        <v>24</v>
      </c>
      <c r="I10" s="7">
        <v>2000</v>
      </c>
      <c r="J10" s="5">
        <v>2220</v>
      </c>
      <c r="K10" s="15">
        <f>L10+2211+4593+2220</f>
        <v>9024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0.5859375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4942</v>
      </c>
      <c r="K11" s="15">
        <f>L11+800+1932+2923+3428+3780</f>
        <v>17805</v>
      </c>
      <c r="L11" s="15">
        <f>3046+1896</f>
        <v>4942</v>
      </c>
      <c r="M11" s="15">
        <f t="shared" si="0"/>
        <v>4942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>
        <v>2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7"/>
        <v>0.5859375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4665</v>
      </c>
      <c r="K12" s="15">
        <f>L12+1126+4135+4723+4686+4459+3892+2750+4502+4561</f>
        <v>39499</v>
      </c>
      <c r="L12" s="15">
        <f>2494+2171</f>
        <v>4665</v>
      </c>
      <c r="M12" s="15">
        <f t="shared" si="0"/>
        <v>4665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0.5859375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424</v>
      </c>
      <c r="F13" s="30" t="s">
        <v>125</v>
      </c>
      <c r="G13" s="33">
        <v>2</v>
      </c>
      <c r="H13" s="35">
        <v>24</v>
      </c>
      <c r="I13" s="7">
        <v>80000</v>
      </c>
      <c r="J13" s="5">
        <v>3076</v>
      </c>
      <c r="K13" s="15">
        <f>L13</f>
        <v>3076</v>
      </c>
      <c r="L13" s="15">
        <f>3076</f>
        <v>3076</v>
      </c>
      <c r="M13" s="15">
        <f t="shared" si="0"/>
        <v>3076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>AC13*AB13*(1-O13)</f>
        <v>0.58333333333333337</v>
      </c>
      <c r="AE13" s="36">
        <f t="shared" si="7"/>
        <v>0.5859375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0.5859375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0.5859375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0.5859375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391</v>
      </c>
      <c r="F17" s="30" t="s">
        <v>128</v>
      </c>
      <c r="G17" s="12">
        <v>4</v>
      </c>
      <c r="H17" s="13">
        <v>24</v>
      </c>
      <c r="I17" s="7">
        <v>90000</v>
      </c>
      <c r="J17" s="14">
        <v>22420</v>
      </c>
      <c r="K17" s="15">
        <f>L17+10048+21792+17916</f>
        <v>72176</v>
      </c>
      <c r="L17" s="15">
        <f>2622*4+2983*4</f>
        <v>22420</v>
      </c>
      <c r="M17" s="15">
        <f t="shared" si="0"/>
        <v>22420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0.5859375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395</v>
      </c>
      <c r="F18" s="30" t="s">
        <v>150</v>
      </c>
      <c r="G18" s="33">
        <v>1</v>
      </c>
      <c r="H18" s="35">
        <v>24</v>
      </c>
      <c r="I18" s="7">
        <v>35000</v>
      </c>
      <c r="J18" s="14">
        <v>5364</v>
      </c>
      <c r="K18" s="15">
        <f>L18+4046+4865</f>
        <v>14275</v>
      </c>
      <c r="L18" s="15">
        <f>2505+2859</f>
        <v>5364</v>
      </c>
      <c r="M18" s="15">
        <f t="shared" si="0"/>
        <v>5364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0.5859375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4081</v>
      </c>
      <c r="K19" s="15">
        <f>L19+1964+2699+1215+3702+2680+927+2666</f>
        <v>19934</v>
      </c>
      <c r="L19" s="15">
        <f>1320+2761</f>
        <v>4081</v>
      </c>
      <c r="M19" s="15">
        <f t="shared" si="0"/>
        <v>4081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>AC19*AB19*(1-O19)</f>
        <v>0.875</v>
      </c>
      <c r="AE19" s="36">
        <f t="shared" si="7"/>
        <v>0.5859375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312</v>
      </c>
      <c r="F20" s="30" t="s">
        <v>292</v>
      </c>
      <c r="G20" s="12">
        <v>1</v>
      </c>
      <c r="H20" s="13">
        <v>28</v>
      </c>
      <c r="I20" s="31">
        <v>140000</v>
      </c>
      <c r="J20" s="5">
        <v>1103</v>
      </c>
      <c r="K20" s="15">
        <f>L20+1103</f>
        <v>1103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ref="AD20" si="10">AC20*AB20*(1-O20)</f>
        <v>0</v>
      </c>
      <c r="AE20" s="36">
        <f t="shared" si="7"/>
        <v>0.5859375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36124</v>
      </c>
      <c r="K21" s="15">
        <f>L21+16808+39112+38440+39748+31140+68844+45656+37140+73976+32892+39440+37868+39596+38388+34736+36544+66564+43260+46640+42244+41088+41832+36124</f>
        <v>968080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0.5859375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1732300</v>
      </c>
      <c r="J22" s="19">
        <f t="shared" si="11"/>
        <v>162767</v>
      </c>
      <c r="K22" s="20">
        <f t="shared" si="11"/>
        <v>1421375</v>
      </c>
      <c r="L22" s="21">
        <f t="shared" si="11"/>
        <v>99638</v>
      </c>
      <c r="M22" s="20">
        <f t="shared" si="11"/>
        <v>99638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225</v>
      </c>
      <c r="Q22" s="43">
        <f t="shared" si="12"/>
        <v>159</v>
      </c>
      <c r="R22" s="23">
        <f t="shared" si="12"/>
        <v>26</v>
      </c>
      <c r="S22" s="24">
        <f t="shared" si="12"/>
        <v>61</v>
      </c>
      <c r="T22" s="24">
        <f t="shared" si="12"/>
        <v>0</v>
      </c>
      <c r="U22" s="24">
        <f t="shared" si="12"/>
        <v>0</v>
      </c>
      <c r="V22" s="25">
        <f t="shared" si="12"/>
        <v>24</v>
      </c>
      <c r="W22" s="26">
        <f t="shared" si="12"/>
        <v>0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48</v>
      </c>
      <c r="AB22" s="28">
        <f>AVERAGE(AB6:AB21)</f>
        <v>0.625</v>
      </c>
      <c r="AC22" s="4">
        <f>AVERAGE(AC6:AC21)</f>
        <v>0.5859375</v>
      </c>
      <c r="AD22" s="4">
        <f>AVERAGE(AD6:AD21)</f>
        <v>0.5859375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425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427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288" t="s">
        <v>46</v>
      </c>
      <c r="D51" s="288" t="s">
        <v>47</v>
      </c>
      <c r="E51" s="288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288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112</v>
      </c>
      <c r="B52" s="451"/>
      <c r="C52" s="285" t="s">
        <v>215</v>
      </c>
      <c r="D52" s="285" t="s">
        <v>155</v>
      </c>
      <c r="E52" s="285" t="s">
        <v>280</v>
      </c>
      <c r="F52" s="452" t="s">
        <v>139</v>
      </c>
      <c r="G52" s="453"/>
      <c r="H52" s="453"/>
      <c r="I52" s="453"/>
      <c r="J52" s="453"/>
      <c r="K52" s="453"/>
      <c r="L52" s="453"/>
      <c r="M52" s="454"/>
      <c r="N52" s="284" t="s">
        <v>120</v>
      </c>
      <c r="O52" s="282" t="s">
        <v>193</v>
      </c>
      <c r="P52" s="455" t="s">
        <v>115</v>
      </c>
      <c r="Q52" s="456"/>
      <c r="R52" s="455" t="s">
        <v>312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121</v>
      </c>
      <c r="B53" s="451"/>
      <c r="C53" s="285" t="s">
        <v>145</v>
      </c>
      <c r="D53" s="285"/>
      <c r="E53" s="285" t="s">
        <v>330</v>
      </c>
      <c r="F53" s="452" t="s">
        <v>139</v>
      </c>
      <c r="G53" s="453"/>
      <c r="H53" s="453"/>
      <c r="I53" s="453"/>
      <c r="J53" s="453"/>
      <c r="K53" s="453"/>
      <c r="L53" s="453"/>
      <c r="M53" s="454"/>
      <c r="N53" s="284" t="s">
        <v>120</v>
      </c>
      <c r="O53" s="282" t="s">
        <v>131</v>
      </c>
      <c r="P53" s="455" t="s">
        <v>143</v>
      </c>
      <c r="Q53" s="456"/>
      <c r="R53" s="455" t="s">
        <v>428</v>
      </c>
      <c r="S53" s="457"/>
      <c r="T53" s="457"/>
      <c r="U53" s="456"/>
      <c r="V53" s="458" t="s">
        <v>192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285" t="s">
        <v>157</v>
      </c>
      <c r="D54" s="285" t="s">
        <v>126</v>
      </c>
      <c r="E54" s="285" t="s">
        <v>303</v>
      </c>
      <c r="F54" s="452" t="s">
        <v>139</v>
      </c>
      <c r="G54" s="453"/>
      <c r="H54" s="453"/>
      <c r="I54" s="453"/>
      <c r="J54" s="453"/>
      <c r="K54" s="453"/>
      <c r="L54" s="453"/>
      <c r="M54" s="454"/>
      <c r="N54" s="284" t="s">
        <v>120</v>
      </c>
      <c r="O54" s="282" t="s">
        <v>135</v>
      </c>
      <c r="P54" s="455" t="s">
        <v>429</v>
      </c>
      <c r="Q54" s="456"/>
      <c r="R54" s="455" t="s">
        <v>430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121</v>
      </c>
      <c r="B55" s="451"/>
      <c r="C55" s="285" t="s">
        <v>240</v>
      </c>
      <c r="D55" s="285" t="s">
        <v>115</v>
      </c>
      <c r="E55" s="285" t="s">
        <v>424</v>
      </c>
      <c r="F55" s="452" t="s">
        <v>345</v>
      </c>
      <c r="G55" s="453"/>
      <c r="H55" s="453"/>
      <c r="I55" s="453"/>
      <c r="J55" s="453"/>
      <c r="K55" s="453"/>
      <c r="L55" s="453"/>
      <c r="M55" s="454"/>
      <c r="N55" s="284" t="s">
        <v>121</v>
      </c>
      <c r="O55" s="282" t="s">
        <v>240</v>
      </c>
      <c r="P55" s="455" t="s">
        <v>115</v>
      </c>
      <c r="Q55" s="456"/>
      <c r="R55" s="455" t="s">
        <v>424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285" t="s">
        <v>193</v>
      </c>
      <c r="D56" s="285" t="s">
        <v>115</v>
      </c>
      <c r="E56" s="285" t="s">
        <v>312</v>
      </c>
      <c r="F56" s="452" t="s">
        <v>426</v>
      </c>
      <c r="G56" s="453"/>
      <c r="H56" s="453"/>
      <c r="I56" s="453"/>
      <c r="J56" s="453"/>
      <c r="K56" s="453"/>
      <c r="L56" s="453"/>
      <c r="M56" s="454"/>
      <c r="N56" s="284"/>
      <c r="O56" s="282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285"/>
      <c r="D57" s="285"/>
      <c r="E57" s="285"/>
      <c r="F57" s="452"/>
      <c r="G57" s="453"/>
      <c r="H57" s="453"/>
      <c r="I57" s="453"/>
      <c r="J57" s="453"/>
      <c r="K57" s="453"/>
      <c r="L57" s="453"/>
      <c r="M57" s="454"/>
      <c r="N57" s="284"/>
      <c r="O57" s="28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285"/>
      <c r="D58" s="285"/>
      <c r="E58" s="285"/>
      <c r="F58" s="452"/>
      <c r="G58" s="453"/>
      <c r="H58" s="453"/>
      <c r="I58" s="453"/>
      <c r="J58" s="453"/>
      <c r="K58" s="453"/>
      <c r="L58" s="453"/>
      <c r="M58" s="454"/>
      <c r="N58" s="284"/>
      <c r="O58" s="282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85"/>
      <c r="D59" s="285"/>
      <c r="E59" s="285"/>
      <c r="F59" s="452"/>
      <c r="G59" s="453"/>
      <c r="H59" s="453"/>
      <c r="I59" s="453"/>
      <c r="J59" s="453"/>
      <c r="K59" s="453"/>
      <c r="L59" s="453"/>
      <c r="M59" s="454"/>
      <c r="N59" s="284"/>
      <c r="O59" s="28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85"/>
      <c r="D60" s="285"/>
      <c r="E60" s="285"/>
      <c r="F60" s="452"/>
      <c r="G60" s="453"/>
      <c r="H60" s="453"/>
      <c r="I60" s="453"/>
      <c r="J60" s="453"/>
      <c r="K60" s="453"/>
      <c r="L60" s="453"/>
      <c r="M60" s="454"/>
      <c r="N60" s="284"/>
      <c r="O60" s="282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286"/>
      <c r="D61" s="287"/>
      <c r="E61" s="287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431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83" t="s">
        <v>2</v>
      </c>
      <c r="D63" s="283" t="s">
        <v>37</v>
      </c>
      <c r="E63" s="283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83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278"/>
      <c r="E64" s="281" t="s">
        <v>143</v>
      </c>
      <c r="F64" s="477" t="s">
        <v>432</v>
      </c>
      <c r="G64" s="478"/>
      <c r="H64" s="478"/>
      <c r="I64" s="478"/>
      <c r="J64" s="479"/>
      <c r="K64" s="480" t="s">
        <v>254</v>
      </c>
      <c r="L64" s="480"/>
      <c r="M64" s="51" t="s">
        <v>147</v>
      </c>
      <c r="N64" s="481" t="s">
        <v>144</v>
      </c>
      <c r="O64" s="481"/>
      <c r="P64" s="482"/>
      <c r="Q64" s="482"/>
      <c r="R64" s="458" t="s">
        <v>433</v>
      </c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/>
      <c r="D65" s="278"/>
      <c r="E65" s="281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278"/>
      <c r="E66" s="281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278"/>
      <c r="E67" s="281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278"/>
      <c r="E68" s="281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278"/>
      <c r="E69" s="28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278"/>
      <c r="E70" s="281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278"/>
      <c r="E71" s="28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278"/>
      <c r="E72" s="28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278"/>
      <c r="E73" s="28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434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280" t="s">
        <v>2</v>
      </c>
      <c r="D75" s="280" t="s">
        <v>37</v>
      </c>
      <c r="E75" s="280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279" t="s">
        <v>112</v>
      </c>
      <c r="D76" s="279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278"/>
      <c r="D77" s="278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278"/>
      <c r="D78" s="278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278"/>
      <c r="D79" s="278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278"/>
      <c r="D80" s="278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278"/>
      <c r="D81" s="278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278"/>
      <c r="D82" s="278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435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AFB-BDB5-4DD9-B41B-9C584A45E252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436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289" t="s">
        <v>17</v>
      </c>
      <c r="L5" s="289" t="s">
        <v>18</v>
      </c>
      <c r="M5" s="289" t="s">
        <v>19</v>
      </c>
      <c r="N5" s="2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121</v>
      </c>
      <c r="D6" s="52" t="s">
        <v>330</v>
      </c>
      <c r="E6" s="53" t="s">
        <v>331</v>
      </c>
      <c r="F6" s="30" t="s">
        <v>323</v>
      </c>
      <c r="G6" s="12">
        <v>8</v>
      </c>
      <c r="H6" s="13">
        <v>24</v>
      </c>
      <c r="I6" s="31">
        <v>200000</v>
      </c>
      <c r="J6" s="5">
        <v>13985</v>
      </c>
      <c r="K6" s="15">
        <f>L6+21540+35325+5060+28540+29960+39245</f>
        <v>173655</v>
      </c>
      <c r="L6" s="15">
        <f>2797*5</f>
        <v>13985</v>
      </c>
      <c r="M6" s="15">
        <f t="shared" ref="M6:M21" si="0">L6-N6</f>
        <v>13985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10</v>
      </c>
      <c r="Q6" s="40">
        <f t="shared" ref="Q6:Q21" si="3">SUM(R6:AA6)</f>
        <v>14</v>
      </c>
      <c r="R6" s="7"/>
      <c r="S6" s="6"/>
      <c r="T6" s="16"/>
      <c r="U6" s="16"/>
      <c r="V6" s="17">
        <v>14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0.41666666666666669</v>
      </c>
      <c r="AD6" s="10">
        <f t="shared" ref="AD6:AD21" si="6">AC6*AB6*(1-O6)</f>
        <v>0.41666666666666669</v>
      </c>
      <c r="AE6" s="36">
        <f t="shared" ref="AE6:AE21" si="7">$AD$22</f>
        <v>0.2265625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5872</v>
      </c>
      <c r="K7" s="15">
        <f>L7+670+3377+5927+5899+5938+5872</f>
        <v>27683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0.2265625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1099</v>
      </c>
      <c r="K8" s="15">
        <f>L8+4389+4644+4956+4921+4171+5168+4891+5201+4835+5114+5236+5245</f>
        <v>59870</v>
      </c>
      <c r="L8" s="15">
        <v>1099</v>
      </c>
      <c r="M8" s="15">
        <f t="shared" si="0"/>
        <v>1099</v>
      </c>
      <c r="N8" s="15">
        <v>0</v>
      </c>
      <c r="O8" s="58">
        <f t="shared" si="1"/>
        <v>0</v>
      </c>
      <c r="P8" s="39">
        <f t="shared" si="2"/>
        <v>6</v>
      </c>
      <c r="Q8" s="40">
        <f t="shared" si="3"/>
        <v>18</v>
      </c>
      <c r="R8" s="7"/>
      <c r="S8" s="6">
        <v>18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0.25</v>
      </c>
      <c r="AD8" s="10">
        <f t="shared" si="6"/>
        <v>0.25</v>
      </c>
      <c r="AE8" s="36">
        <f t="shared" si="7"/>
        <v>0.2265625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429</v>
      </c>
      <c r="E9" s="53" t="s">
        <v>430</v>
      </c>
      <c r="F9" s="30" t="s">
        <v>308</v>
      </c>
      <c r="G9" s="33" t="s">
        <v>437</v>
      </c>
      <c r="H9" s="35">
        <v>24</v>
      </c>
      <c r="I9" s="7">
        <v>1500</v>
      </c>
      <c r="J9" s="14">
        <v>1685</v>
      </c>
      <c r="K9" s="15">
        <f>L9</f>
        <v>1685</v>
      </c>
      <c r="L9" s="15">
        <v>1685</v>
      </c>
      <c r="M9" s="15">
        <f t="shared" si="0"/>
        <v>1685</v>
      </c>
      <c r="N9" s="15">
        <v>0</v>
      </c>
      <c r="O9" s="58">
        <f t="shared" si="1"/>
        <v>0</v>
      </c>
      <c r="P9" s="39">
        <f t="shared" si="2"/>
        <v>9</v>
      </c>
      <c r="Q9" s="40">
        <f t="shared" si="3"/>
        <v>15</v>
      </c>
      <c r="R9" s="7"/>
      <c r="S9" s="6"/>
      <c r="T9" s="16"/>
      <c r="U9" s="16"/>
      <c r="V9" s="17">
        <v>15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6">
        <f t="shared" si="7"/>
        <v>0.2265625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112</v>
      </c>
      <c r="D10" s="52" t="s">
        <v>360</v>
      </c>
      <c r="E10" s="53" t="s">
        <v>359</v>
      </c>
      <c r="F10" s="30" t="s">
        <v>337</v>
      </c>
      <c r="G10" s="33">
        <v>1</v>
      </c>
      <c r="H10" s="35">
        <v>24</v>
      </c>
      <c r="I10" s="7">
        <v>2000</v>
      </c>
      <c r="J10" s="5">
        <v>2220</v>
      </c>
      <c r="K10" s="15">
        <f>L10+2211+4593+2220</f>
        <v>9024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0.2265625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2381</v>
      </c>
      <c r="K11" s="15">
        <f>L11+800+1932+2923+3428+3780+4942</f>
        <v>20186</v>
      </c>
      <c r="L11" s="15">
        <f>2381</f>
        <v>2381</v>
      </c>
      <c r="M11" s="15">
        <f t="shared" si="0"/>
        <v>2381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ref="AD11:AD14" si="9">AC11*AB11*(1-O11)</f>
        <v>0.41666666666666669</v>
      </c>
      <c r="AE11" s="36">
        <f t="shared" si="7"/>
        <v>0.2265625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1871</v>
      </c>
      <c r="K12" s="15">
        <f>L12+1126+4135+4723+4686+4459+3892+2750+4502+4561+4665</f>
        <v>41370</v>
      </c>
      <c r="L12" s="15">
        <v>1871</v>
      </c>
      <c r="M12" s="15">
        <f t="shared" si="0"/>
        <v>1871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9"/>
        <v>0.41666666666666669</v>
      </c>
      <c r="AE12" s="36">
        <f t="shared" si="7"/>
        <v>0.2265625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424</v>
      </c>
      <c r="F13" s="30" t="s">
        <v>125</v>
      </c>
      <c r="G13" s="33">
        <v>2</v>
      </c>
      <c r="H13" s="35">
        <v>24</v>
      </c>
      <c r="I13" s="7">
        <v>80000</v>
      </c>
      <c r="J13" s="5">
        <v>3076</v>
      </c>
      <c r="K13" s="15">
        <f>L13+3076</f>
        <v>3076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0.2265625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0.2265625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0.2265625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121</v>
      </c>
      <c r="D16" s="52" t="s">
        <v>127</v>
      </c>
      <c r="E16" s="53" t="s">
        <v>316</v>
      </c>
      <c r="F16" s="30" t="s">
        <v>323</v>
      </c>
      <c r="G16" s="12">
        <v>4</v>
      </c>
      <c r="H16" s="13">
        <v>24</v>
      </c>
      <c r="I16" s="7">
        <v>80000</v>
      </c>
      <c r="J16" s="14">
        <v>18660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0.2265625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391</v>
      </c>
      <c r="F17" s="30" t="s">
        <v>128</v>
      </c>
      <c r="G17" s="12">
        <v>4</v>
      </c>
      <c r="H17" s="13">
        <v>24</v>
      </c>
      <c r="I17" s="7">
        <v>90000</v>
      </c>
      <c r="J17" s="14">
        <v>9048</v>
      </c>
      <c r="K17" s="15">
        <f>L17+10048+21792+17916+22420</f>
        <v>81224</v>
      </c>
      <c r="L17" s="15">
        <f>2262*4</f>
        <v>9048</v>
      </c>
      <c r="M17" s="15">
        <f t="shared" si="0"/>
        <v>9048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0.2265625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395</v>
      </c>
      <c r="F18" s="30" t="s">
        <v>150</v>
      </c>
      <c r="G18" s="33">
        <v>1</v>
      </c>
      <c r="H18" s="35">
        <v>24</v>
      </c>
      <c r="I18" s="7">
        <v>35000</v>
      </c>
      <c r="J18" s="14">
        <v>2142</v>
      </c>
      <c r="K18" s="15">
        <f>L18+4046+4865+5364</f>
        <v>16417</v>
      </c>
      <c r="L18" s="15">
        <v>2142</v>
      </c>
      <c r="M18" s="15">
        <f t="shared" si="0"/>
        <v>2142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0.2265625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2052</v>
      </c>
      <c r="K19" s="15">
        <f>L19+1964+2699+1215+3702+2680+927+2666+4081</f>
        <v>21986</v>
      </c>
      <c r="L19" s="15">
        <v>2052</v>
      </c>
      <c r="M19" s="15">
        <f t="shared" si="0"/>
        <v>2052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>
        <v>14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>AC19*AB19*(1-O19)</f>
        <v>0.41666666666666669</v>
      </c>
      <c r="AE19" s="36">
        <f t="shared" si="7"/>
        <v>0.2265625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438</v>
      </c>
      <c r="F20" s="30" t="s">
        <v>150</v>
      </c>
      <c r="G20" s="12">
        <v>1</v>
      </c>
      <c r="H20" s="13">
        <v>28</v>
      </c>
      <c r="I20" s="31">
        <v>1550</v>
      </c>
      <c r="J20" s="5">
        <v>500</v>
      </c>
      <c r="K20" s="15">
        <f>L20</f>
        <v>500</v>
      </c>
      <c r="L20" s="15">
        <v>500</v>
      </c>
      <c r="M20" s="15">
        <f t="shared" si="0"/>
        <v>500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6</v>
      </c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ref="AD20" si="10">AC20*AB20*(1-O20)</f>
        <v>0.16666666666666666</v>
      </c>
      <c r="AE20" s="36">
        <f t="shared" si="7"/>
        <v>0.2265625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27096</v>
      </c>
      <c r="K21" s="15">
        <f>L21+16808+39112+38440+39748+31140+68844+45656+37140+73976+32892+39440+37868+39596+38388+34736+36544+66564+43260+46640+42244+41088+41832+36124</f>
        <v>995176</v>
      </c>
      <c r="L21" s="15">
        <f>6774*4</f>
        <v>27096</v>
      </c>
      <c r="M21" s="15">
        <f t="shared" si="0"/>
        <v>27096</v>
      </c>
      <c r="N21" s="15">
        <v>0</v>
      </c>
      <c r="O21" s="58">
        <f t="shared" si="1"/>
        <v>0</v>
      </c>
      <c r="P21" s="39">
        <f t="shared" si="2"/>
        <v>8</v>
      </c>
      <c r="Q21" s="40">
        <f t="shared" si="3"/>
        <v>16</v>
      </c>
      <c r="R21" s="7"/>
      <c r="S21" s="6"/>
      <c r="T21" s="16"/>
      <c r="U21" s="16"/>
      <c r="V21" s="17">
        <v>16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0.33333333333333331</v>
      </c>
      <c r="AD21" s="10">
        <f t="shared" si="6"/>
        <v>0.33333333333333331</v>
      </c>
      <c r="AE21" s="36">
        <f t="shared" si="7"/>
        <v>0.2265625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1455350</v>
      </c>
      <c r="J22" s="19">
        <f t="shared" si="11"/>
        <v>96709</v>
      </c>
      <c r="K22" s="20">
        <f t="shared" si="11"/>
        <v>1459554</v>
      </c>
      <c r="L22" s="21">
        <f t="shared" si="11"/>
        <v>61859</v>
      </c>
      <c r="M22" s="20">
        <f t="shared" si="11"/>
        <v>61859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87</v>
      </c>
      <c r="Q22" s="43">
        <f t="shared" si="12"/>
        <v>297</v>
      </c>
      <c r="R22" s="23">
        <f t="shared" si="12"/>
        <v>24</v>
      </c>
      <c r="S22" s="24">
        <f t="shared" si="12"/>
        <v>96</v>
      </c>
      <c r="T22" s="24">
        <f t="shared" si="12"/>
        <v>0</v>
      </c>
      <c r="U22" s="24">
        <f t="shared" si="12"/>
        <v>0</v>
      </c>
      <c r="V22" s="25">
        <f t="shared" si="12"/>
        <v>129</v>
      </c>
      <c r="W22" s="26">
        <f t="shared" si="12"/>
        <v>0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48</v>
      </c>
      <c r="AB22" s="28">
        <f>AVERAGE(AB6:AB21)</f>
        <v>0.625</v>
      </c>
      <c r="AC22" s="4">
        <f>AVERAGE(AC6:AC21)</f>
        <v>0.2265625</v>
      </c>
      <c r="AD22" s="4">
        <f>AVERAGE(AD6:AD21)</f>
        <v>0.2265625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439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444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288" t="s">
        <v>46</v>
      </c>
      <c r="D51" s="288" t="s">
        <v>47</v>
      </c>
      <c r="E51" s="288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288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285" t="s">
        <v>135</v>
      </c>
      <c r="D52" s="285" t="s">
        <v>429</v>
      </c>
      <c r="E52" s="285" t="s">
        <v>430</v>
      </c>
      <c r="F52" s="452" t="s">
        <v>118</v>
      </c>
      <c r="G52" s="453"/>
      <c r="H52" s="453"/>
      <c r="I52" s="453"/>
      <c r="J52" s="453"/>
      <c r="K52" s="453"/>
      <c r="L52" s="453"/>
      <c r="M52" s="454"/>
      <c r="N52" s="284" t="s">
        <v>120</v>
      </c>
      <c r="O52" s="282" t="s">
        <v>193</v>
      </c>
      <c r="P52" s="455" t="s">
        <v>115</v>
      </c>
      <c r="Q52" s="456"/>
      <c r="R52" s="455" t="s">
        <v>312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285" t="s">
        <v>440</v>
      </c>
      <c r="D53" s="285" t="s">
        <v>441</v>
      </c>
      <c r="E53" s="285" t="s">
        <v>442</v>
      </c>
      <c r="F53" s="452" t="s">
        <v>443</v>
      </c>
      <c r="G53" s="453"/>
      <c r="H53" s="453"/>
      <c r="I53" s="453"/>
      <c r="J53" s="453"/>
      <c r="K53" s="453"/>
      <c r="L53" s="453"/>
      <c r="M53" s="454"/>
      <c r="N53" s="284" t="s">
        <v>120</v>
      </c>
      <c r="O53" s="282" t="s">
        <v>131</v>
      </c>
      <c r="P53" s="455" t="s">
        <v>143</v>
      </c>
      <c r="Q53" s="456"/>
      <c r="R53" s="455" t="s">
        <v>428</v>
      </c>
      <c r="S53" s="457"/>
      <c r="T53" s="457"/>
      <c r="U53" s="456"/>
      <c r="V53" s="458" t="s">
        <v>192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446</v>
      </c>
      <c r="B54" s="451"/>
      <c r="C54" s="285" t="s">
        <v>447</v>
      </c>
      <c r="D54" s="285" t="s">
        <v>441</v>
      </c>
      <c r="E54" s="285" t="s">
        <v>448</v>
      </c>
      <c r="F54" s="452" t="s">
        <v>449</v>
      </c>
      <c r="G54" s="453"/>
      <c r="H54" s="453"/>
      <c r="I54" s="453"/>
      <c r="J54" s="453"/>
      <c r="K54" s="453"/>
      <c r="L54" s="453"/>
      <c r="M54" s="454"/>
      <c r="N54" s="284" t="s">
        <v>120</v>
      </c>
      <c r="O54" s="282" t="s">
        <v>135</v>
      </c>
      <c r="P54" s="455" t="s">
        <v>265</v>
      </c>
      <c r="Q54" s="456"/>
      <c r="R54" s="455" t="s">
        <v>445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/>
      <c r="B55" s="451"/>
      <c r="C55" s="285"/>
      <c r="D55" s="285"/>
      <c r="E55" s="285"/>
      <c r="F55" s="452"/>
      <c r="G55" s="453"/>
      <c r="H55" s="453"/>
      <c r="I55" s="453"/>
      <c r="J55" s="453"/>
      <c r="K55" s="453"/>
      <c r="L55" s="453"/>
      <c r="M55" s="454"/>
      <c r="N55" s="284" t="s">
        <v>121</v>
      </c>
      <c r="O55" s="282" t="s">
        <v>240</v>
      </c>
      <c r="P55" s="455" t="s">
        <v>115</v>
      </c>
      <c r="Q55" s="456"/>
      <c r="R55" s="455" t="s">
        <v>424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/>
      <c r="B56" s="451"/>
      <c r="C56" s="285"/>
      <c r="D56" s="285"/>
      <c r="E56" s="285"/>
      <c r="F56" s="452"/>
      <c r="G56" s="453"/>
      <c r="H56" s="453"/>
      <c r="I56" s="453"/>
      <c r="J56" s="453"/>
      <c r="K56" s="453"/>
      <c r="L56" s="453"/>
      <c r="M56" s="454"/>
      <c r="N56" s="284" t="s">
        <v>120</v>
      </c>
      <c r="O56" s="282" t="s">
        <v>451</v>
      </c>
      <c r="P56" s="455" t="s">
        <v>143</v>
      </c>
      <c r="Q56" s="456"/>
      <c r="R56" s="455" t="s">
        <v>450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285"/>
      <c r="D57" s="285"/>
      <c r="E57" s="285"/>
      <c r="F57" s="452"/>
      <c r="G57" s="453"/>
      <c r="H57" s="453"/>
      <c r="I57" s="453"/>
      <c r="J57" s="453"/>
      <c r="K57" s="453"/>
      <c r="L57" s="453"/>
      <c r="M57" s="454"/>
      <c r="N57" s="284"/>
      <c r="O57" s="28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285"/>
      <c r="D58" s="285"/>
      <c r="E58" s="285"/>
      <c r="F58" s="452"/>
      <c r="G58" s="453"/>
      <c r="H58" s="453"/>
      <c r="I58" s="453"/>
      <c r="J58" s="453"/>
      <c r="K58" s="453"/>
      <c r="L58" s="453"/>
      <c r="M58" s="454"/>
      <c r="N58" s="284"/>
      <c r="O58" s="282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85"/>
      <c r="D59" s="285"/>
      <c r="E59" s="285"/>
      <c r="F59" s="452"/>
      <c r="G59" s="453"/>
      <c r="H59" s="453"/>
      <c r="I59" s="453"/>
      <c r="J59" s="453"/>
      <c r="K59" s="453"/>
      <c r="L59" s="453"/>
      <c r="M59" s="454"/>
      <c r="N59" s="284"/>
      <c r="O59" s="28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85"/>
      <c r="D60" s="285"/>
      <c r="E60" s="285"/>
      <c r="F60" s="452"/>
      <c r="G60" s="453"/>
      <c r="H60" s="453"/>
      <c r="I60" s="453"/>
      <c r="J60" s="453"/>
      <c r="K60" s="453"/>
      <c r="L60" s="453"/>
      <c r="M60" s="454"/>
      <c r="N60" s="284"/>
      <c r="O60" s="282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286"/>
      <c r="D61" s="287"/>
      <c r="E61" s="287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452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83" t="s">
        <v>2</v>
      </c>
      <c r="D63" s="283" t="s">
        <v>37</v>
      </c>
      <c r="E63" s="283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83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/>
      <c r="D64" s="278"/>
      <c r="E64" s="281"/>
      <c r="F64" s="477"/>
      <c r="G64" s="478"/>
      <c r="H64" s="478"/>
      <c r="I64" s="478"/>
      <c r="J64" s="479"/>
      <c r="K64" s="480"/>
      <c r="L64" s="480"/>
      <c r="M64" s="51"/>
      <c r="N64" s="481"/>
      <c r="O64" s="481"/>
      <c r="P64" s="482"/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/>
      <c r="D65" s="278"/>
      <c r="E65" s="281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278"/>
      <c r="E66" s="281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278"/>
      <c r="E67" s="281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278"/>
      <c r="E68" s="281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278"/>
      <c r="E69" s="28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278"/>
      <c r="E70" s="281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278"/>
      <c r="E71" s="28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278"/>
      <c r="E72" s="28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278"/>
      <c r="E73" s="28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453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280" t="s">
        <v>2</v>
      </c>
      <c r="D75" s="280" t="s">
        <v>37</v>
      </c>
      <c r="E75" s="280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279" t="s">
        <v>112</v>
      </c>
      <c r="D76" s="279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278"/>
      <c r="D77" s="278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278"/>
      <c r="D78" s="278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278"/>
      <c r="D79" s="278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278"/>
      <c r="D80" s="278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278"/>
      <c r="D81" s="278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278"/>
      <c r="D82" s="278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454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FC8A-71A0-4008-8F0C-65EE08B0C0B2}">
  <dimension ref="A1:AF88"/>
  <sheetViews>
    <sheetView view="pageBreakPreview" zoomScale="70" zoomScaleNormal="72" zoomScaleSheetLayoutView="70" workbookViewId="0">
      <selection activeCell="A19" sqref="A19:XFD1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455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01" t="s">
        <v>17</v>
      </c>
      <c r="L5" s="301" t="s">
        <v>18</v>
      </c>
      <c r="M5" s="301" t="s">
        <v>19</v>
      </c>
      <c r="N5" s="30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5099</v>
      </c>
      <c r="K6" s="15">
        <f>L6</f>
        <v>5099</v>
      </c>
      <c r="L6" s="15">
        <f>2110+2717+272</f>
        <v>5099</v>
      </c>
      <c r="M6" s="15">
        <f t="shared" ref="M6:M22" si="0">L6-N6</f>
        <v>5099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24</v>
      </c>
      <c r="Q6" s="40">
        <f t="shared" ref="Q6:Q22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6">
        <f t="shared" ref="AE6:AE22" si="7">$AD$23</f>
        <v>0.51470588235294112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5872</v>
      </c>
      <c r="K7" s="15">
        <f>L7+670+3377+5927+5899+5938+5872</f>
        <v>27683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0.51470588235294112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4566</v>
      </c>
      <c r="K8" s="15">
        <f>L8+4389+4644+4956+4921+4171+5168+4891+5201+4835+5114+5236+5245+1099</f>
        <v>64436</v>
      </c>
      <c r="L8" s="15">
        <f>2764+1802</f>
        <v>4566</v>
      </c>
      <c r="M8" s="15">
        <f t="shared" si="0"/>
        <v>4566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0.51470588235294112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445</v>
      </c>
      <c r="F9" s="30" t="s">
        <v>234</v>
      </c>
      <c r="G9" s="33">
        <v>1</v>
      </c>
      <c r="H9" s="35">
        <v>24</v>
      </c>
      <c r="I9" s="7">
        <v>8000</v>
      </c>
      <c r="J9" s="14">
        <v>4807</v>
      </c>
      <c r="K9" s="15">
        <f>L9</f>
        <v>4807</v>
      </c>
      <c r="L9" s="15">
        <f>2148+2659</f>
        <v>4807</v>
      </c>
      <c r="M9" s="15">
        <f t="shared" si="0"/>
        <v>4807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0.51470588235294112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456</v>
      </c>
      <c r="F10" s="30" t="s">
        <v>292</v>
      </c>
      <c r="G10" s="33">
        <v>2</v>
      </c>
      <c r="H10" s="35">
        <v>24</v>
      </c>
      <c r="I10" s="7">
        <v>60000</v>
      </c>
      <c r="J10" s="5">
        <v>2220</v>
      </c>
      <c r="K10" s="15">
        <f>L10</f>
        <v>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0.51470588235294112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120</v>
      </c>
      <c r="D11" s="52" t="s">
        <v>126</v>
      </c>
      <c r="E11" s="53" t="s">
        <v>303</v>
      </c>
      <c r="F11" s="30" t="s">
        <v>292</v>
      </c>
      <c r="G11" s="12">
        <v>1</v>
      </c>
      <c r="H11" s="13">
        <v>28</v>
      </c>
      <c r="I11" s="7">
        <v>140000</v>
      </c>
      <c r="J11" s="14">
        <v>3611</v>
      </c>
      <c r="K11" s="15">
        <f>L11+800+1932+2923+3428+3780+4942+2381</f>
        <v>23797</v>
      </c>
      <c r="L11" s="15">
        <f>1017+2594</f>
        <v>3611</v>
      </c>
      <c r="M11" s="15">
        <f t="shared" si="0"/>
        <v>3611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/>
      <c r="T11" s="16"/>
      <c r="U11" s="16"/>
      <c r="V11" s="17"/>
      <c r="W11" s="5">
        <v>5</v>
      </c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ref="AD11:AD15" si="9">AC11*AB11*(1-O11)</f>
        <v>0.79166666666666663</v>
      </c>
      <c r="AE11" s="36">
        <f t="shared" si="7"/>
        <v>0.51470588235294112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116</v>
      </c>
      <c r="F12" s="30" t="s">
        <v>119</v>
      </c>
      <c r="G12" s="33">
        <v>1</v>
      </c>
      <c r="H12" s="35">
        <v>24</v>
      </c>
      <c r="I12" s="7">
        <v>38000</v>
      </c>
      <c r="J12" s="14">
        <v>1335</v>
      </c>
      <c r="K12" s="15">
        <f>L12+1126+4135+4723+4686+4459+3892+2750+4502+4561+4665+1871</f>
        <v>42705</v>
      </c>
      <c r="L12" s="15">
        <v>1335</v>
      </c>
      <c r="M12" s="15">
        <f t="shared" si="0"/>
        <v>1335</v>
      </c>
      <c r="N12" s="15">
        <v>0</v>
      </c>
      <c r="O12" s="58">
        <f t="shared" si="1"/>
        <v>0</v>
      </c>
      <c r="P12" s="39">
        <f t="shared" si="2"/>
        <v>7</v>
      </c>
      <c r="Q12" s="40">
        <f t="shared" si="3"/>
        <v>17</v>
      </c>
      <c r="R12" s="7"/>
      <c r="S12" s="6"/>
      <c r="T12" s="16"/>
      <c r="U12" s="16"/>
      <c r="V12" s="17">
        <v>17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0.29166666666666669</v>
      </c>
      <c r="AD12" s="10">
        <f t="shared" si="9"/>
        <v>0.29166666666666669</v>
      </c>
      <c r="AE12" s="36">
        <f t="shared" si="7"/>
        <v>0.51470588235294112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412</v>
      </c>
      <c r="E13" s="53" t="s">
        <v>457</v>
      </c>
      <c r="F13" s="30" t="s">
        <v>119</v>
      </c>
      <c r="G13" s="33">
        <v>1</v>
      </c>
      <c r="H13" s="35">
        <v>24</v>
      </c>
      <c r="I13" s="7">
        <v>58000</v>
      </c>
      <c r="J13" s="14">
        <v>2872</v>
      </c>
      <c r="K13" s="15">
        <f>L13</f>
        <v>2872</v>
      </c>
      <c r="L13" s="15">
        <v>2872</v>
      </c>
      <c r="M13" s="15">
        <f t="shared" ref="M13" si="10">L13-N13</f>
        <v>2872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15</v>
      </c>
      <c r="Q13" s="40">
        <f t="shared" ref="Q13" si="13">SUM(R13:AA13)</f>
        <v>9</v>
      </c>
      <c r="R13" s="7"/>
      <c r="S13" s="6">
        <v>9</v>
      </c>
      <c r="T13" s="16"/>
      <c r="U13" s="16"/>
      <c r="V13" s="17"/>
      <c r="W13" s="5"/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0.625</v>
      </c>
      <c r="AD13" s="10">
        <f t="shared" ref="AD13" si="16">AC13*AB13*(1-O13)</f>
        <v>0.625</v>
      </c>
      <c r="AE13" s="36">
        <f t="shared" si="7"/>
        <v>0.51470588235294112</v>
      </c>
      <c r="AF13" s="84">
        <f t="shared" ref="AF13" si="17">A13</f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424</v>
      </c>
      <c r="F14" s="30" t="s">
        <v>125</v>
      </c>
      <c r="G14" s="33">
        <v>2</v>
      </c>
      <c r="H14" s="35">
        <v>24</v>
      </c>
      <c r="I14" s="7">
        <v>80000</v>
      </c>
      <c r="J14" s="5">
        <v>6250</v>
      </c>
      <c r="K14" s="15">
        <f>L14+3076</f>
        <v>9326</v>
      </c>
      <c r="L14" s="15">
        <f>2749*2+376*2</f>
        <v>6250</v>
      </c>
      <c r="M14" s="15">
        <f t="shared" si="0"/>
        <v>6250</v>
      </c>
      <c r="N14" s="15">
        <v>0</v>
      </c>
      <c r="O14" s="58">
        <f t="shared" si="1"/>
        <v>0</v>
      </c>
      <c r="P14" s="39">
        <f t="shared" si="2"/>
        <v>17</v>
      </c>
      <c r="Q14" s="40">
        <f t="shared" si="3"/>
        <v>7</v>
      </c>
      <c r="R14" s="7"/>
      <c r="S14" s="6">
        <v>7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0.70833333333333337</v>
      </c>
      <c r="AD14" s="10">
        <f>AC14*AB14*(1-O14)</f>
        <v>0.70833333333333337</v>
      </c>
      <c r="AE14" s="36">
        <f t="shared" si="7"/>
        <v>0.51470588235294112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L15+339</f>
        <v>339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0.51470588235294112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112</v>
      </c>
      <c r="D16" s="52" t="s">
        <v>143</v>
      </c>
      <c r="E16" s="53" t="s">
        <v>401</v>
      </c>
      <c r="F16" s="12" t="s">
        <v>136</v>
      </c>
      <c r="G16" s="12">
        <v>1</v>
      </c>
      <c r="H16" s="13">
        <v>24</v>
      </c>
      <c r="I16" s="31">
        <v>7000</v>
      </c>
      <c r="J16" s="14">
        <v>4683</v>
      </c>
      <c r="K16" s="15">
        <f>L16+2680+4683</f>
        <v>7363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0.51470588235294112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18660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0.51470588235294112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127</v>
      </c>
      <c r="E18" s="53" t="s">
        <v>391</v>
      </c>
      <c r="F18" s="30" t="s">
        <v>128</v>
      </c>
      <c r="G18" s="12">
        <v>4</v>
      </c>
      <c r="H18" s="13">
        <v>24</v>
      </c>
      <c r="I18" s="7">
        <v>90000</v>
      </c>
      <c r="J18" s="14">
        <v>12556</v>
      </c>
      <c r="K18" s="15">
        <f>L18+10048+21792+17916+22420+9048</f>
        <v>93780</v>
      </c>
      <c r="L18" s="15">
        <f>797*4+2342*4</f>
        <v>12556</v>
      </c>
      <c r="M18" s="15">
        <f t="shared" si="0"/>
        <v>12556</v>
      </c>
      <c r="N18" s="15">
        <v>0</v>
      </c>
      <c r="O18" s="58">
        <f t="shared" si="1"/>
        <v>0</v>
      </c>
      <c r="P18" s="39">
        <f t="shared" si="2"/>
        <v>16</v>
      </c>
      <c r="Q18" s="40">
        <f t="shared" si="3"/>
        <v>8</v>
      </c>
      <c r="R18" s="7"/>
      <c r="S18" s="6"/>
      <c r="T18" s="16"/>
      <c r="U18" s="16"/>
      <c r="V18" s="17"/>
      <c r="W18" s="5">
        <v>8</v>
      </c>
      <c r="X18" s="16"/>
      <c r="Y18" s="16"/>
      <c r="Z18" s="16"/>
      <c r="AA18" s="18"/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6">
        <f t="shared" si="7"/>
        <v>0.51470588235294112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395</v>
      </c>
      <c r="F19" s="30" t="s">
        <v>150</v>
      </c>
      <c r="G19" s="33">
        <v>1</v>
      </c>
      <c r="H19" s="35">
        <v>24</v>
      </c>
      <c r="I19" s="7">
        <v>35000</v>
      </c>
      <c r="J19" s="14">
        <v>4646</v>
      </c>
      <c r="K19" s="15">
        <f>L19+4046+4865+5364+2142</f>
        <v>21063</v>
      </c>
      <c r="L19" s="15">
        <f>2356+2290</f>
        <v>4646</v>
      </c>
      <c r="M19" s="15">
        <f t="shared" si="0"/>
        <v>4646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0.51470588235294112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155</v>
      </c>
      <c r="E20" s="53" t="s">
        <v>280</v>
      </c>
      <c r="F20" s="30" t="s">
        <v>124</v>
      </c>
      <c r="G20" s="33">
        <v>1</v>
      </c>
      <c r="H20" s="35">
        <v>24</v>
      </c>
      <c r="I20" s="7">
        <v>40000</v>
      </c>
      <c r="J20" s="5">
        <v>4322</v>
      </c>
      <c r="K20" s="15">
        <f>L20+1964+2699+1215+3702+2680+927+2666+4081+2052</f>
        <v>26308</v>
      </c>
      <c r="L20" s="15">
        <f>2634+1688</f>
        <v>4322</v>
      </c>
      <c r="M20" s="15">
        <f t="shared" si="0"/>
        <v>4322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0.51470588235294112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438</v>
      </c>
      <c r="F21" s="30" t="s">
        <v>150</v>
      </c>
      <c r="G21" s="12">
        <v>1</v>
      </c>
      <c r="H21" s="13">
        <v>28</v>
      </c>
      <c r="I21" s="31">
        <v>1550</v>
      </c>
      <c r="J21" s="5">
        <v>1274</v>
      </c>
      <c r="K21" s="15">
        <f>L21+500</f>
        <v>1774</v>
      </c>
      <c r="L21" s="15">
        <v>1274</v>
      </c>
      <c r="M21" s="15">
        <f t="shared" si="0"/>
        <v>1274</v>
      </c>
      <c r="N21" s="15">
        <v>0</v>
      </c>
      <c r="O21" s="58">
        <f t="shared" si="1"/>
        <v>0</v>
      </c>
      <c r="P21" s="39">
        <f t="shared" si="2"/>
        <v>8</v>
      </c>
      <c r="Q21" s="40">
        <f t="shared" si="3"/>
        <v>16</v>
      </c>
      <c r="R21" s="7"/>
      <c r="S21" s="6"/>
      <c r="T21" s="16"/>
      <c r="U21" s="16"/>
      <c r="V21" s="17"/>
      <c r="W21" s="5">
        <v>16</v>
      </c>
      <c r="X21" s="16"/>
      <c r="Y21" s="16"/>
      <c r="Z21" s="16"/>
      <c r="AA21" s="18"/>
      <c r="AB21" s="8">
        <f t="shared" si="4"/>
        <v>1</v>
      </c>
      <c r="AC21" s="9">
        <f t="shared" si="5"/>
        <v>0.33333333333333331</v>
      </c>
      <c r="AD21" s="10">
        <f t="shared" ref="AD21" si="18">AC21*AB21*(1-O21)</f>
        <v>0.33333333333333331</v>
      </c>
      <c r="AE21" s="36">
        <f t="shared" si="7"/>
        <v>0.51470588235294112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34100</v>
      </c>
      <c r="K22" s="15">
        <f>L22+16808+39112+38440+39748+31140+68844+45656+37140+73976+32892+39440+37868+39596+38388+34736+36544+66564+43260+46640+42244+41088+41832+36124+27096</f>
        <v>1029276</v>
      </c>
      <c r="L22" s="15">
        <f>8525*4</f>
        <v>34100</v>
      </c>
      <c r="M22" s="15">
        <f t="shared" si="0"/>
        <v>34100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7"/>
        <v>0.51470588235294112</v>
      </c>
      <c r="AF22" s="84">
        <f t="shared" si="8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19">SUM(I6:I22)</f>
        <v>1407850</v>
      </c>
      <c r="J23" s="19">
        <f t="shared" si="19"/>
        <v>117212</v>
      </c>
      <c r="K23" s="20">
        <f t="shared" si="19"/>
        <v>1360628</v>
      </c>
      <c r="L23" s="21">
        <f t="shared" si="19"/>
        <v>85438</v>
      </c>
      <c r="M23" s="20">
        <f t="shared" si="19"/>
        <v>85438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210</v>
      </c>
      <c r="Q23" s="43">
        <f t="shared" si="20"/>
        <v>198</v>
      </c>
      <c r="R23" s="23">
        <f t="shared" si="20"/>
        <v>24</v>
      </c>
      <c r="S23" s="24">
        <f t="shared" si="20"/>
        <v>66</v>
      </c>
      <c r="T23" s="24">
        <f t="shared" si="20"/>
        <v>0</v>
      </c>
      <c r="U23" s="24">
        <f t="shared" si="20"/>
        <v>0</v>
      </c>
      <c r="V23" s="25">
        <f t="shared" si="20"/>
        <v>31</v>
      </c>
      <c r="W23" s="26">
        <f t="shared" si="20"/>
        <v>29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48</v>
      </c>
      <c r="AB23" s="28">
        <f>AVERAGE(AB6:AB22)</f>
        <v>0.70588235294117652</v>
      </c>
      <c r="AC23" s="4">
        <f>AVERAGE(AC6:AC22)</f>
        <v>0.51470588235294112</v>
      </c>
      <c r="AD23" s="4">
        <f>AVERAGE(AD6:AD22)</f>
        <v>0.51470588235294112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458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469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300" t="s">
        <v>46</v>
      </c>
      <c r="D52" s="300" t="s">
        <v>47</v>
      </c>
      <c r="E52" s="300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300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120</v>
      </c>
      <c r="B53" s="451"/>
      <c r="C53" s="297" t="s">
        <v>135</v>
      </c>
      <c r="D53" s="297" t="s">
        <v>265</v>
      </c>
      <c r="E53" s="297" t="s">
        <v>445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296" t="s">
        <v>120</v>
      </c>
      <c r="O53" s="294" t="s">
        <v>193</v>
      </c>
      <c r="P53" s="455" t="s">
        <v>115</v>
      </c>
      <c r="Q53" s="456"/>
      <c r="R53" s="455" t="s">
        <v>470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297" t="s">
        <v>145</v>
      </c>
      <c r="D54" s="297" t="s">
        <v>143</v>
      </c>
      <c r="E54" s="297" t="s">
        <v>376</v>
      </c>
      <c r="F54" s="452" t="s">
        <v>118</v>
      </c>
      <c r="G54" s="453"/>
      <c r="H54" s="453"/>
      <c r="I54" s="453"/>
      <c r="J54" s="453"/>
      <c r="K54" s="453"/>
      <c r="L54" s="453"/>
      <c r="M54" s="454"/>
      <c r="N54" s="296" t="s">
        <v>463</v>
      </c>
      <c r="O54" s="294" t="s">
        <v>472</v>
      </c>
      <c r="P54" s="455" t="s">
        <v>473</v>
      </c>
      <c r="Q54" s="456"/>
      <c r="R54" s="455" t="s">
        <v>471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112</v>
      </c>
      <c r="B55" s="451"/>
      <c r="C55" s="297" t="s">
        <v>246</v>
      </c>
      <c r="D55" s="297" t="s">
        <v>115</v>
      </c>
      <c r="E55" s="297" t="s">
        <v>247</v>
      </c>
      <c r="F55" s="452" t="s">
        <v>459</v>
      </c>
      <c r="G55" s="453"/>
      <c r="H55" s="453"/>
      <c r="I55" s="453"/>
      <c r="J55" s="453"/>
      <c r="K55" s="453"/>
      <c r="L55" s="453"/>
      <c r="M55" s="454"/>
      <c r="N55" s="296" t="s">
        <v>460</v>
      </c>
      <c r="O55" s="294" t="s">
        <v>461</v>
      </c>
      <c r="P55" s="455"/>
      <c r="Q55" s="456"/>
      <c r="R55" s="455" t="s">
        <v>456</v>
      </c>
      <c r="S55" s="457"/>
      <c r="T55" s="457"/>
      <c r="U55" s="456"/>
      <c r="V55" s="458" t="s">
        <v>467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460</v>
      </c>
      <c r="B56" s="451"/>
      <c r="C56" s="297" t="s">
        <v>461</v>
      </c>
      <c r="D56" s="297"/>
      <c r="E56" s="297" t="s">
        <v>456</v>
      </c>
      <c r="F56" s="452" t="s">
        <v>462</v>
      </c>
      <c r="G56" s="453"/>
      <c r="H56" s="453"/>
      <c r="I56" s="453"/>
      <c r="J56" s="453"/>
      <c r="K56" s="453"/>
      <c r="L56" s="453"/>
      <c r="M56" s="454"/>
      <c r="N56" s="296" t="s">
        <v>463</v>
      </c>
      <c r="O56" s="294" t="s">
        <v>474</v>
      </c>
      <c r="P56" s="455" t="s">
        <v>115</v>
      </c>
      <c r="Q56" s="456"/>
      <c r="R56" s="455" t="s">
        <v>475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463</v>
      </c>
      <c r="B57" s="451"/>
      <c r="C57" s="297" t="s">
        <v>464</v>
      </c>
      <c r="D57" s="297" t="s">
        <v>465</v>
      </c>
      <c r="E57" s="297" t="s">
        <v>457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296"/>
      <c r="O57" s="294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463</v>
      </c>
      <c r="B58" s="451"/>
      <c r="C58" s="297" t="s">
        <v>468</v>
      </c>
      <c r="D58" s="297" t="s">
        <v>115</v>
      </c>
      <c r="E58" s="297" t="s">
        <v>466</v>
      </c>
      <c r="F58" s="452" t="s">
        <v>467</v>
      </c>
      <c r="G58" s="453"/>
      <c r="H58" s="453"/>
      <c r="I58" s="453"/>
      <c r="J58" s="453"/>
      <c r="K58" s="453"/>
      <c r="L58" s="453"/>
      <c r="M58" s="454"/>
      <c r="N58" s="296"/>
      <c r="O58" s="294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297"/>
      <c r="D59" s="297"/>
      <c r="E59" s="297"/>
      <c r="F59" s="452"/>
      <c r="G59" s="453"/>
      <c r="H59" s="453"/>
      <c r="I59" s="453"/>
      <c r="J59" s="453"/>
      <c r="K59" s="453"/>
      <c r="L59" s="453"/>
      <c r="M59" s="454"/>
      <c r="N59" s="296"/>
      <c r="O59" s="294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297"/>
      <c r="D60" s="297"/>
      <c r="E60" s="297"/>
      <c r="F60" s="452"/>
      <c r="G60" s="453"/>
      <c r="H60" s="453"/>
      <c r="I60" s="453"/>
      <c r="J60" s="453"/>
      <c r="K60" s="453"/>
      <c r="L60" s="453"/>
      <c r="M60" s="454"/>
      <c r="N60" s="296"/>
      <c r="O60" s="294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297"/>
      <c r="D61" s="297"/>
      <c r="E61" s="297"/>
      <c r="F61" s="452"/>
      <c r="G61" s="453"/>
      <c r="H61" s="453"/>
      <c r="I61" s="453"/>
      <c r="J61" s="453"/>
      <c r="K61" s="453"/>
      <c r="L61" s="453"/>
      <c r="M61" s="454"/>
      <c r="N61" s="296"/>
      <c r="O61" s="294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298"/>
      <c r="D62" s="299"/>
      <c r="E62" s="299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483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295" t="s">
        <v>2</v>
      </c>
      <c r="D64" s="295" t="s">
        <v>37</v>
      </c>
      <c r="E64" s="295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295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481</v>
      </c>
      <c r="D65" s="290"/>
      <c r="E65" s="293" t="s">
        <v>482</v>
      </c>
      <c r="F65" s="477" t="s">
        <v>476</v>
      </c>
      <c r="G65" s="478"/>
      <c r="H65" s="478"/>
      <c r="I65" s="478"/>
      <c r="J65" s="479"/>
      <c r="K65" s="480" t="s">
        <v>477</v>
      </c>
      <c r="L65" s="480"/>
      <c r="M65" s="51" t="s">
        <v>478</v>
      </c>
      <c r="N65" s="481" t="s">
        <v>479</v>
      </c>
      <c r="O65" s="481"/>
      <c r="P65" s="482">
        <v>100</v>
      </c>
      <c r="Q65" s="482"/>
      <c r="R65" s="458" t="s">
        <v>480</v>
      </c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/>
      <c r="D66" s="290"/>
      <c r="E66" s="293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/>
      <c r="D67" s="290"/>
      <c r="E67" s="293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/>
      <c r="D68" s="290"/>
      <c r="E68" s="29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/>
      <c r="D69" s="290"/>
      <c r="E69" s="29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/>
      <c r="D70" s="290"/>
      <c r="E70" s="293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/>
      <c r="D71" s="290"/>
      <c r="E71" s="293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290"/>
      <c r="E72" s="29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290"/>
      <c r="E73" s="29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290"/>
      <c r="E74" s="293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484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292" t="s">
        <v>2</v>
      </c>
      <c r="D76" s="292" t="s">
        <v>37</v>
      </c>
      <c r="E76" s="292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291" t="s">
        <v>112</v>
      </c>
      <c r="D77" s="291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290"/>
      <c r="D78" s="290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21">A78+1</f>
        <v>3</v>
      </c>
      <c r="B79" s="496"/>
      <c r="C79" s="290"/>
      <c r="D79" s="290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1"/>
        <v>4</v>
      </c>
      <c r="B80" s="496"/>
      <c r="C80" s="290"/>
      <c r="D80" s="290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1"/>
        <v>5</v>
      </c>
      <c r="B81" s="496"/>
      <c r="C81" s="290"/>
      <c r="D81" s="290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1"/>
        <v>6</v>
      </c>
      <c r="B82" s="496"/>
      <c r="C82" s="290"/>
      <c r="D82" s="290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1"/>
        <v>7</v>
      </c>
      <c r="B83" s="496"/>
      <c r="C83" s="290"/>
      <c r="D83" s="290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485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F33E-649E-47BA-87A7-63132445C36F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486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3648</v>
      </c>
      <c r="K6" s="15">
        <f>L6+5099</f>
        <v>8747</v>
      </c>
      <c r="L6" s="15">
        <f>2775+873</f>
        <v>3648</v>
      </c>
      <c r="M6" s="15">
        <f t="shared" ref="M6:M22" si="0">L6-N6</f>
        <v>3648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19</v>
      </c>
      <c r="Q6" s="40">
        <f t="shared" ref="Q6:Q22" si="3">SUM(R6:AA6)</f>
        <v>5</v>
      </c>
      <c r="R6" s="7"/>
      <c r="S6" s="6"/>
      <c r="T6" s="16"/>
      <c r="U6" s="16"/>
      <c r="V6" s="17">
        <v>5</v>
      </c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0.79166666666666663</v>
      </c>
      <c r="AD6" s="10">
        <f t="shared" ref="AD6:AD22" si="6">AC6*AB6*(1-O6)</f>
        <v>0.79166666666666663</v>
      </c>
      <c r="AE6" s="36">
        <f t="shared" ref="AE6:AE22" si="7">$AD$23</f>
        <v>0.47550744638031167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5872</v>
      </c>
      <c r="K7" s="15">
        <f>L7+670+3377+5927+5899+5938+5872</f>
        <v>27683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0.47550744638031167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5258</v>
      </c>
      <c r="K8" s="15">
        <f>L8+4389+4644+4956+4921+4171+5168+4891+5201+4835+5114+5236+5245+1099+4566</f>
        <v>69694</v>
      </c>
      <c r="L8" s="15">
        <f>2727+2531</f>
        <v>5258</v>
      </c>
      <c r="M8" s="15">
        <f t="shared" si="0"/>
        <v>5258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0.47550744638031167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445</v>
      </c>
      <c r="F9" s="30" t="s">
        <v>234</v>
      </c>
      <c r="G9" s="33">
        <v>1</v>
      </c>
      <c r="H9" s="35">
        <v>24</v>
      </c>
      <c r="I9" s="7">
        <v>8000</v>
      </c>
      <c r="J9" s="14">
        <v>326</v>
      </c>
      <c r="K9" s="15">
        <f>L9+4807</f>
        <v>5133</v>
      </c>
      <c r="L9" s="15">
        <v>326</v>
      </c>
      <c r="M9" s="15">
        <f t="shared" si="0"/>
        <v>326</v>
      </c>
      <c r="N9" s="15">
        <v>0</v>
      </c>
      <c r="O9" s="58">
        <f t="shared" si="1"/>
        <v>0</v>
      </c>
      <c r="P9" s="39">
        <f t="shared" si="2"/>
        <v>3</v>
      </c>
      <c r="Q9" s="40">
        <f t="shared" si="3"/>
        <v>21</v>
      </c>
      <c r="R9" s="7"/>
      <c r="S9" s="6">
        <v>21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6">
        <f t="shared" si="7"/>
        <v>0.47550744638031167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127</v>
      </c>
      <c r="E10" s="53" t="s">
        <v>487</v>
      </c>
      <c r="F10" s="30" t="s">
        <v>149</v>
      </c>
      <c r="G10" s="33">
        <v>1</v>
      </c>
      <c r="H10" s="35">
        <v>24</v>
      </c>
      <c r="I10" s="7">
        <v>1600</v>
      </c>
      <c r="J10" s="14">
        <v>1648</v>
      </c>
      <c r="K10" s="15">
        <f>L10</f>
        <v>1648</v>
      </c>
      <c r="L10" s="15">
        <f>900+748</f>
        <v>1648</v>
      </c>
      <c r="M10" s="15">
        <f t="shared" ref="M10" si="9">L10-N10</f>
        <v>1648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9</v>
      </c>
      <c r="Q10" s="40">
        <f t="shared" ref="Q10" si="12">SUM(R10:AA10)</f>
        <v>15</v>
      </c>
      <c r="R10" s="7"/>
      <c r="S10" s="6"/>
      <c r="T10" s="16"/>
      <c r="U10" s="16"/>
      <c r="V10" s="17"/>
      <c r="W10" s="5">
        <v>15</v>
      </c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0.375</v>
      </c>
      <c r="AD10" s="10">
        <f t="shared" ref="AD10" si="15">AC10*AB10*(1-O10)</f>
        <v>0.375</v>
      </c>
      <c r="AE10" s="36">
        <f t="shared" si="7"/>
        <v>0.47550744638031167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34" t="s">
        <v>123</v>
      </c>
      <c r="D11" s="52" t="s">
        <v>284</v>
      </c>
      <c r="E11" s="53" t="s">
        <v>291</v>
      </c>
      <c r="F11" s="30" t="s">
        <v>292</v>
      </c>
      <c r="G11" s="33">
        <v>2</v>
      </c>
      <c r="H11" s="35">
        <v>24</v>
      </c>
      <c r="I11" s="7">
        <v>60000</v>
      </c>
      <c r="J11" s="5">
        <v>2220</v>
      </c>
      <c r="K11" s="15">
        <f>L11</f>
        <v>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>AC11*AB11*(1-O11)</f>
        <v>0</v>
      </c>
      <c r="AE11" s="36">
        <f t="shared" si="7"/>
        <v>0.47550744638031167</v>
      </c>
      <c r="AF11" s="84">
        <f t="shared" si="8"/>
        <v>5</v>
      </c>
    </row>
    <row r="12" spans="1:32" ht="30" customHeight="1">
      <c r="A12" s="96">
        <v>6</v>
      </c>
      <c r="B12" s="11" t="s">
        <v>57</v>
      </c>
      <c r="C12" s="34" t="s">
        <v>121</v>
      </c>
      <c r="D12" s="52" t="s">
        <v>115</v>
      </c>
      <c r="E12" s="53" t="s">
        <v>475</v>
      </c>
      <c r="F12" s="30" t="s">
        <v>119</v>
      </c>
      <c r="G12" s="12">
        <v>1</v>
      </c>
      <c r="H12" s="13">
        <v>28</v>
      </c>
      <c r="I12" s="7">
        <v>69000</v>
      </c>
      <c r="J12" s="14">
        <v>2806</v>
      </c>
      <c r="K12" s="15">
        <f>L12</f>
        <v>2806</v>
      </c>
      <c r="L12" s="15">
        <f>2806</f>
        <v>2806</v>
      </c>
      <c r="M12" s="15">
        <f t="shared" si="0"/>
        <v>2806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ref="AD12:AD15" si="17">AC12*AB12*(1-O12)</f>
        <v>0.625</v>
      </c>
      <c r="AE12" s="36">
        <f t="shared" si="7"/>
        <v>0.47550744638031167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412</v>
      </c>
      <c r="E13" s="53" t="s">
        <v>457</v>
      </c>
      <c r="F13" s="30" t="s">
        <v>119</v>
      </c>
      <c r="G13" s="33">
        <v>1</v>
      </c>
      <c r="H13" s="35">
        <v>24</v>
      </c>
      <c r="I13" s="7">
        <v>58000</v>
      </c>
      <c r="J13" s="14">
        <v>5295</v>
      </c>
      <c r="K13" s="15">
        <f>L13+2872</f>
        <v>8167</v>
      </c>
      <c r="L13" s="15">
        <f>2734+2561</f>
        <v>5295</v>
      </c>
      <c r="M13" s="15">
        <f t="shared" si="0"/>
        <v>5295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17"/>
        <v>1</v>
      </c>
      <c r="AE13" s="36">
        <f t="shared" si="7"/>
        <v>0.47550744638031167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424</v>
      </c>
      <c r="F14" s="30" t="s">
        <v>125</v>
      </c>
      <c r="G14" s="33">
        <v>2</v>
      </c>
      <c r="H14" s="35">
        <v>24</v>
      </c>
      <c r="I14" s="7">
        <v>80000</v>
      </c>
      <c r="J14" s="5">
        <v>10334</v>
      </c>
      <c r="K14" s="15">
        <f>L14+3076+6250</f>
        <v>19660</v>
      </c>
      <c r="L14" s="15">
        <f>2690*2+2477*2</f>
        <v>10334</v>
      </c>
      <c r="M14" s="15">
        <f t="shared" si="0"/>
        <v>10334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>AC14*AB14*(1-O14)</f>
        <v>1</v>
      </c>
      <c r="AE14" s="36">
        <f t="shared" si="7"/>
        <v>0.47550744638031167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L15+339</f>
        <v>339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17"/>
        <v>0</v>
      </c>
      <c r="AE15" s="36">
        <f t="shared" si="7"/>
        <v>0.47550744638031167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112</v>
      </c>
      <c r="D16" s="52" t="s">
        <v>143</v>
      </c>
      <c r="E16" s="53" t="s">
        <v>401</v>
      </c>
      <c r="F16" s="12" t="s">
        <v>136</v>
      </c>
      <c r="G16" s="12">
        <v>1</v>
      </c>
      <c r="H16" s="13">
        <v>24</v>
      </c>
      <c r="I16" s="31">
        <v>7000</v>
      </c>
      <c r="J16" s="14">
        <v>4683</v>
      </c>
      <c r="K16" s="15">
        <f>L16+2680+4683</f>
        <v>7363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0.47550744638031167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18660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0.47550744638031167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127</v>
      </c>
      <c r="E18" s="53" t="s">
        <v>316</v>
      </c>
      <c r="F18" s="30" t="s">
        <v>323</v>
      </c>
      <c r="G18" s="12">
        <v>4</v>
      </c>
      <c r="H18" s="13">
        <v>24</v>
      </c>
      <c r="I18" s="7">
        <v>80000</v>
      </c>
      <c r="J18" s="14">
        <v>12974</v>
      </c>
      <c r="K18" s="15">
        <f>L18</f>
        <v>12974</v>
      </c>
      <c r="L18" s="15">
        <f>2826*3+1124*4</f>
        <v>12974</v>
      </c>
      <c r="M18" s="15">
        <f t="shared" ref="M18" si="18">L18-N18</f>
        <v>12974</v>
      </c>
      <c r="N18" s="15">
        <v>0</v>
      </c>
      <c r="O18" s="58">
        <f t="shared" ref="O18" si="19">IF(L18=0,"0",N18/L18)</f>
        <v>0</v>
      </c>
      <c r="P18" s="39">
        <f t="shared" ref="P18" si="20">IF(L18=0,"0",(24-Q18))</f>
        <v>20</v>
      </c>
      <c r="Q18" s="40">
        <f t="shared" ref="Q18" si="21">SUM(R18:AA18)</f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ref="AB18" si="22">IF(J18=0,"0",(L18/J18))</f>
        <v>1</v>
      </c>
      <c r="AC18" s="9">
        <f t="shared" ref="AC18" si="23">IF(P18=0,"0",(P18/24))</f>
        <v>0.83333333333333337</v>
      </c>
      <c r="AD18" s="10">
        <f t="shared" ref="AD18" si="24">AC18*AB18*(1-O18)</f>
        <v>0.83333333333333337</v>
      </c>
      <c r="AE18" s="36">
        <f t="shared" si="7"/>
        <v>0.47550744638031167</v>
      </c>
      <c r="AF18" s="84">
        <f t="shared" ref="AF18" si="25">A18</f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265</v>
      </c>
      <c r="E19" s="53" t="s">
        <v>488</v>
      </c>
      <c r="F19" s="30" t="s">
        <v>149</v>
      </c>
      <c r="G19" s="33">
        <v>1</v>
      </c>
      <c r="H19" s="35">
        <v>24</v>
      </c>
      <c r="I19" s="7">
        <v>500</v>
      </c>
      <c r="J19" s="14">
        <v>350</v>
      </c>
      <c r="K19" s="15">
        <f>L19</f>
        <v>350</v>
      </c>
      <c r="L19" s="15">
        <v>350</v>
      </c>
      <c r="M19" s="15">
        <f t="shared" si="0"/>
        <v>350</v>
      </c>
      <c r="N19" s="15">
        <v>0</v>
      </c>
      <c r="O19" s="58">
        <f t="shared" si="1"/>
        <v>0</v>
      </c>
      <c r="P19" s="39">
        <f t="shared" si="2"/>
        <v>4</v>
      </c>
      <c r="Q19" s="40">
        <f t="shared" si="3"/>
        <v>20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20</v>
      </c>
      <c r="AB19" s="8">
        <f t="shared" si="4"/>
        <v>1</v>
      </c>
      <c r="AC19" s="9">
        <f t="shared" si="5"/>
        <v>0.16666666666666666</v>
      </c>
      <c r="AD19" s="10">
        <f t="shared" si="6"/>
        <v>0.16666666666666666</v>
      </c>
      <c r="AE19" s="36">
        <f t="shared" si="7"/>
        <v>0.47550744638031167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155</v>
      </c>
      <c r="E20" s="53" t="s">
        <v>280</v>
      </c>
      <c r="F20" s="30" t="s">
        <v>124</v>
      </c>
      <c r="G20" s="33">
        <v>1</v>
      </c>
      <c r="H20" s="35">
        <v>24</v>
      </c>
      <c r="I20" s="7">
        <v>40000</v>
      </c>
      <c r="J20" s="5">
        <v>5042</v>
      </c>
      <c r="K20" s="15">
        <f>L20+1964+2699+1215+3702+2680+927+2666+4081+2052+4322</f>
        <v>31350</v>
      </c>
      <c r="L20" s="15">
        <f>2606+2436</f>
        <v>5042</v>
      </c>
      <c r="M20" s="15">
        <f t="shared" si="0"/>
        <v>5042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 t="shared" si="7"/>
        <v>0.47550744638031167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470</v>
      </c>
      <c r="F21" s="30" t="s">
        <v>119</v>
      </c>
      <c r="G21" s="12">
        <v>1</v>
      </c>
      <c r="H21" s="13">
        <v>28</v>
      </c>
      <c r="I21" s="31">
        <v>40000</v>
      </c>
      <c r="J21" s="5">
        <v>2503</v>
      </c>
      <c r="K21" s="15">
        <f>L21</f>
        <v>2503</v>
      </c>
      <c r="L21" s="15">
        <f>2503</f>
        <v>2503</v>
      </c>
      <c r="M21" s="15">
        <f t="shared" si="0"/>
        <v>2503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ref="AD21" si="26">AC21*AB21*(1-O21)</f>
        <v>0.66666666666666663</v>
      </c>
      <c r="AE21" s="36">
        <f t="shared" si="7"/>
        <v>0.47550744638031167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162</v>
      </c>
      <c r="F22" s="12" t="s">
        <v>114</v>
      </c>
      <c r="G22" s="12">
        <v>4</v>
      </c>
      <c r="H22" s="35">
        <v>20</v>
      </c>
      <c r="I22" s="7">
        <v>500000</v>
      </c>
      <c r="J22" s="14">
        <v>34100</v>
      </c>
      <c r="K22" s="15">
        <f>L22+16808+39112+38440+39748+31140+68844+45656+37140+73976+32892+39440+37868+39596+38388+34736+36544+66564+43260+46640+42244+41088+41832+36124+27096+34100</f>
        <v>1070220</v>
      </c>
      <c r="L22" s="15">
        <f>10236*4</f>
        <v>40944</v>
      </c>
      <c r="M22" s="15">
        <f t="shared" si="0"/>
        <v>40944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1.2007038123167155</v>
      </c>
      <c r="AC22" s="9">
        <f t="shared" si="5"/>
        <v>0.41666666666666669</v>
      </c>
      <c r="AD22" s="10">
        <f t="shared" si="6"/>
        <v>0.50029325513196488</v>
      </c>
      <c r="AE22" s="36">
        <f t="shared" si="7"/>
        <v>0.47550744638031167</v>
      </c>
      <c r="AF22" s="84">
        <f t="shared" si="8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27">SUM(I6:I22)</f>
        <v>1294400</v>
      </c>
      <c r="J23" s="19">
        <f t="shared" si="27"/>
        <v>116058</v>
      </c>
      <c r="K23" s="20">
        <f t="shared" si="27"/>
        <v>1268637</v>
      </c>
      <c r="L23" s="21">
        <f t="shared" si="27"/>
        <v>91128</v>
      </c>
      <c r="M23" s="20">
        <f t="shared" si="27"/>
        <v>91128</v>
      </c>
      <c r="N23" s="21">
        <f t="shared" si="27"/>
        <v>0</v>
      </c>
      <c r="O23" s="41">
        <f t="shared" si="1"/>
        <v>0</v>
      </c>
      <c r="P23" s="42">
        <f t="shared" ref="P23:AA23" si="28">SUM(P6:P22)</f>
        <v>192</v>
      </c>
      <c r="Q23" s="43">
        <f t="shared" si="28"/>
        <v>216</v>
      </c>
      <c r="R23" s="23">
        <f t="shared" si="28"/>
        <v>24</v>
      </c>
      <c r="S23" s="24">
        <f t="shared" si="28"/>
        <v>66</v>
      </c>
      <c r="T23" s="24">
        <f t="shared" si="28"/>
        <v>0</v>
      </c>
      <c r="U23" s="24">
        <f t="shared" si="28"/>
        <v>0</v>
      </c>
      <c r="V23" s="25">
        <f t="shared" si="28"/>
        <v>19</v>
      </c>
      <c r="W23" s="26">
        <f t="shared" si="28"/>
        <v>15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92</v>
      </c>
      <c r="AB23" s="28">
        <f>AVERAGE(AB6:AB22)</f>
        <v>0.71768845954804217</v>
      </c>
      <c r="AC23" s="4">
        <f>AVERAGE(AC6:AC22)</f>
        <v>0.47058823529411764</v>
      </c>
      <c r="AD23" s="4">
        <f>AVERAGE(AD6:AD22)</f>
        <v>0.47550744638031167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489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493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312" t="s">
        <v>46</v>
      </c>
      <c r="D52" s="312" t="s">
        <v>47</v>
      </c>
      <c r="E52" s="312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312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120</v>
      </c>
      <c r="B53" s="451"/>
      <c r="C53" s="309" t="s">
        <v>135</v>
      </c>
      <c r="D53" s="309" t="s">
        <v>265</v>
      </c>
      <c r="E53" s="309" t="s">
        <v>445</v>
      </c>
      <c r="F53" s="452" t="s">
        <v>325</v>
      </c>
      <c r="G53" s="453"/>
      <c r="H53" s="453"/>
      <c r="I53" s="453"/>
      <c r="J53" s="453"/>
      <c r="K53" s="453"/>
      <c r="L53" s="453"/>
      <c r="M53" s="454"/>
      <c r="N53" s="308" t="s">
        <v>120</v>
      </c>
      <c r="O53" s="306" t="s">
        <v>145</v>
      </c>
      <c r="P53" s="455" t="s">
        <v>143</v>
      </c>
      <c r="Q53" s="456"/>
      <c r="R53" s="455" t="s">
        <v>376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309" t="s">
        <v>135</v>
      </c>
      <c r="D54" s="309" t="s">
        <v>127</v>
      </c>
      <c r="E54" s="309" t="s">
        <v>487</v>
      </c>
      <c r="F54" s="452" t="s">
        <v>174</v>
      </c>
      <c r="G54" s="453"/>
      <c r="H54" s="453"/>
      <c r="I54" s="453"/>
      <c r="J54" s="453"/>
      <c r="K54" s="453"/>
      <c r="L54" s="453"/>
      <c r="M54" s="454"/>
      <c r="N54" s="308" t="s">
        <v>123</v>
      </c>
      <c r="O54" s="306" t="s">
        <v>151</v>
      </c>
      <c r="P54" s="455"/>
      <c r="Q54" s="456"/>
      <c r="R54" s="455" t="s">
        <v>291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309" t="s">
        <v>145</v>
      </c>
      <c r="D55" s="309" t="s">
        <v>143</v>
      </c>
      <c r="E55" s="309" t="s">
        <v>376</v>
      </c>
      <c r="F55" s="452" t="s">
        <v>490</v>
      </c>
      <c r="G55" s="453"/>
      <c r="H55" s="453"/>
      <c r="I55" s="453"/>
      <c r="J55" s="453"/>
      <c r="K55" s="453"/>
      <c r="L55" s="453"/>
      <c r="M55" s="454"/>
      <c r="N55" s="308" t="s">
        <v>120</v>
      </c>
      <c r="O55" s="306" t="s">
        <v>135</v>
      </c>
      <c r="P55" s="455" t="s">
        <v>265</v>
      </c>
      <c r="Q55" s="456"/>
      <c r="R55" s="455" t="s">
        <v>445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123</v>
      </c>
      <c r="B56" s="451"/>
      <c r="C56" s="309" t="s">
        <v>151</v>
      </c>
      <c r="D56" s="309"/>
      <c r="E56" s="309" t="s">
        <v>291</v>
      </c>
      <c r="F56" s="452" t="s">
        <v>348</v>
      </c>
      <c r="G56" s="453"/>
      <c r="H56" s="453"/>
      <c r="I56" s="453"/>
      <c r="J56" s="453"/>
      <c r="K56" s="453"/>
      <c r="L56" s="453"/>
      <c r="M56" s="454"/>
      <c r="N56" s="308"/>
      <c r="O56" s="306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121</v>
      </c>
      <c r="B57" s="451"/>
      <c r="C57" s="309" t="s">
        <v>152</v>
      </c>
      <c r="D57" s="309" t="s">
        <v>115</v>
      </c>
      <c r="E57" s="309" t="s">
        <v>475</v>
      </c>
      <c r="F57" s="452" t="s">
        <v>370</v>
      </c>
      <c r="G57" s="453"/>
      <c r="H57" s="453"/>
      <c r="I57" s="453"/>
      <c r="J57" s="453"/>
      <c r="K57" s="453"/>
      <c r="L57" s="453"/>
      <c r="M57" s="454"/>
      <c r="N57" s="308"/>
      <c r="O57" s="306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121</v>
      </c>
      <c r="B58" s="451"/>
      <c r="C58" s="309" t="s">
        <v>317</v>
      </c>
      <c r="D58" s="309" t="s">
        <v>127</v>
      </c>
      <c r="E58" s="309" t="s">
        <v>316</v>
      </c>
      <c r="F58" s="452" t="s">
        <v>491</v>
      </c>
      <c r="G58" s="453"/>
      <c r="H58" s="453"/>
      <c r="I58" s="453"/>
      <c r="J58" s="453"/>
      <c r="K58" s="453"/>
      <c r="L58" s="453"/>
      <c r="M58" s="454"/>
      <c r="N58" s="308"/>
      <c r="O58" s="306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120</v>
      </c>
      <c r="B59" s="451"/>
      <c r="C59" s="309" t="s">
        <v>138</v>
      </c>
      <c r="D59" s="309" t="s">
        <v>265</v>
      </c>
      <c r="E59" s="309" t="s">
        <v>488</v>
      </c>
      <c r="F59" s="452" t="s">
        <v>174</v>
      </c>
      <c r="G59" s="453"/>
      <c r="H59" s="453"/>
      <c r="I59" s="453"/>
      <c r="J59" s="453"/>
      <c r="K59" s="453"/>
      <c r="L59" s="453"/>
      <c r="M59" s="454"/>
      <c r="N59" s="308"/>
      <c r="O59" s="306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 t="s">
        <v>120</v>
      </c>
      <c r="B60" s="451"/>
      <c r="C60" s="309" t="s">
        <v>193</v>
      </c>
      <c r="D60" s="309" t="s">
        <v>115</v>
      </c>
      <c r="E60" s="309" t="s">
        <v>470</v>
      </c>
      <c r="F60" s="452" t="s">
        <v>492</v>
      </c>
      <c r="G60" s="453"/>
      <c r="H60" s="453"/>
      <c r="I60" s="453"/>
      <c r="J60" s="453"/>
      <c r="K60" s="453"/>
      <c r="L60" s="453"/>
      <c r="M60" s="454"/>
      <c r="N60" s="308"/>
      <c r="O60" s="306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309"/>
      <c r="D61" s="309"/>
      <c r="E61" s="309"/>
      <c r="F61" s="452"/>
      <c r="G61" s="453"/>
      <c r="H61" s="453"/>
      <c r="I61" s="453"/>
      <c r="J61" s="453"/>
      <c r="K61" s="453"/>
      <c r="L61" s="453"/>
      <c r="M61" s="454"/>
      <c r="N61" s="308"/>
      <c r="O61" s="306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310"/>
      <c r="D62" s="311"/>
      <c r="E62" s="311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494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307" t="s">
        <v>2</v>
      </c>
      <c r="D64" s="307" t="s">
        <v>37</v>
      </c>
      <c r="E64" s="307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307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120</v>
      </c>
      <c r="D65" s="302"/>
      <c r="E65" s="305" t="s">
        <v>127</v>
      </c>
      <c r="F65" s="477" t="s">
        <v>487</v>
      </c>
      <c r="G65" s="478"/>
      <c r="H65" s="478"/>
      <c r="I65" s="478"/>
      <c r="J65" s="479"/>
      <c r="K65" s="480" t="s">
        <v>149</v>
      </c>
      <c r="L65" s="480"/>
      <c r="M65" s="51" t="s">
        <v>153</v>
      </c>
      <c r="N65" s="481" t="s">
        <v>135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 t="s">
        <v>120</v>
      </c>
      <c r="D66" s="302"/>
      <c r="E66" s="305" t="s">
        <v>126</v>
      </c>
      <c r="F66" s="477" t="s">
        <v>495</v>
      </c>
      <c r="G66" s="478"/>
      <c r="H66" s="478"/>
      <c r="I66" s="478"/>
      <c r="J66" s="479"/>
      <c r="K66" s="480">
        <v>7301</v>
      </c>
      <c r="L66" s="480"/>
      <c r="M66" s="51" t="s">
        <v>153</v>
      </c>
      <c r="N66" s="481" t="s">
        <v>138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 t="s">
        <v>120</v>
      </c>
      <c r="D67" s="302"/>
      <c r="E67" s="305" t="s">
        <v>265</v>
      </c>
      <c r="F67" s="477" t="s">
        <v>496</v>
      </c>
      <c r="G67" s="478"/>
      <c r="H67" s="478"/>
      <c r="I67" s="478"/>
      <c r="J67" s="479"/>
      <c r="K67" s="480" t="s">
        <v>149</v>
      </c>
      <c r="L67" s="480"/>
      <c r="M67" s="51" t="s">
        <v>153</v>
      </c>
      <c r="N67" s="481" t="s">
        <v>138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 t="s">
        <v>120</v>
      </c>
      <c r="D68" s="302"/>
      <c r="E68" s="305" t="s">
        <v>338</v>
      </c>
      <c r="F68" s="477" t="s">
        <v>497</v>
      </c>
      <c r="G68" s="478"/>
      <c r="H68" s="478"/>
      <c r="I68" s="478"/>
      <c r="J68" s="479"/>
      <c r="K68" s="480">
        <v>7301</v>
      </c>
      <c r="L68" s="480"/>
      <c r="M68" s="51" t="s">
        <v>153</v>
      </c>
      <c r="N68" s="481" t="s">
        <v>138</v>
      </c>
      <c r="O68" s="481"/>
      <c r="P68" s="482">
        <v>50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 t="s">
        <v>120</v>
      </c>
      <c r="D69" s="302"/>
      <c r="E69" s="305" t="s">
        <v>126</v>
      </c>
      <c r="F69" s="477" t="s">
        <v>498</v>
      </c>
      <c r="G69" s="478"/>
      <c r="H69" s="478"/>
      <c r="I69" s="478"/>
      <c r="J69" s="479"/>
      <c r="K69" s="480">
        <v>7301</v>
      </c>
      <c r="L69" s="480"/>
      <c r="M69" s="51" t="s">
        <v>153</v>
      </c>
      <c r="N69" s="481" t="s">
        <v>138</v>
      </c>
      <c r="O69" s="481"/>
      <c r="P69" s="482">
        <v>50</v>
      </c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 t="s">
        <v>120</v>
      </c>
      <c r="D70" s="302"/>
      <c r="E70" s="305" t="s">
        <v>126</v>
      </c>
      <c r="F70" s="477" t="s">
        <v>499</v>
      </c>
      <c r="G70" s="478"/>
      <c r="H70" s="478"/>
      <c r="I70" s="478"/>
      <c r="J70" s="479"/>
      <c r="K70" s="480" t="s">
        <v>137</v>
      </c>
      <c r="L70" s="480"/>
      <c r="M70" s="51" t="s">
        <v>153</v>
      </c>
      <c r="N70" s="481" t="s">
        <v>138</v>
      </c>
      <c r="O70" s="481"/>
      <c r="P70" s="482">
        <v>50</v>
      </c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 t="s">
        <v>120</v>
      </c>
      <c r="D71" s="302"/>
      <c r="E71" s="305" t="s">
        <v>265</v>
      </c>
      <c r="F71" s="487" t="s">
        <v>488</v>
      </c>
      <c r="G71" s="480"/>
      <c r="H71" s="480"/>
      <c r="I71" s="480"/>
      <c r="J71" s="480"/>
      <c r="K71" s="480" t="s">
        <v>149</v>
      </c>
      <c r="L71" s="480"/>
      <c r="M71" s="51" t="s">
        <v>153</v>
      </c>
      <c r="N71" s="481" t="s">
        <v>138</v>
      </c>
      <c r="O71" s="481"/>
      <c r="P71" s="482">
        <v>50</v>
      </c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302"/>
      <c r="E72" s="305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302"/>
      <c r="E73" s="305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302"/>
      <c r="E74" s="305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500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304" t="s">
        <v>2</v>
      </c>
      <c r="D76" s="304" t="s">
        <v>37</v>
      </c>
      <c r="E76" s="304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303" t="s">
        <v>112</v>
      </c>
      <c r="D77" s="303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302"/>
      <c r="D78" s="302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29">A78+1</f>
        <v>3</v>
      </c>
      <c r="B79" s="496"/>
      <c r="C79" s="302"/>
      <c r="D79" s="302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9"/>
        <v>4</v>
      </c>
      <c r="B80" s="496"/>
      <c r="C80" s="302"/>
      <c r="D80" s="302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9"/>
        <v>5</v>
      </c>
      <c r="B81" s="496"/>
      <c r="C81" s="302"/>
      <c r="D81" s="302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9"/>
        <v>6</v>
      </c>
      <c r="B82" s="496"/>
      <c r="C82" s="302"/>
      <c r="D82" s="302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9"/>
        <v>7</v>
      </c>
      <c r="B83" s="496"/>
      <c r="C83" s="302"/>
      <c r="D83" s="302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501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1C-4656-4502-8B7C-0217472721B7}">
  <dimension ref="A1:AF87"/>
  <sheetViews>
    <sheetView view="pageBreakPreview" zoomScale="70" zoomScaleNormal="72" zoomScaleSheetLayoutView="70" workbookViewId="0">
      <selection activeCell="S17" sqref="S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502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14" t="s">
        <v>17</v>
      </c>
      <c r="L5" s="314" t="s">
        <v>18</v>
      </c>
      <c r="M5" s="314" t="s">
        <v>19</v>
      </c>
      <c r="N5" s="31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1950</v>
      </c>
      <c r="K6" s="15">
        <f>L6+5099+3648</f>
        <v>10697</v>
      </c>
      <c r="L6" s="15">
        <f>1822+128</f>
        <v>1950</v>
      </c>
      <c r="M6" s="15">
        <f t="shared" ref="M6:M21" si="0">L6-N6</f>
        <v>1950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13</v>
      </c>
      <c r="Q6" s="40">
        <f t="shared" ref="Q6:Q21" si="3">SUM(R6:AA6)</f>
        <v>11</v>
      </c>
      <c r="R6" s="7"/>
      <c r="S6" s="6"/>
      <c r="T6" s="16"/>
      <c r="U6" s="16"/>
      <c r="V6" s="17">
        <v>11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0.54166666666666663</v>
      </c>
      <c r="AD6" s="10">
        <f t="shared" ref="AD6:AD21" si="6">AC6*AB6*(1-O6)</f>
        <v>0.54166666666666663</v>
      </c>
      <c r="AE6" s="36">
        <f t="shared" ref="AE6:AE21" si="7">$AD$22</f>
        <v>0.59895833333333326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170</v>
      </c>
      <c r="F7" s="12" t="s">
        <v>364</v>
      </c>
      <c r="G7" s="12">
        <v>1</v>
      </c>
      <c r="H7" s="13">
        <v>24</v>
      </c>
      <c r="I7" s="31">
        <v>140000</v>
      </c>
      <c r="J7" s="14">
        <v>5872</v>
      </c>
      <c r="K7" s="15">
        <f>L7+670+3377+5927+5899+5938+5872</f>
        <v>27683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0.59895833333333326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5302</v>
      </c>
      <c r="K8" s="15">
        <f>L8+4389+4644+4956+4921+4171+5168+4891+5201+4835+5114+5236+5245+1099+4566+5258</f>
        <v>74996</v>
      </c>
      <c r="L8" s="15">
        <f>2741+2561</f>
        <v>5302</v>
      </c>
      <c r="M8" s="15">
        <f t="shared" si="0"/>
        <v>5302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0.59895833333333326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445</v>
      </c>
      <c r="F9" s="30" t="s">
        <v>234</v>
      </c>
      <c r="G9" s="33">
        <v>1</v>
      </c>
      <c r="H9" s="35">
        <v>24</v>
      </c>
      <c r="I9" s="7">
        <v>8000</v>
      </c>
      <c r="J9" s="14">
        <v>4102</v>
      </c>
      <c r="K9" s="15">
        <f>L9+4807+326</f>
        <v>9235</v>
      </c>
      <c r="L9" s="15">
        <f>2555+1547</f>
        <v>4102</v>
      </c>
      <c r="M9" s="15">
        <f t="shared" si="0"/>
        <v>4102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0.59895833333333326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292</v>
      </c>
      <c r="G10" s="33">
        <v>2</v>
      </c>
      <c r="H10" s="35">
        <v>24</v>
      </c>
      <c r="I10" s="7">
        <v>60000</v>
      </c>
      <c r="J10" s="5">
        <v>4872</v>
      </c>
      <c r="K10" s="15">
        <f>L10</f>
        <v>4872</v>
      </c>
      <c r="L10" s="15">
        <f>2183*2+253*2</f>
        <v>4872</v>
      </c>
      <c r="M10" s="15">
        <f t="shared" si="0"/>
        <v>4872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>AC10*AB10*(1-O10)</f>
        <v>0.41666666666666669</v>
      </c>
      <c r="AE10" s="36">
        <f t="shared" si="7"/>
        <v>0.59895833333333326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5234</v>
      </c>
      <c r="K11" s="15">
        <f>L11+2806</f>
        <v>8040</v>
      </c>
      <c r="L11" s="15">
        <f>2767+2467</f>
        <v>5234</v>
      </c>
      <c r="M11" s="15">
        <f t="shared" si="0"/>
        <v>5234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0.59895833333333326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58000</v>
      </c>
      <c r="J12" s="14">
        <v>4231</v>
      </c>
      <c r="K12" s="15">
        <f>L12+2872+5295</f>
        <v>12398</v>
      </c>
      <c r="L12" s="15">
        <f>2116+2115</f>
        <v>4231</v>
      </c>
      <c r="M12" s="15">
        <f t="shared" si="0"/>
        <v>4231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0.59895833333333326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424</v>
      </c>
      <c r="F13" s="30" t="s">
        <v>125</v>
      </c>
      <c r="G13" s="33">
        <v>2</v>
      </c>
      <c r="H13" s="35">
        <v>24</v>
      </c>
      <c r="I13" s="7">
        <v>80000</v>
      </c>
      <c r="J13" s="5">
        <v>10336</v>
      </c>
      <c r="K13" s="15">
        <f>L13+3076+6250+10334</f>
        <v>29996</v>
      </c>
      <c r="L13" s="15">
        <f>2704*2+2464*2</f>
        <v>10336</v>
      </c>
      <c r="M13" s="15">
        <f t="shared" si="0"/>
        <v>10336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0.59895833333333326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0.59895833333333326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0.59895833333333326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127</v>
      </c>
      <c r="E16" s="53" t="s">
        <v>503</v>
      </c>
      <c r="F16" s="30" t="s">
        <v>149</v>
      </c>
      <c r="G16" s="12">
        <v>1</v>
      </c>
      <c r="H16" s="13">
        <v>24</v>
      </c>
      <c r="I16" s="7">
        <v>3000</v>
      </c>
      <c r="J16" s="14">
        <v>3085</v>
      </c>
      <c r="K16" s="15">
        <f>L16</f>
        <v>3085</v>
      </c>
      <c r="L16" s="15">
        <f>2305+780</f>
        <v>3085</v>
      </c>
      <c r="M16" s="15">
        <f t="shared" si="0"/>
        <v>3085</v>
      </c>
      <c r="N16" s="15">
        <v>0</v>
      </c>
      <c r="O16" s="58">
        <f t="shared" si="1"/>
        <v>0</v>
      </c>
      <c r="P16" s="39">
        <f t="shared" si="2"/>
        <v>16</v>
      </c>
      <c r="Q16" s="40">
        <f t="shared" si="3"/>
        <v>8</v>
      </c>
      <c r="R16" s="7"/>
      <c r="S16" s="6"/>
      <c r="T16" s="16"/>
      <c r="U16" s="16"/>
      <c r="V16" s="17"/>
      <c r="W16" s="5">
        <v>8</v>
      </c>
      <c r="X16" s="16"/>
      <c r="Y16" s="16"/>
      <c r="Z16" s="16"/>
      <c r="AA16" s="18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6">
        <f t="shared" si="7"/>
        <v>0.59895833333333326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16623</v>
      </c>
      <c r="K17" s="15">
        <f>L17+12974</f>
        <v>29597</v>
      </c>
      <c r="L17" s="15">
        <f>2677*3+2864*3</f>
        <v>16623</v>
      </c>
      <c r="M17" s="15">
        <f t="shared" si="0"/>
        <v>16623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0.59895833333333326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265</v>
      </c>
      <c r="E18" s="53" t="s">
        <v>488</v>
      </c>
      <c r="F18" s="30" t="s">
        <v>149</v>
      </c>
      <c r="G18" s="33">
        <v>1</v>
      </c>
      <c r="H18" s="35">
        <v>24</v>
      </c>
      <c r="I18" s="7">
        <v>500</v>
      </c>
      <c r="J18" s="14">
        <v>360</v>
      </c>
      <c r="K18" s="15">
        <f>L18+350</f>
        <v>710</v>
      </c>
      <c r="L18" s="15">
        <v>360</v>
      </c>
      <c r="M18" s="15">
        <f t="shared" si="0"/>
        <v>360</v>
      </c>
      <c r="N18" s="15">
        <v>0</v>
      </c>
      <c r="O18" s="58">
        <f t="shared" si="1"/>
        <v>0</v>
      </c>
      <c r="P18" s="39">
        <f t="shared" si="2"/>
        <v>2</v>
      </c>
      <c r="Q18" s="40">
        <f t="shared" si="3"/>
        <v>22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22</v>
      </c>
      <c r="AB18" s="8">
        <f t="shared" si="4"/>
        <v>1</v>
      </c>
      <c r="AC18" s="9">
        <f t="shared" si="5"/>
        <v>8.3333333333333329E-2</v>
      </c>
      <c r="AD18" s="10">
        <f t="shared" si="6"/>
        <v>8.3333333333333329E-2</v>
      </c>
      <c r="AE18" s="36">
        <f t="shared" si="7"/>
        <v>0.59895833333333326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2742</v>
      </c>
      <c r="K19" s="15">
        <f>L19+1964+2699+1215+3702+2680+927+2666+4081+2052+4322+5042</f>
        <v>34092</v>
      </c>
      <c r="L19" s="15">
        <f>2399+343</f>
        <v>2742</v>
      </c>
      <c r="M19" s="15">
        <f t="shared" si="0"/>
        <v>2742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>AC19*AB19*(1-O19)</f>
        <v>0.625</v>
      </c>
      <c r="AE19" s="36">
        <f t="shared" si="7"/>
        <v>0.59895833333333326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470</v>
      </c>
      <c r="F20" s="30" t="s">
        <v>119</v>
      </c>
      <c r="G20" s="12">
        <v>1</v>
      </c>
      <c r="H20" s="13">
        <v>28</v>
      </c>
      <c r="I20" s="31">
        <v>40000</v>
      </c>
      <c r="J20" s="5">
        <v>4146</v>
      </c>
      <c r="K20" s="15">
        <f>L20+2503</f>
        <v>6649</v>
      </c>
      <c r="L20" s="15">
        <f>2169+1977</f>
        <v>4146</v>
      </c>
      <c r="M20" s="15">
        <f t="shared" si="0"/>
        <v>4146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ref="AD20" si="10">AC20*AB20*(1-O20)</f>
        <v>0.91666666666666663</v>
      </c>
      <c r="AE20" s="36">
        <f t="shared" si="7"/>
        <v>0.59895833333333326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40964</v>
      </c>
      <c r="K21" s="15">
        <f>L21+16808+39112+38440+39748+31140+68844+45656+37140+73976+32892+39440+37868+39596+38388+34736+36544+66564+43260+46640+42244+41088+41832+36124+27096+34100+40944</f>
        <v>1111184</v>
      </c>
      <c r="L21" s="15">
        <f>10241*4</f>
        <v>40964</v>
      </c>
      <c r="M21" s="15">
        <f t="shared" si="0"/>
        <v>40964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0.59895833333333326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1215800</v>
      </c>
      <c r="J22" s="19">
        <f t="shared" si="11"/>
        <v>114841</v>
      </c>
      <c r="K22" s="20">
        <f t="shared" si="11"/>
        <v>1370936</v>
      </c>
      <c r="L22" s="21">
        <f t="shared" si="11"/>
        <v>103947</v>
      </c>
      <c r="M22" s="20">
        <f t="shared" si="11"/>
        <v>103947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230</v>
      </c>
      <c r="Q22" s="43">
        <f t="shared" si="12"/>
        <v>154</v>
      </c>
      <c r="R22" s="23">
        <f t="shared" si="12"/>
        <v>0</v>
      </c>
      <c r="S22" s="24">
        <f t="shared" si="12"/>
        <v>28</v>
      </c>
      <c r="T22" s="24">
        <f t="shared" si="12"/>
        <v>0</v>
      </c>
      <c r="U22" s="24">
        <f t="shared" si="12"/>
        <v>0</v>
      </c>
      <c r="V22" s="25">
        <f t="shared" si="12"/>
        <v>24</v>
      </c>
      <c r="W22" s="26">
        <f t="shared" si="12"/>
        <v>8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94</v>
      </c>
      <c r="AB22" s="28">
        <f>AVERAGE(AB6:AB21)</f>
        <v>0.8125</v>
      </c>
      <c r="AC22" s="4">
        <f>AVERAGE(AC6:AC21)</f>
        <v>0.59895833333333326</v>
      </c>
      <c r="AD22" s="4">
        <f>AVERAGE(AD6:AD21)</f>
        <v>0.59895833333333326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504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506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315" t="s">
        <v>46</v>
      </c>
      <c r="D51" s="315" t="s">
        <v>47</v>
      </c>
      <c r="E51" s="315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315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317" t="s">
        <v>135</v>
      </c>
      <c r="D52" s="317" t="s">
        <v>265</v>
      </c>
      <c r="E52" s="317" t="s">
        <v>445</v>
      </c>
      <c r="F52" s="452" t="s">
        <v>139</v>
      </c>
      <c r="G52" s="453"/>
      <c r="H52" s="453"/>
      <c r="I52" s="453"/>
      <c r="J52" s="453"/>
      <c r="K52" s="453"/>
      <c r="L52" s="453"/>
      <c r="M52" s="454"/>
      <c r="N52" s="316" t="s">
        <v>120</v>
      </c>
      <c r="O52" s="322" t="s">
        <v>135</v>
      </c>
      <c r="P52" s="455" t="s">
        <v>265</v>
      </c>
      <c r="Q52" s="456"/>
      <c r="R52" s="455" t="s">
        <v>507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317" t="s">
        <v>145</v>
      </c>
      <c r="D53" s="317" t="s">
        <v>143</v>
      </c>
      <c r="E53" s="317" t="s">
        <v>376</v>
      </c>
      <c r="F53" s="452" t="s">
        <v>139</v>
      </c>
      <c r="G53" s="453"/>
      <c r="H53" s="453"/>
      <c r="I53" s="453"/>
      <c r="J53" s="453"/>
      <c r="K53" s="453"/>
      <c r="L53" s="453"/>
      <c r="M53" s="454"/>
      <c r="N53" s="316" t="s">
        <v>123</v>
      </c>
      <c r="O53" s="322" t="s">
        <v>151</v>
      </c>
      <c r="P53" s="455"/>
      <c r="Q53" s="456"/>
      <c r="R53" s="455" t="s">
        <v>291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123</v>
      </c>
      <c r="B54" s="451"/>
      <c r="C54" s="317" t="s">
        <v>151</v>
      </c>
      <c r="D54" s="317"/>
      <c r="E54" s="317" t="s">
        <v>291</v>
      </c>
      <c r="F54" s="452" t="s">
        <v>505</v>
      </c>
      <c r="G54" s="453"/>
      <c r="H54" s="453"/>
      <c r="I54" s="453"/>
      <c r="J54" s="453"/>
      <c r="K54" s="453"/>
      <c r="L54" s="453"/>
      <c r="M54" s="454"/>
      <c r="N54" s="316"/>
      <c r="O54" s="322"/>
      <c r="P54" s="455"/>
      <c r="Q54" s="456"/>
      <c r="R54" s="455"/>
      <c r="S54" s="457"/>
      <c r="T54" s="457"/>
      <c r="U54" s="456"/>
      <c r="V54" s="458"/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/>
      <c r="B55" s="451"/>
      <c r="C55" s="317"/>
      <c r="D55" s="317"/>
      <c r="E55" s="317"/>
      <c r="F55" s="452"/>
      <c r="G55" s="453"/>
      <c r="H55" s="453"/>
      <c r="I55" s="453"/>
      <c r="J55" s="453"/>
      <c r="K55" s="453"/>
      <c r="L55" s="453"/>
      <c r="M55" s="454"/>
      <c r="N55" s="316"/>
      <c r="O55" s="322"/>
      <c r="P55" s="455"/>
      <c r="Q55" s="456"/>
      <c r="R55" s="455"/>
      <c r="S55" s="457"/>
      <c r="T55" s="457"/>
      <c r="U55" s="456"/>
      <c r="V55" s="458"/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/>
      <c r="B56" s="451"/>
      <c r="C56" s="317"/>
      <c r="D56" s="317"/>
      <c r="E56" s="317"/>
      <c r="F56" s="452"/>
      <c r="G56" s="453"/>
      <c r="H56" s="453"/>
      <c r="I56" s="453"/>
      <c r="J56" s="453"/>
      <c r="K56" s="453"/>
      <c r="L56" s="453"/>
      <c r="M56" s="454"/>
      <c r="N56" s="316"/>
      <c r="O56" s="322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317"/>
      <c r="D57" s="317"/>
      <c r="E57" s="317"/>
      <c r="F57" s="452"/>
      <c r="G57" s="453"/>
      <c r="H57" s="453"/>
      <c r="I57" s="453"/>
      <c r="J57" s="453"/>
      <c r="K57" s="453"/>
      <c r="L57" s="453"/>
      <c r="M57" s="454"/>
      <c r="N57" s="316"/>
      <c r="O57" s="32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317"/>
      <c r="D58" s="317"/>
      <c r="E58" s="317"/>
      <c r="F58" s="452"/>
      <c r="G58" s="453"/>
      <c r="H58" s="453"/>
      <c r="I58" s="453"/>
      <c r="J58" s="453"/>
      <c r="K58" s="453"/>
      <c r="L58" s="453"/>
      <c r="M58" s="454"/>
      <c r="N58" s="316"/>
      <c r="O58" s="322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317"/>
      <c r="D59" s="317"/>
      <c r="E59" s="317"/>
      <c r="F59" s="452"/>
      <c r="G59" s="453"/>
      <c r="H59" s="453"/>
      <c r="I59" s="453"/>
      <c r="J59" s="453"/>
      <c r="K59" s="453"/>
      <c r="L59" s="453"/>
      <c r="M59" s="454"/>
      <c r="N59" s="316"/>
      <c r="O59" s="32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17"/>
      <c r="D60" s="317"/>
      <c r="E60" s="317"/>
      <c r="F60" s="452"/>
      <c r="G60" s="453"/>
      <c r="H60" s="453"/>
      <c r="I60" s="453"/>
      <c r="J60" s="453"/>
      <c r="K60" s="453"/>
      <c r="L60" s="453"/>
      <c r="M60" s="454"/>
      <c r="N60" s="316"/>
      <c r="O60" s="322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318"/>
      <c r="D61" s="319"/>
      <c r="E61" s="319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508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20" t="s">
        <v>2</v>
      </c>
      <c r="D63" s="320" t="s">
        <v>37</v>
      </c>
      <c r="E63" s="320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20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324"/>
      <c r="E64" s="321" t="s">
        <v>127</v>
      </c>
      <c r="F64" s="477" t="s">
        <v>503</v>
      </c>
      <c r="G64" s="478"/>
      <c r="H64" s="478"/>
      <c r="I64" s="478"/>
      <c r="J64" s="479"/>
      <c r="K64" s="480" t="s">
        <v>149</v>
      </c>
      <c r="L64" s="480"/>
      <c r="M64" s="51" t="s">
        <v>153</v>
      </c>
      <c r="N64" s="481" t="s">
        <v>509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120</v>
      </c>
      <c r="D65" s="324"/>
      <c r="E65" s="321" t="s">
        <v>511</v>
      </c>
      <c r="F65" s="477" t="s">
        <v>510</v>
      </c>
      <c r="G65" s="478"/>
      <c r="H65" s="478"/>
      <c r="I65" s="478"/>
      <c r="J65" s="479"/>
      <c r="K65" s="480" t="s">
        <v>149</v>
      </c>
      <c r="L65" s="480"/>
      <c r="M65" s="51" t="s">
        <v>153</v>
      </c>
      <c r="N65" s="481" t="s">
        <v>317</v>
      </c>
      <c r="O65" s="481"/>
      <c r="P65" s="482">
        <v>100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 t="s">
        <v>120</v>
      </c>
      <c r="D66" s="324"/>
      <c r="E66" s="321" t="s">
        <v>513</v>
      </c>
      <c r="F66" s="477" t="s">
        <v>512</v>
      </c>
      <c r="G66" s="478"/>
      <c r="H66" s="478"/>
      <c r="I66" s="478"/>
      <c r="J66" s="479"/>
      <c r="K66" s="480" t="s">
        <v>124</v>
      </c>
      <c r="L66" s="480"/>
      <c r="M66" s="51" t="s">
        <v>153</v>
      </c>
      <c r="N66" s="481" t="s">
        <v>317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 t="s">
        <v>120</v>
      </c>
      <c r="D67" s="324"/>
      <c r="E67" s="321" t="s">
        <v>126</v>
      </c>
      <c r="F67" s="477" t="s">
        <v>514</v>
      </c>
      <c r="G67" s="478"/>
      <c r="H67" s="478"/>
      <c r="I67" s="478"/>
      <c r="J67" s="479"/>
      <c r="K67" s="480" t="s">
        <v>119</v>
      </c>
      <c r="L67" s="480"/>
      <c r="M67" s="51" t="s">
        <v>153</v>
      </c>
      <c r="N67" s="481" t="s">
        <v>317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 t="s">
        <v>120</v>
      </c>
      <c r="D68" s="324"/>
      <c r="E68" s="321" t="s">
        <v>244</v>
      </c>
      <c r="F68" s="477" t="s">
        <v>515</v>
      </c>
      <c r="G68" s="478"/>
      <c r="H68" s="478"/>
      <c r="I68" s="478"/>
      <c r="J68" s="479"/>
      <c r="K68" s="480" t="s">
        <v>149</v>
      </c>
      <c r="L68" s="480"/>
      <c r="M68" s="51" t="s">
        <v>153</v>
      </c>
      <c r="N68" s="481" t="s">
        <v>317</v>
      </c>
      <c r="O68" s="481"/>
      <c r="P68" s="482">
        <v>60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324"/>
      <c r="E69" s="32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324"/>
      <c r="E70" s="321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324"/>
      <c r="E71" s="32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324"/>
      <c r="E72" s="32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324"/>
      <c r="E73" s="32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516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323" t="s">
        <v>2</v>
      </c>
      <c r="D75" s="323" t="s">
        <v>37</v>
      </c>
      <c r="E75" s="323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325" t="s">
        <v>112</v>
      </c>
      <c r="D76" s="325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324"/>
      <c r="D77" s="324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324"/>
      <c r="D78" s="324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324"/>
      <c r="D79" s="324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324"/>
      <c r="D80" s="324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324"/>
      <c r="D81" s="324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324"/>
      <c r="D82" s="324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517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597A-8A5D-4D15-A400-F78A00EBB1F8}">
  <dimension ref="A1:AF87"/>
  <sheetViews>
    <sheetView view="pageBreakPreview" zoomScale="70" zoomScaleNormal="72" zoomScaleSheetLayoutView="70" workbookViewId="0">
      <selection activeCell="A74" sqref="A74:E7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518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37" t="s">
        <v>17</v>
      </c>
      <c r="L5" s="337" t="s">
        <v>18</v>
      </c>
      <c r="M5" s="337" t="s">
        <v>19</v>
      </c>
      <c r="N5" s="3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5173</v>
      </c>
      <c r="K6" s="15">
        <f>L6+5099+3648+1950</f>
        <v>15870</v>
      </c>
      <c r="L6" s="15">
        <f>3173+2000</f>
        <v>5173</v>
      </c>
      <c r="M6" s="15">
        <f t="shared" ref="M6:M21" si="0">L6-N6</f>
        <v>5173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0.6171875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</f>
        <v>4267</v>
      </c>
      <c r="L7" s="15">
        <f>467+3632+168</f>
        <v>4267</v>
      </c>
      <c r="M7" s="15">
        <f t="shared" si="0"/>
        <v>4267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/>
      <c r="T7" s="16">
        <v>3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0.6171875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5279</v>
      </c>
      <c r="K8" s="15">
        <f>L8+4389+4644+4956+4921+4171+5168+4891+5201+4835+5114+5236+5245+1099+4566+5258+5302</f>
        <v>80275</v>
      </c>
      <c r="L8" s="15">
        <f>2719+2560</f>
        <v>5279</v>
      </c>
      <c r="M8" s="15">
        <f t="shared" si="0"/>
        <v>5279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0.6171875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507</v>
      </c>
      <c r="F9" s="30" t="s">
        <v>234</v>
      </c>
      <c r="G9" s="33">
        <v>1</v>
      </c>
      <c r="H9" s="35">
        <v>24</v>
      </c>
      <c r="I9" s="7">
        <v>32000</v>
      </c>
      <c r="J9" s="14">
        <v>1923</v>
      </c>
      <c r="K9" s="15">
        <f>L9</f>
        <v>1923</v>
      </c>
      <c r="L9" s="15">
        <f>674+1249</f>
        <v>1923</v>
      </c>
      <c r="M9" s="15">
        <f t="shared" si="0"/>
        <v>1923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0.6171875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228</v>
      </c>
      <c r="G10" s="33">
        <v>2</v>
      </c>
      <c r="H10" s="35">
        <v>24</v>
      </c>
      <c r="I10" s="7">
        <v>60000</v>
      </c>
      <c r="J10" s="5">
        <v>8516</v>
      </c>
      <c r="K10" s="15">
        <f>L10+4872</f>
        <v>13388</v>
      </c>
      <c r="L10" s="15">
        <f>2313*2+1945*2</f>
        <v>8516</v>
      </c>
      <c r="M10" s="15">
        <f t="shared" si="0"/>
        <v>8516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>AC10*AB10*(1-O10)</f>
        <v>0.75</v>
      </c>
      <c r="AE10" s="36">
        <f t="shared" si="7"/>
        <v>0.6171875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5319</v>
      </c>
      <c r="K11" s="15">
        <f>L11+2806+5234</f>
        <v>13359</v>
      </c>
      <c r="L11" s="15">
        <f>2756+2563</f>
        <v>5319</v>
      </c>
      <c r="M11" s="15">
        <f t="shared" si="0"/>
        <v>5319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0.6171875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5295</v>
      </c>
      <c r="K12" s="15">
        <f>L12+2872+5295+4231</f>
        <v>17693</v>
      </c>
      <c r="L12" s="15">
        <f>2720+2575</f>
        <v>5295</v>
      </c>
      <c r="M12" s="15">
        <f t="shared" si="0"/>
        <v>5295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0.6171875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424</v>
      </c>
      <c r="F13" s="30" t="s">
        <v>125</v>
      </c>
      <c r="G13" s="33">
        <v>2</v>
      </c>
      <c r="H13" s="35">
        <v>24</v>
      </c>
      <c r="I13" s="7">
        <v>80000</v>
      </c>
      <c r="J13" s="5">
        <v>10390</v>
      </c>
      <c r="K13" s="15">
        <f>L13+3076+6250+10334+10336</f>
        <v>40386</v>
      </c>
      <c r="L13" s="15">
        <f>2666*2+2529*2</f>
        <v>10390</v>
      </c>
      <c r="M13" s="15">
        <f t="shared" si="0"/>
        <v>10390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0.6171875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0.6171875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0.6171875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127</v>
      </c>
      <c r="E16" s="53" t="s">
        <v>503</v>
      </c>
      <c r="F16" s="30" t="s">
        <v>149</v>
      </c>
      <c r="G16" s="12">
        <v>1</v>
      </c>
      <c r="H16" s="13">
        <v>24</v>
      </c>
      <c r="I16" s="7">
        <v>3000</v>
      </c>
      <c r="J16" s="14">
        <v>3085</v>
      </c>
      <c r="K16" s="15">
        <f>L16+3085</f>
        <v>3085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0.6171875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4905</v>
      </c>
      <c r="K17" s="15">
        <f>L17+12974+16623</f>
        <v>34502</v>
      </c>
      <c r="L17" s="15">
        <f>1635*3</f>
        <v>4905</v>
      </c>
      <c r="M17" s="15">
        <f t="shared" si="0"/>
        <v>4905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0.6171875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520</v>
      </c>
      <c r="E18" s="53" t="s">
        <v>521</v>
      </c>
      <c r="F18" s="30" t="s">
        <v>150</v>
      </c>
      <c r="G18" s="33">
        <v>1</v>
      </c>
      <c r="H18" s="35">
        <v>24</v>
      </c>
      <c r="I18" s="7">
        <v>300</v>
      </c>
      <c r="J18" s="14">
        <v>420</v>
      </c>
      <c r="K18" s="15">
        <f>L18</f>
        <v>420</v>
      </c>
      <c r="L18" s="15">
        <v>420</v>
      </c>
      <c r="M18" s="15">
        <f t="shared" si="0"/>
        <v>420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20</v>
      </c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0.6171875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5050</v>
      </c>
      <c r="K19" s="15">
        <f>L19+1964+2699+1215+3702+2680+927+2666+4081+2052+4322+5042+2742</f>
        <v>39142</v>
      </c>
      <c r="L19" s="15">
        <f>2457+2593</f>
        <v>5050</v>
      </c>
      <c r="M19" s="15">
        <f t="shared" si="0"/>
        <v>5050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0.6171875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470</v>
      </c>
      <c r="F20" s="30" t="s">
        <v>119</v>
      </c>
      <c r="G20" s="12">
        <v>1</v>
      </c>
      <c r="H20" s="13">
        <v>28</v>
      </c>
      <c r="I20" s="31">
        <v>40000</v>
      </c>
      <c r="J20" s="5">
        <v>3422</v>
      </c>
      <c r="K20" s="15">
        <f>L20+2503+4146</f>
        <v>10071</v>
      </c>
      <c r="L20" s="15">
        <f>2336+1086</f>
        <v>3422</v>
      </c>
      <c r="M20" s="15">
        <f t="shared" si="0"/>
        <v>3422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ref="AD20" si="10">AC20*AB20*(1-O20)</f>
        <v>0.79166666666666663</v>
      </c>
      <c r="AE20" s="36">
        <f t="shared" si="7"/>
        <v>0.6171875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32000</v>
      </c>
      <c r="K21" s="15">
        <f>L21+16808+39112+38440+39748+31140+68844+45656+37140+73976+32892+39440+37868+39596+38388+34736+36544+66564+43260+46640+42244+41088+41832+36124+27096+34100+40944+40964</f>
        <v>1143184</v>
      </c>
      <c r="L21" s="15">
        <f>32000</f>
        <v>32000</v>
      </c>
      <c r="M21" s="15">
        <f t="shared" si="0"/>
        <v>32000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0.6171875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1114600</v>
      </c>
      <c r="J22" s="19">
        <f t="shared" si="11"/>
        <v>100066</v>
      </c>
      <c r="K22" s="20">
        <f t="shared" si="11"/>
        <v>1425267</v>
      </c>
      <c r="L22" s="21">
        <f t="shared" si="11"/>
        <v>91959</v>
      </c>
      <c r="M22" s="20">
        <f t="shared" si="11"/>
        <v>91959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237</v>
      </c>
      <c r="Q22" s="43">
        <f t="shared" si="12"/>
        <v>147</v>
      </c>
      <c r="R22" s="23">
        <f t="shared" si="12"/>
        <v>0</v>
      </c>
      <c r="S22" s="24">
        <f t="shared" si="12"/>
        <v>25</v>
      </c>
      <c r="T22" s="24">
        <f t="shared" si="12"/>
        <v>3</v>
      </c>
      <c r="U22" s="24">
        <f t="shared" si="12"/>
        <v>0</v>
      </c>
      <c r="V22" s="25">
        <f t="shared" si="12"/>
        <v>27</v>
      </c>
      <c r="W22" s="26">
        <f t="shared" si="12"/>
        <v>24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68</v>
      </c>
      <c r="AB22" s="28">
        <f>AVERAGE(AB6:AB21)</f>
        <v>0.8125</v>
      </c>
      <c r="AC22" s="4">
        <f>AVERAGE(AC6:AC21)</f>
        <v>0.6171875</v>
      </c>
      <c r="AD22" s="4">
        <f>AVERAGE(AD6:AD21)</f>
        <v>0.6171875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522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525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336" t="s">
        <v>46</v>
      </c>
      <c r="D51" s="336" t="s">
        <v>47</v>
      </c>
      <c r="E51" s="336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336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333" t="s">
        <v>135</v>
      </c>
      <c r="D52" s="333" t="s">
        <v>265</v>
      </c>
      <c r="E52" s="333" t="s">
        <v>507</v>
      </c>
      <c r="F52" s="452" t="s">
        <v>523</v>
      </c>
      <c r="G52" s="453"/>
      <c r="H52" s="453"/>
      <c r="I52" s="453"/>
      <c r="J52" s="453"/>
      <c r="K52" s="453"/>
      <c r="L52" s="453"/>
      <c r="M52" s="454"/>
      <c r="N52" s="332" t="s">
        <v>120</v>
      </c>
      <c r="O52" s="330" t="s">
        <v>135</v>
      </c>
      <c r="P52" s="455" t="s">
        <v>265</v>
      </c>
      <c r="Q52" s="456"/>
      <c r="R52" s="455" t="s">
        <v>507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112</v>
      </c>
      <c r="B53" s="451"/>
      <c r="C53" s="333" t="s">
        <v>131</v>
      </c>
      <c r="D53" s="333" t="s">
        <v>143</v>
      </c>
      <c r="E53" s="333" t="s">
        <v>519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332" t="s">
        <v>123</v>
      </c>
      <c r="O53" s="330" t="s">
        <v>151</v>
      </c>
      <c r="P53" s="455"/>
      <c r="Q53" s="456"/>
      <c r="R53" s="455" t="s">
        <v>291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123</v>
      </c>
      <c r="B54" s="451"/>
      <c r="C54" s="333" t="s">
        <v>151</v>
      </c>
      <c r="D54" s="333"/>
      <c r="E54" s="333" t="s">
        <v>291</v>
      </c>
      <c r="F54" s="452" t="s">
        <v>462</v>
      </c>
      <c r="G54" s="453"/>
      <c r="H54" s="453"/>
      <c r="I54" s="453"/>
      <c r="J54" s="453"/>
      <c r="K54" s="453"/>
      <c r="L54" s="453"/>
      <c r="M54" s="454"/>
      <c r="N54" s="332" t="s">
        <v>120</v>
      </c>
      <c r="O54" s="330" t="s">
        <v>509</v>
      </c>
      <c r="P54" s="455"/>
      <c r="Q54" s="456"/>
      <c r="R54" s="455" t="s">
        <v>526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333" t="s">
        <v>138</v>
      </c>
      <c r="D55" s="333" t="s">
        <v>520</v>
      </c>
      <c r="E55" s="333" t="s">
        <v>524</v>
      </c>
      <c r="F55" s="452" t="s">
        <v>118</v>
      </c>
      <c r="G55" s="453"/>
      <c r="H55" s="453"/>
      <c r="I55" s="453"/>
      <c r="J55" s="453"/>
      <c r="K55" s="453"/>
      <c r="L55" s="453"/>
      <c r="M55" s="454"/>
      <c r="N55" s="332" t="s">
        <v>120</v>
      </c>
      <c r="O55" s="330" t="s">
        <v>138</v>
      </c>
      <c r="P55" s="455" t="s">
        <v>115</v>
      </c>
      <c r="Q55" s="456"/>
      <c r="R55" s="455" t="s">
        <v>527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333" t="s">
        <v>193</v>
      </c>
      <c r="D56" s="333" t="s">
        <v>115</v>
      </c>
      <c r="E56" s="333" t="s">
        <v>470</v>
      </c>
      <c r="F56" s="452" t="s">
        <v>356</v>
      </c>
      <c r="G56" s="453"/>
      <c r="H56" s="453"/>
      <c r="I56" s="453"/>
      <c r="J56" s="453"/>
      <c r="K56" s="453"/>
      <c r="L56" s="453"/>
      <c r="M56" s="454"/>
      <c r="N56" s="332" t="s">
        <v>120</v>
      </c>
      <c r="O56" s="330" t="s">
        <v>193</v>
      </c>
      <c r="P56" s="455" t="s">
        <v>115</v>
      </c>
      <c r="Q56" s="456"/>
      <c r="R56" s="455" t="s">
        <v>470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333"/>
      <c r="D57" s="333"/>
      <c r="E57" s="333"/>
      <c r="F57" s="452"/>
      <c r="G57" s="453"/>
      <c r="H57" s="453"/>
      <c r="I57" s="453"/>
      <c r="J57" s="453"/>
      <c r="K57" s="453"/>
      <c r="L57" s="453"/>
      <c r="M57" s="454"/>
      <c r="N57" s="332"/>
      <c r="O57" s="330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333"/>
      <c r="D58" s="333"/>
      <c r="E58" s="333"/>
      <c r="F58" s="452"/>
      <c r="G58" s="453"/>
      <c r="H58" s="453"/>
      <c r="I58" s="453"/>
      <c r="J58" s="453"/>
      <c r="K58" s="453"/>
      <c r="L58" s="453"/>
      <c r="M58" s="454"/>
      <c r="N58" s="332"/>
      <c r="O58" s="330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333"/>
      <c r="D59" s="333"/>
      <c r="E59" s="333"/>
      <c r="F59" s="452"/>
      <c r="G59" s="453"/>
      <c r="H59" s="453"/>
      <c r="I59" s="453"/>
      <c r="J59" s="453"/>
      <c r="K59" s="453"/>
      <c r="L59" s="453"/>
      <c r="M59" s="454"/>
      <c r="N59" s="332"/>
      <c r="O59" s="330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33"/>
      <c r="D60" s="333"/>
      <c r="E60" s="333"/>
      <c r="F60" s="452"/>
      <c r="G60" s="453"/>
      <c r="H60" s="453"/>
      <c r="I60" s="453"/>
      <c r="J60" s="453"/>
      <c r="K60" s="453"/>
      <c r="L60" s="453"/>
      <c r="M60" s="454"/>
      <c r="N60" s="332"/>
      <c r="O60" s="330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334"/>
      <c r="D61" s="335"/>
      <c r="E61" s="335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528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31" t="s">
        <v>2</v>
      </c>
      <c r="D63" s="331" t="s">
        <v>37</v>
      </c>
      <c r="E63" s="331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31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123</v>
      </c>
      <c r="D64" s="326"/>
      <c r="E64" s="329"/>
      <c r="F64" s="477" t="s">
        <v>540</v>
      </c>
      <c r="G64" s="478"/>
      <c r="H64" s="478"/>
      <c r="I64" s="478"/>
      <c r="J64" s="479"/>
      <c r="K64" s="480" t="s">
        <v>210</v>
      </c>
      <c r="L64" s="480"/>
      <c r="M64" s="51" t="s">
        <v>419</v>
      </c>
      <c r="N64" s="481" t="s">
        <v>144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123</v>
      </c>
      <c r="D65" s="326"/>
      <c r="E65" s="329"/>
      <c r="F65" s="477" t="s">
        <v>541</v>
      </c>
      <c r="G65" s="478"/>
      <c r="H65" s="478"/>
      <c r="I65" s="478"/>
      <c r="J65" s="479"/>
      <c r="K65" s="480" t="s">
        <v>210</v>
      </c>
      <c r="L65" s="480"/>
      <c r="M65" s="51" t="s">
        <v>419</v>
      </c>
      <c r="N65" s="481" t="s">
        <v>144</v>
      </c>
      <c r="O65" s="481"/>
      <c r="P65" s="482">
        <v>200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 t="s">
        <v>120</v>
      </c>
      <c r="D66" s="326"/>
      <c r="E66" s="329" t="s">
        <v>143</v>
      </c>
      <c r="F66" s="477" t="s">
        <v>542</v>
      </c>
      <c r="G66" s="478"/>
      <c r="H66" s="478"/>
      <c r="I66" s="478"/>
      <c r="J66" s="479"/>
      <c r="K66" s="480" t="s">
        <v>136</v>
      </c>
      <c r="L66" s="480"/>
      <c r="M66" s="51" t="s">
        <v>153</v>
      </c>
      <c r="N66" s="481" t="s">
        <v>144</v>
      </c>
      <c r="O66" s="481"/>
      <c r="P66" s="482">
        <v>50</v>
      </c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 t="s">
        <v>120</v>
      </c>
      <c r="D67" s="326"/>
      <c r="E67" s="329" t="s">
        <v>143</v>
      </c>
      <c r="F67" s="477" t="s">
        <v>543</v>
      </c>
      <c r="G67" s="478"/>
      <c r="H67" s="478"/>
      <c r="I67" s="478"/>
      <c r="J67" s="479"/>
      <c r="K67" s="480" t="s">
        <v>128</v>
      </c>
      <c r="L67" s="480"/>
      <c r="M67" s="51" t="s">
        <v>153</v>
      </c>
      <c r="N67" s="481" t="s">
        <v>144</v>
      </c>
      <c r="O67" s="481"/>
      <c r="P67" s="482">
        <v>50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 t="s">
        <v>120</v>
      </c>
      <c r="D68" s="326"/>
      <c r="E68" s="329" t="s">
        <v>127</v>
      </c>
      <c r="F68" s="477" t="s">
        <v>544</v>
      </c>
      <c r="G68" s="478"/>
      <c r="H68" s="478"/>
      <c r="I68" s="478"/>
      <c r="J68" s="479"/>
      <c r="K68" s="480" t="s">
        <v>149</v>
      </c>
      <c r="L68" s="480"/>
      <c r="M68" s="51" t="s">
        <v>153</v>
      </c>
      <c r="N68" s="481" t="s">
        <v>509</v>
      </c>
      <c r="O68" s="481"/>
      <c r="P68" s="482">
        <v>50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 t="s">
        <v>120</v>
      </c>
      <c r="D69" s="326"/>
      <c r="E69" s="329" t="s">
        <v>115</v>
      </c>
      <c r="F69" s="477" t="s">
        <v>545</v>
      </c>
      <c r="G69" s="478"/>
      <c r="H69" s="478"/>
      <c r="I69" s="478"/>
      <c r="J69" s="479"/>
      <c r="K69" s="480">
        <v>7301</v>
      </c>
      <c r="L69" s="480"/>
      <c r="M69" s="51" t="s">
        <v>153</v>
      </c>
      <c r="N69" s="481" t="s">
        <v>509</v>
      </c>
      <c r="O69" s="481"/>
      <c r="P69" s="482">
        <v>50</v>
      </c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 t="s">
        <v>123</v>
      </c>
      <c r="D70" s="326"/>
      <c r="E70" s="329"/>
      <c r="F70" s="487" t="s">
        <v>546</v>
      </c>
      <c r="G70" s="480"/>
      <c r="H70" s="480"/>
      <c r="I70" s="480"/>
      <c r="J70" s="480"/>
      <c r="K70" s="480" t="s">
        <v>119</v>
      </c>
      <c r="L70" s="480"/>
      <c r="M70" s="51" t="s">
        <v>227</v>
      </c>
      <c r="N70" s="481" t="s">
        <v>138</v>
      </c>
      <c r="O70" s="481"/>
      <c r="P70" s="482">
        <v>50</v>
      </c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 t="s">
        <v>120</v>
      </c>
      <c r="D71" s="326"/>
      <c r="E71" s="329" t="s">
        <v>244</v>
      </c>
      <c r="F71" s="487" t="s">
        <v>547</v>
      </c>
      <c r="G71" s="480"/>
      <c r="H71" s="480"/>
      <c r="I71" s="480"/>
      <c r="J71" s="480"/>
      <c r="K71" s="480" t="s">
        <v>548</v>
      </c>
      <c r="L71" s="480"/>
      <c r="M71" s="51" t="s">
        <v>153</v>
      </c>
      <c r="N71" s="481" t="s">
        <v>138</v>
      </c>
      <c r="O71" s="481"/>
      <c r="P71" s="482">
        <v>100</v>
      </c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 t="s">
        <v>120</v>
      </c>
      <c r="D72" s="326"/>
      <c r="E72" s="329" t="s">
        <v>244</v>
      </c>
      <c r="F72" s="487" t="s">
        <v>549</v>
      </c>
      <c r="G72" s="480"/>
      <c r="H72" s="480"/>
      <c r="I72" s="480"/>
      <c r="J72" s="480"/>
      <c r="K72" s="480" t="s">
        <v>548</v>
      </c>
      <c r="L72" s="480"/>
      <c r="M72" s="51" t="s">
        <v>153</v>
      </c>
      <c r="N72" s="481" t="s">
        <v>138</v>
      </c>
      <c r="O72" s="481"/>
      <c r="P72" s="482">
        <v>100</v>
      </c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 t="s">
        <v>120</v>
      </c>
      <c r="D73" s="326"/>
      <c r="E73" s="329" t="s">
        <v>520</v>
      </c>
      <c r="F73" s="487" t="s">
        <v>524</v>
      </c>
      <c r="G73" s="480"/>
      <c r="H73" s="480"/>
      <c r="I73" s="480"/>
      <c r="J73" s="480"/>
      <c r="K73" s="480">
        <v>7301</v>
      </c>
      <c r="L73" s="480"/>
      <c r="M73" s="51" t="s">
        <v>153</v>
      </c>
      <c r="N73" s="481" t="s">
        <v>138</v>
      </c>
      <c r="O73" s="481"/>
      <c r="P73" s="482">
        <v>50</v>
      </c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530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328" t="s">
        <v>2</v>
      </c>
      <c r="D75" s="328" t="s">
        <v>37</v>
      </c>
      <c r="E75" s="328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327" t="s">
        <v>112</v>
      </c>
      <c r="D76" s="327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326"/>
      <c r="D77" s="326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326"/>
      <c r="D78" s="326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326"/>
      <c r="D79" s="326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326"/>
      <c r="D80" s="326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326"/>
      <c r="D81" s="326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326"/>
      <c r="D82" s="326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531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742B-A987-4E57-B9D6-22703D8936B5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532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37" t="s">
        <v>17</v>
      </c>
      <c r="L5" s="337" t="s">
        <v>18</v>
      </c>
      <c r="M5" s="337" t="s">
        <v>19</v>
      </c>
      <c r="N5" s="3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5222</v>
      </c>
      <c r="K6" s="15">
        <f>L6+5099+3648+1950+5173</f>
        <v>21092</v>
      </c>
      <c r="L6" s="15">
        <f>2505+2717</f>
        <v>5222</v>
      </c>
      <c r="M6" s="15">
        <f t="shared" ref="M6:M21" si="0">L6-N6</f>
        <v>5222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0.55468750000000011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L7+4267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0.55468750000000011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5324</v>
      </c>
      <c r="K8" s="15">
        <f>L8+4389+4644+4956+4921+4171+5168+4891+5201+4835+5114+5236+5245+1099+4566+5258+5302+5279</f>
        <v>85599</v>
      </c>
      <c r="L8" s="15">
        <f>2555+2769</f>
        <v>5324</v>
      </c>
      <c r="M8" s="15">
        <f t="shared" si="0"/>
        <v>5324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0.55468750000000011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507</v>
      </c>
      <c r="F9" s="30" t="s">
        <v>234</v>
      </c>
      <c r="G9" s="33">
        <v>1</v>
      </c>
      <c r="H9" s="35">
        <v>24</v>
      </c>
      <c r="I9" s="7">
        <v>32000</v>
      </c>
      <c r="J9" s="14">
        <v>3914</v>
      </c>
      <c r="K9" s="15">
        <f>L9+1923</f>
        <v>5837</v>
      </c>
      <c r="L9" s="15">
        <f>1170+2744</f>
        <v>3914</v>
      </c>
      <c r="M9" s="15">
        <f t="shared" si="0"/>
        <v>3914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0.55468750000000011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228</v>
      </c>
      <c r="G10" s="33">
        <v>2</v>
      </c>
      <c r="H10" s="35">
        <v>24</v>
      </c>
      <c r="I10" s="7">
        <v>60000</v>
      </c>
      <c r="J10" s="5">
        <v>5126</v>
      </c>
      <c r="K10" s="15">
        <f>L10+4872+8516</f>
        <v>18514</v>
      </c>
      <c r="L10" s="15">
        <f>2563*2</f>
        <v>5126</v>
      </c>
      <c r="M10" s="15">
        <f t="shared" si="0"/>
        <v>5126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>
        <v>13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>AC10*AB10*(1-O10)</f>
        <v>0.45833333333333331</v>
      </c>
      <c r="AE10" s="36">
        <f t="shared" si="7"/>
        <v>0.55468750000000011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5378</v>
      </c>
      <c r="K11" s="15">
        <f>L11+2806+5234+5319</f>
        <v>18737</v>
      </c>
      <c r="L11" s="15">
        <f>2589+2789</f>
        <v>5378</v>
      </c>
      <c r="M11" s="15">
        <f t="shared" si="0"/>
        <v>5378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0.55468750000000011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5295</v>
      </c>
      <c r="K12" s="15">
        <f>L12+2872+5295+4231+5295</f>
        <v>22988</v>
      </c>
      <c r="L12" s="15">
        <f>2551+2744</f>
        <v>5295</v>
      </c>
      <c r="M12" s="15">
        <f t="shared" si="0"/>
        <v>5295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0.55468750000000011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424</v>
      </c>
      <c r="F13" s="30" t="s">
        <v>125</v>
      </c>
      <c r="G13" s="33">
        <v>2</v>
      </c>
      <c r="H13" s="35">
        <v>24</v>
      </c>
      <c r="I13" s="7">
        <v>80000</v>
      </c>
      <c r="J13" s="5">
        <v>7148</v>
      </c>
      <c r="K13" s="15">
        <f>L13+3076+6250+10334+10336+10390</f>
        <v>47534</v>
      </c>
      <c r="L13" s="15">
        <f>1305*2+2269*2</f>
        <v>7148</v>
      </c>
      <c r="M13" s="15">
        <f t="shared" si="0"/>
        <v>7148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>AC13*AB13*(1-O13)</f>
        <v>0.79166666666666663</v>
      </c>
      <c r="AE13" s="36">
        <f t="shared" si="7"/>
        <v>0.55468750000000011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0.55468750000000011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0.55468750000000011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533</v>
      </c>
      <c r="E16" s="53" t="s">
        <v>526</v>
      </c>
      <c r="F16" s="30" t="s">
        <v>137</v>
      </c>
      <c r="G16" s="12">
        <v>1</v>
      </c>
      <c r="H16" s="13">
        <v>24</v>
      </c>
      <c r="I16" s="7">
        <v>1500</v>
      </c>
      <c r="J16" s="14">
        <v>1869</v>
      </c>
      <c r="K16" s="15">
        <f>L16</f>
        <v>1869</v>
      </c>
      <c r="L16" s="15">
        <f>1659+210</f>
        <v>1869</v>
      </c>
      <c r="M16" s="15">
        <f t="shared" si="0"/>
        <v>1869</v>
      </c>
      <c r="N16" s="15">
        <v>0</v>
      </c>
      <c r="O16" s="58">
        <f t="shared" si="1"/>
        <v>0</v>
      </c>
      <c r="P16" s="39">
        <f t="shared" si="2"/>
        <v>10</v>
      </c>
      <c r="Q16" s="40">
        <f t="shared" si="3"/>
        <v>14</v>
      </c>
      <c r="R16" s="7"/>
      <c r="S16" s="6">
        <v>1</v>
      </c>
      <c r="T16" s="16"/>
      <c r="U16" s="16"/>
      <c r="V16" s="17"/>
      <c r="W16" s="5">
        <v>13</v>
      </c>
      <c r="X16" s="16"/>
      <c r="Y16" s="16"/>
      <c r="Z16" s="16"/>
      <c r="AA16" s="18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6">
        <f t="shared" si="7"/>
        <v>0.55468750000000011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80000</v>
      </c>
      <c r="J17" s="14">
        <v>4905</v>
      </c>
      <c r="K17" s="15">
        <f>L17+12974+16623+4905</f>
        <v>34502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>
        <v>24</v>
      </c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0.55468750000000011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527</v>
      </c>
      <c r="F18" s="30" t="s">
        <v>150</v>
      </c>
      <c r="G18" s="33">
        <v>1</v>
      </c>
      <c r="H18" s="35">
        <v>24</v>
      </c>
      <c r="I18" s="7">
        <v>40000</v>
      </c>
      <c r="J18" s="14">
        <v>4610</v>
      </c>
      <c r="K18" s="15">
        <f>L18</f>
        <v>4610</v>
      </c>
      <c r="L18" s="15">
        <f>3008+1602</f>
        <v>4610</v>
      </c>
      <c r="M18" s="15">
        <f t="shared" si="0"/>
        <v>4610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0.55468750000000011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40000</v>
      </c>
      <c r="J19" s="5">
        <v>5068</v>
      </c>
      <c r="K19" s="15">
        <f>L19+1964+2699+1215+3702+2680+927+2666+4081+2052+4322+5042+2742+5050</f>
        <v>44210</v>
      </c>
      <c r="L19" s="15">
        <f>2428+2640</f>
        <v>5068</v>
      </c>
      <c r="M19" s="15">
        <f t="shared" si="0"/>
        <v>5068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0.55468750000000011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470</v>
      </c>
      <c r="F20" s="30" t="s">
        <v>119</v>
      </c>
      <c r="G20" s="12">
        <v>1</v>
      </c>
      <c r="H20" s="13">
        <v>28</v>
      </c>
      <c r="I20" s="31">
        <v>40000</v>
      </c>
      <c r="J20" s="5">
        <v>2211</v>
      </c>
      <c r="K20" s="15">
        <f>L20+2503+4146+3422</f>
        <v>12282</v>
      </c>
      <c r="L20" s="15">
        <f>1517+694</f>
        <v>2211</v>
      </c>
      <c r="M20" s="15">
        <f t="shared" si="0"/>
        <v>2211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ref="AD20" si="10">AC20*AB20*(1-O20)</f>
        <v>0.45833333333333331</v>
      </c>
      <c r="AE20" s="36">
        <f t="shared" si="7"/>
        <v>0.55468750000000011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32000</v>
      </c>
      <c r="K21" s="15">
        <f>L21+16808+39112+38440+39748+31140+68844+45656+37140+73976+32892+39440+37868+39596+38388+34736+36544+66564+43260+46640+42244+41088+41832+36124+27096+34100+40944+40964+32000</f>
        <v>1143184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0.55468750000000011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1152800</v>
      </c>
      <c r="J22" s="19">
        <f t="shared" si="11"/>
        <v>97359</v>
      </c>
      <c r="K22" s="20">
        <f t="shared" si="11"/>
        <v>1472927</v>
      </c>
      <c r="L22" s="21">
        <f t="shared" si="11"/>
        <v>51165</v>
      </c>
      <c r="M22" s="20">
        <f t="shared" si="11"/>
        <v>51165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213</v>
      </c>
      <c r="Q22" s="43">
        <f t="shared" si="12"/>
        <v>171</v>
      </c>
      <c r="R22" s="23">
        <f t="shared" si="12"/>
        <v>0</v>
      </c>
      <c r="S22" s="24">
        <f t="shared" si="12"/>
        <v>36</v>
      </c>
      <c r="T22" s="24">
        <f t="shared" si="12"/>
        <v>2</v>
      </c>
      <c r="U22" s="24">
        <f t="shared" si="12"/>
        <v>0</v>
      </c>
      <c r="V22" s="25">
        <f t="shared" si="12"/>
        <v>48</v>
      </c>
      <c r="W22" s="26">
        <f t="shared" si="12"/>
        <v>37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48</v>
      </c>
      <c r="AB22" s="28">
        <f>AVERAGE(AB6:AB21)</f>
        <v>0.6875</v>
      </c>
      <c r="AC22" s="4">
        <f>AVERAGE(AC6:AC21)</f>
        <v>0.55468750000000011</v>
      </c>
      <c r="AD22" s="4">
        <f>AVERAGE(AD6:AD21)</f>
        <v>0.55468750000000011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534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537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336" t="s">
        <v>46</v>
      </c>
      <c r="D51" s="336" t="s">
        <v>47</v>
      </c>
      <c r="E51" s="336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336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333" t="s">
        <v>135</v>
      </c>
      <c r="D52" s="333" t="s">
        <v>265</v>
      </c>
      <c r="E52" s="333" t="s">
        <v>507</v>
      </c>
      <c r="F52" s="452" t="s">
        <v>139</v>
      </c>
      <c r="G52" s="453"/>
      <c r="H52" s="453"/>
      <c r="I52" s="453"/>
      <c r="J52" s="453"/>
      <c r="K52" s="453"/>
      <c r="L52" s="453"/>
      <c r="M52" s="454"/>
      <c r="N52" s="332" t="s">
        <v>120</v>
      </c>
      <c r="O52" s="330" t="s">
        <v>509</v>
      </c>
      <c r="P52" s="455" t="s">
        <v>338</v>
      </c>
      <c r="Q52" s="456"/>
      <c r="R52" s="455" t="s">
        <v>538</v>
      </c>
      <c r="S52" s="457"/>
      <c r="T52" s="457"/>
      <c r="U52" s="456"/>
      <c r="V52" s="458" t="s">
        <v>118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123</v>
      </c>
      <c r="B53" s="451"/>
      <c r="C53" s="333" t="s">
        <v>151</v>
      </c>
      <c r="D53" s="333"/>
      <c r="E53" s="333" t="s">
        <v>291</v>
      </c>
      <c r="F53" s="452" t="s">
        <v>535</v>
      </c>
      <c r="G53" s="453"/>
      <c r="H53" s="453"/>
      <c r="I53" s="453"/>
      <c r="J53" s="453"/>
      <c r="K53" s="453"/>
      <c r="L53" s="453"/>
      <c r="M53" s="454"/>
      <c r="N53" s="332" t="s">
        <v>123</v>
      </c>
      <c r="O53" s="330" t="s">
        <v>151</v>
      </c>
      <c r="P53" s="455"/>
      <c r="Q53" s="456"/>
      <c r="R53" s="455" t="s">
        <v>291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333" t="s">
        <v>138</v>
      </c>
      <c r="D54" s="333" t="s">
        <v>115</v>
      </c>
      <c r="E54" s="333" t="s">
        <v>527</v>
      </c>
      <c r="F54" s="452" t="s">
        <v>174</v>
      </c>
      <c r="G54" s="453"/>
      <c r="H54" s="453"/>
      <c r="I54" s="453"/>
      <c r="J54" s="453"/>
      <c r="K54" s="453"/>
      <c r="L54" s="453"/>
      <c r="M54" s="454"/>
      <c r="N54" s="332" t="s">
        <v>120</v>
      </c>
      <c r="O54" s="330" t="s">
        <v>317</v>
      </c>
      <c r="P54" s="455" t="s">
        <v>511</v>
      </c>
      <c r="Q54" s="456"/>
      <c r="R54" s="455" t="s">
        <v>539</v>
      </c>
      <c r="S54" s="457"/>
      <c r="T54" s="457"/>
      <c r="U54" s="456"/>
      <c r="V54" s="458" t="s">
        <v>118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333" t="s">
        <v>193</v>
      </c>
      <c r="D55" s="333" t="s">
        <v>115</v>
      </c>
      <c r="E55" s="333" t="s">
        <v>470</v>
      </c>
      <c r="F55" s="452" t="s">
        <v>536</v>
      </c>
      <c r="G55" s="453"/>
      <c r="H55" s="453"/>
      <c r="I55" s="453"/>
      <c r="J55" s="453"/>
      <c r="K55" s="453"/>
      <c r="L55" s="453"/>
      <c r="M55" s="454"/>
      <c r="N55" s="332" t="s">
        <v>120</v>
      </c>
      <c r="O55" s="330" t="s">
        <v>193</v>
      </c>
      <c r="P55" s="455" t="s">
        <v>115</v>
      </c>
      <c r="Q55" s="456"/>
      <c r="R55" s="455" t="s">
        <v>470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121</v>
      </c>
      <c r="B56" s="451"/>
      <c r="C56" s="333" t="s">
        <v>240</v>
      </c>
      <c r="D56" s="333" t="s">
        <v>115</v>
      </c>
      <c r="E56" s="333" t="s">
        <v>424</v>
      </c>
      <c r="F56" s="452" t="s">
        <v>192</v>
      </c>
      <c r="G56" s="453"/>
      <c r="H56" s="453"/>
      <c r="I56" s="453"/>
      <c r="J56" s="453"/>
      <c r="K56" s="453"/>
      <c r="L56" s="453"/>
      <c r="M56" s="454"/>
      <c r="N56" s="332"/>
      <c r="O56" s="330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/>
      <c r="B57" s="451"/>
      <c r="C57" s="333"/>
      <c r="D57" s="333"/>
      <c r="E57" s="333"/>
      <c r="F57" s="452"/>
      <c r="G57" s="453"/>
      <c r="H57" s="453"/>
      <c r="I57" s="453"/>
      <c r="J57" s="453"/>
      <c r="K57" s="453"/>
      <c r="L57" s="453"/>
      <c r="M57" s="454"/>
      <c r="N57" s="332"/>
      <c r="O57" s="330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333"/>
      <c r="D58" s="333"/>
      <c r="E58" s="333"/>
      <c r="F58" s="452"/>
      <c r="G58" s="453"/>
      <c r="H58" s="453"/>
      <c r="I58" s="453"/>
      <c r="J58" s="453"/>
      <c r="K58" s="453"/>
      <c r="L58" s="453"/>
      <c r="M58" s="454"/>
      <c r="N58" s="332"/>
      <c r="O58" s="330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333"/>
      <c r="D59" s="333"/>
      <c r="E59" s="333"/>
      <c r="F59" s="452"/>
      <c r="G59" s="453"/>
      <c r="H59" s="453"/>
      <c r="I59" s="453"/>
      <c r="J59" s="453"/>
      <c r="K59" s="453"/>
      <c r="L59" s="453"/>
      <c r="M59" s="454"/>
      <c r="N59" s="332"/>
      <c r="O59" s="330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33"/>
      <c r="D60" s="333"/>
      <c r="E60" s="333"/>
      <c r="F60" s="452"/>
      <c r="G60" s="453"/>
      <c r="H60" s="453"/>
      <c r="I60" s="453"/>
      <c r="J60" s="453"/>
      <c r="K60" s="453"/>
      <c r="L60" s="453"/>
      <c r="M60" s="454"/>
      <c r="N60" s="332"/>
      <c r="O60" s="330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334"/>
      <c r="D61" s="335"/>
      <c r="E61" s="335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550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31" t="s">
        <v>2</v>
      </c>
      <c r="D63" s="331" t="s">
        <v>37</v>
      </c>
      <c r="E63" s="331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31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326"/>
      <c r="E64" s="329" t="s">
        <v>115</v>
      </c>
      <c r="F64" s="477" t="s">
        <v>527</v>
      </c>
      <c r="G64" s="478"/>
      <c r="H64" s="478"/>
      <c r="I64" s="478"/>
      <c r="J64" s="479"/>
      <c r="K64" s="480">
        <v>7301</v>
      </c>
      <c r="L64" s="480"/>
      <c r="M64" s="51" t="s">
        <v>153</v>
      </c>
      <c r="N64" s="481" t="s">
        <v>138</v>
      </c>
      <c r="O64" s="481"/>
      <c r="P64" s="482">
        <v>50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112</v>
      </c>
      <c r="D65" s="326"/>
      <c r="E65" s="329" t="s">
        <v>177</v>
      </c>
      <c r="F65" s="477" t="s">
        <v>529</v>
      </c>
      <c r="G65" s="478"/>
      <c r="H65" s="478"/>
      <c r="I65" s="478"/>
      <c r="J65" s="479"/>
      <c r="K65" s="480" t="s">
        <v>136</v>
      </c>
      <c r="L65" s="480"/>
      <c r="M65" s="51" t="s">
        <v>147</v>
      </c>
      <c r="N65" s="481" t="s">
        <v>131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326"/>
      <c r="E66" s="329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326"/>
      <c r="E67" s="329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326"/>
      <c r="E68" s="329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326"/>
      <c r="E69" s="329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326"/>
      <c r="E70" s="329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326"/>
      <c r="E71" s="329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326"/>
      <c r="E72" s="329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326"/>
      <c r="E73" s="329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551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328" t="s">
        <v>2</v>
      </c>
      <c r="D75" s="328" t="s">
        <v>37</v>
      </c>
      <c r="E75" s="328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327" t="s">
        <v>112</v>
      </c>
      <c r="D76" s="327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326"/>
      <c r="D77" s="326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326"/>
      <c r="D78" s="326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326"/>
      <c r="D79" s="326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326"/>
      <c r="D80" s="326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326"/>
      <c r="D81" s="326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326"/>
      <c r="D82" s="326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552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F478-848C-4F4A-94E4-6448C914F43E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553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38" t="s">
        <v>17</v>
      </c>
      <c r="L5" s="338" t="s">
        <v>18</v>
      </c>
      <c r="M5" s="338" t="s">
        <v>19</v>
      </c>
      <c r="N5" s="3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3871</v>
      </c>
      <c r="K6" s="15">
        <f>L6+5099+3648+1950+5173+5222</f>
        <v>24963</v>
      </c>
      <c r="L6" s="15">
        <f>2675+1196</f>
        <v>3871</v>
      </c>
      <c r="M6" s="15">
        <f t="shared" ref="M6:M21" si="0">L6-N6</f>
        <v>3871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21</v>
      </c>
      <c r="Q6" s="40">
        <f t="shared" ref="Q6:Q21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0.875</v>
      </c>
      <c r="AD6" s="10">
        <f t="shared" ref="AD6:AD21" si="6">AC6*AB6*(1-O6)</f>
        <v>0.875</v>
      </c>
      <c r="AE6" s="36">
        <f t="shared" ref="AE6:AE21" si="7">$AD$22</f>
        <v>0.58072916666666663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L7+4267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0.58072916666666663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5264</v>
      </c>
      <c r="K8" s="15">
        <f>L8+4389+4644+4956+4921+4171+5168+4891+5201+4835+5114+5236+5245+1099+4566+5258+5302+5279+5324</f>
        <v>90863</v>
      </c>
      <c r="L8" s="15">
        <f>2738+2526</f>
        <v>5264</v>
      </c>
      <c r="M8" s="15">
        <f t="shared" si="0"/>
        <v>5264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0.58072916666666663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507</v>
      </c>
      <c r="F9" s="30" t="s">
        <v>234</v>
      </c>
      <c r="G9" s="33">
        <v>1</v>
      </c>
      <c r="H9" s="35">
        <v>24</v>
      </c>
      <c r="I9" s="7">
        <v>32000</v>
      </c>
      <c r="J9" s="14">
        <v>3372</v>
      </c>
      <c r="K9" s="15">
        <f>L9+1923+3914</f>
        <v>9209</v>
      </c>
      <c r="L9" s="15">
        <f>1157+2215</f>
        <v>3372</v>
      </c>
      <c r="M9" s="15">
        <f t="shared" si="0"/>
        <v>3372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0.58072916666666663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228</v>
      </c>
      <c r="G10" s="33">
        <v>2</v>
      </c>
      <c r="H10" s="35">
        <v>24</v>
      </c>
      <c r="I10" s="7">
        <v>60000</v>
      </c>
      <c r="J10" s="5">
        <v>5600</v>
      </c>
      <c r="K10" s="15">
        <f>L10+4872+8516+5126</f>
        <v>24114</v>
      </c>
      <c r="L10" s="15">
        <f>2800*2</f>
        <v>5600</v>
      </c>
      <c r="M10" s="15">
        <f t="shared" si="0"/>
        <v>5600</v>
      </c>
      <c r="N10" s="15">
        <v>0</v>
      </c>
      <c r="O10" s="58">
        <f t="shared" si="1"/>
        <v>0</v>
      </c>
      <c r="P10" s="39">
        <f t="shared" si="2"/>
        <v>12</v>
      </c>
      <c r="Q10" s="40">
        <f t="shared" si="3"/>
        <v>12</v>
      </c>
      <c r="R10" s="7"/>
      <c r="S10" s="6">
        <v>12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</v>
      </c>
      <c r="AD10" s="10">
        <f>AC10*AB10*(1-O10)</f>
        <v>0.5</v>
      </c>
      <c r="AE10" s="36">
        <f t="shared" si="7"/>
        <v>0.58072916666666663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5411</v>
      </c>
      <c r="K11" s="15">
        <f>L11+2806+5234+5319+5378</f>
        <v>24148</v>
      </c>
      <c r="L11" s="15">
        <f>2764+111+2536</f>
        <v>5411</v>
      </c>
      <c r="M11" s="15">
        <f t="shared" si="0"/>
        <v>5411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0.58072916666666663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5281</v>
      </c>
      <c r="K12" s="15">
        <f>L12+2872+5295+4231+5295+5295</f>
        <v>28269</v>
      </c>
      <c r="L12" s="15">
        <f>2739+2542</f>
        <v>5281</v>
      </c>
      <c r="M12" s="15">
        <f t="shared" si="0"/>
        <v>5281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0.58072916666666663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424</v>
      </c>
      <c r="F13" s="30" t="s">
        <v>125</v>
      </c>
      <c r="G13" s="33">
        <v>2</v>
      </c>
      <c r="H13" s="35">
        <v>24</v>
      </c>
      <c r="I13" s="7">
        <v>80000</v>
      </c>
      <c r="J13" s="5">
        <v>8084</v>
      </c>
      <c r="K13" s="15">
        <f>L13+3076+6250+10334+10336+10390+7148</f>
        <v>55618</v>
      </c>
      <c r="L13" s="15">
        <f>1530*2+2512*2</f>
        <v>8084</v>
      </c>
      <c r="M13" s="15">
        <f t="shared" si="0"/>
        <v>8084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/>
      <c r="T13" s="16"/>
      <c r="U13" s="16"/>
      <c r="V13" s="17"/>
      <c r="W13" s="5">
        <v>3</v>
      </c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0.58072916666666663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0.58072916666666663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0.58072916666666663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338</v>
      </c>
      <c r="E16" s="53" t="s">
        <v>538</v>
      </c>
      <c r="F16" s="30" t="s">
        <v>154</v>
      </c>
      <c r="G16" s="12">
        <v>1</v>
      </c>
      <c r="H16" s="13">
        <v>24</v>
      </c>
      <c r="I16" s="7">
        <v>1200</v>
      </c>
      <c r="J16" s="14">
        <v>1680</v>
      </c>
      <c r="K16" s="15">
        <f>L16</f>
        <v>1680</v>
      </c>
      <c r="L16" s="15">
        <f>1680</f>
        <v>1680</v>
      </c>
      <c r="M16" s="15">
        <f t="shared" si="0"/>
        <v>1680</v>
      </c>
      <c r="N16" s="15">
        <v>0</v>
      </c>
      <c r="O16" s="58">
        <f t="shared" si="1"/>
        <v>0</v>
      </c>
      <c r="P16" s="39">
        <f t="shared" si="2"/>
        <v>9</v>
      </c>
      <c r="Q16" s="40">
        <f t="shared" si="3"/>
        <v>15</v>
      </c>
      <c r="R16" s="7"/>
      <c r="S16" s="6"/>
      <c r="T16" s="16"/>
      <c r="U16" s="16"/>
      <c r="V16" s="17"/>
      <c r="W16" s="5">
        <v>15</v>
      </c>
      <c r="X16" s="16"/>
      <c r="Y16" s="16"/>
      <c r="Z16" s="16"/>
      <c r="AA16" s="18"/>
      <c r="AB16" s="8">
        <f t="shared" si="4"/>
        <v>1</v>
      </c>
      <c r="AC16" s="9">
        <f t="shared" si="5"/>
        <v>0.375</v>
      </c>
      <c r="AD16" s="10">
        <f t="shared" si="6"/>
        <v>0.375</v>
      </c>
      <c r="AE16" s="36">
        <f t="shared" si="7"/>
        <v>0.58072916666666663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511</v>
      </c>
      <c r="E17" s="53" t="s">
        <v>539</v>
      </c>
      <c r="F17" s="30" t="s">
        <v>554</v>
      </c>
      <c r="G17" s="12">
        <v>2</v>
      </c>
      <c r="H17" s="13">
        <v>24</v>
      </c>
      <c r="I17" s="7">
        <v>2000</v>
      </c>
      <c r="J17" s="14">
        <v>4138</v>
      </c>
      <c r="K17" s="15">
        <f>L17</f>
        <v>4138</v>
      </c>
      <c r="L17" s="15">
        <f>2069*2</f>
        <v>4138</v>
      </c>
      <c r="M17" s="15">
        <f t="shared" si="0"/>
        <v>4138</v>
      </c>
      <c r="N17" s="15">
        <v>0</v>
      </c>
      <c r="O17" s="58">
        <f t="shared" si="1"/>
        <v>0</v>
      </c>
      <c r="P17" s="39">
        <f t="shared" si="2"/>
        <v>11</v>
      </c>
      <c r="Q17" s="40">
        <f t="shared" si="3"/>
        <v>13</v>
      </c>
      <c r="R17" s="7"/>
      <c r="S17" s="6"/>
      <c r="T17" s="16"/>
      <c r="U17" s="16"/>
      <c r="V17" s="17"/>
      <c r="W17" s="5">
        <v>13</v>
      </c>
      <c r="X17" s="16"/>
      <c r="Y17" s="16"/>
      <c r="Z17" s="16"/>
      <c r="AA17" s="18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6">
        <f t="shared" si="7"/>
        <v>0.58072916666666663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527</v>
      </c>
      <c r="F18" s="30" t="s">
        <v>150</v>
      </c>
      <c r="G18" s="33">
        <v>1</v>
      </c>
      <c r="H18" s="35">
        <v>24</v>
      </c>
      <c r="I18" s="7">
        <v>40000</v>
      </c>
      <c r="J18" s="14">
        <v>5739</v>
      </c>
      <c r="K18" s="15">
        <f>L18+4610</f>
        <v>10349</v>
      </c>
      <c r="L18" s="15">
        <f>2749+2990</f>
        <v>5739</v>
      </c>
      <c r="M18" s="15">
        <f t="shared" si="0"/>
        <v>5739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0.58072916666666663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80000</v>
      </c>
      <c r="J19" s="5">
        <v>4805</v>
      </c>
      <c r="K19" s="15">
        <f>L19+1964+2699+1215+3702+2680+927+2666+4081+2052+4322+5042+2742+5050+5068</f>
        <v>49015</v>
      </c>
      <c r="L19" s="15">
        <f>2623+2182</f>
        <v>4805</v>
      </c>
      <c r="M19" s="15">
        <f t="shared" si="0"/>
        <v>4805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 t="shared" si="7"/>
        <v>0.58072916666666663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470</v>
      </c>
      <c r="F20" s="30" t="s">
        <v>119</v>
      </c>
      <c r="G20" s="12">
        <v>1</v>
      </c>
      <c r="H20" s="13">
        <v>28</v>
      </c>
      <c r="I20" s="31">
        <v>40000</v>
      </c>
      <c r="J20" s="5">
        <v>1805</v>
      </c>
      <c r="K20" s="15">
        <f>L20+2503+4146+3422+2211</f>
        <v>14087</v>
      </c>
      <c r="L20" s="15">
        <f>287+1518</f>
        <v>1805</v>
      </c>
      <c r="M20" s="15">
        <f t="shared" si="0"/>
        <v>1805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ref="AD20" si="10">AC20*AB20*(1-O20)</f>
        <v>0.41666666666666669</v>
      </c>
      <c r="AE20" s="36">
        <f t="shared" si="7"/>
        <v>0.58072916666666663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162</v>
      </c>
      <c r="F21" s="12" t="s">
        <v>114</v>
      </c>
      <c r="G21" s="12">
        <v>4</v>
      </c>
      <c r="H21" s="35">
        <v>20</v>
      </c>
      <c r="I21" s="7">
        <v>500000</v>
      </c>
      <c r="J21" s="14">
        <v>32000</v>
      </c>
      <c r="K21" s="15">
        <f>L21+16808+39112+38440+39748+31140+68844+45656+37140+73976+32892+39440+37868+39596+38388+34736+36544+66564+43260+46640+42244+41088+41832+36124+27096+34100+40944+40964+32000</f>
        <v>1143184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0.58072916666666663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1114500</v>
      </c>
      <c r="J22" s="19">
        <f t="shared" si="11"/>
        <v>96339</v>
      </c>
      <c r="K22" s="20">
        <f t="shared" si="11"/>
        <v>1491606</v>
      </c>
      <c r="L22" s="21">
        <f t="shared" si="11"/>
        <v>55050</v>
      </c>
      <c r="M22" s="20">
        <f t="shared" si="11"/>
        <v>55050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223</v>
      </c>
      <c r="Q22" s="43">
        <f t="shared" si="12"/>
        <v>161</v>
      </c>
      <c r="R22" s="23">
        <f t="shared" si="12"/>
        <v>0</v>
      </c>
      <c r="S22" s="24">
        <f t="shared" si="12"/>
        <v>34</v>
      </c>
      <c r="T22" s="24">
        <f t="shared" si="12"/>
        <v>0</v>
      </c>
      <c r="U22" s="24">
        <f t="shared" si="12"/>
        <v>0</v>
      </c>
      <c r="V22" s="25">
        <f t="shared" si="12"/>
        <v>24</v>
      </c>
      <c r="W22" s="26">
        <f t="shared" si="12"/>
        <v>31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72</v>
      </c>
      <c r="AB22" s="28">
        <f>AVERAGE(AB6:AB21)</f>
        <v>0.75</v>
      </c>
      <c r="AC22" s="4">
        <f>AVERAGE(AC6:AC21)</f>
        <v>0.58072916666666663</v>
      </c>
      <c r="AD22" s="4">
        <f>AVERAGE(AD6:AD21)</f>
        <v>0.58072916666666663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555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556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339" t="s">
        <v>46</v>
      </c>
      <c r="D51" s="339" t="s">
        <v>47</v>
      </c>
      <c r="E51" s="339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339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341" t="s">
        <v>135</v>
      </c>
      <c r="D52" s="341" t="s">
        <v>265</v>
      </c>
      <c r="E52" s="341" t="s">
        <v>507</v>
      </c>
      <c r="F52" s="452" t="s">
        <v>348</v>
      </c>
      <c r="G52" s="453"/>
      <c r="H52" s="453"/>
      <c r="I52" s="453"/>
      <c r="J52" s="453"/>
      <c r="K52" s="453"/>
      <c r="L52" s="453"/>
      <c r="M52" s="454"/>
      <c r="N52" s="340" t="s">
        <v>120</v>
      </c>
      <c r="O52" s="346" t="s">
        <v>509</v>
      </c>
      <c r="P52" s="455" t="s">
        <v>127</v>
      </c>
      <c r="Q52" s="456"/>
      <c r="R52" s="455" t="s">
        <v>557</v>
      </c>
      <c r="S52" s="457"/>
      <c r="T52" s="457"/>
      <c r="U52" s="456"/>
      <c r="V52" s="458" t="s">
        <v>118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123</v>
      </c>
      <c r="B53" s="451"/>
      <c r="C53" s="341" t="s">
        <v>151</v>
      </c>
      <c r="D53" s="341"/>
      <c r="E53" s="341" t="s">
        <v>291</v>
      </c>
      <c r="F53" s="452" t="s">
        <v>348</v>
      </c>
      <c r="G53" s="453"/>
      <c r="H53" s="453"/>
      <c r="I53" s="453"/>
      <c r="J53" s="453"/>
      <c r="K53" s="453"/>
      <c r="L53" s="453"/>
      <c r="M53" s="454"/>
      <c r="N53" s="340" t="s">
        <v>123</v>
      </c>
      <c r="O53" s="346" t="s">
        <v>151</v>
      </c>
      <c r="P53" s="455"/>
      <c r="Q53" s="456"/>
      <c r="R53" s="455" t="s">
        <v>291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341" t="s">
        <v>145</v>
      </c>
      <c r="D54" s="341" t="s">
        <v>143</v>
      </c>
      <c r="E54" s="341" t="s">
        <v>376</v>
      </c>
      <c r="F54" s="452" t="s">
        <v>192</v>
      </c>
      <c r="G54" s="453"/>
      <c r="H54" s="453"/>
      <c r="I54" s="453"/>
      <c r="J54" s="453"/>
      <c r="K54" s="453"/>
      <c r="L54" s="453"/>
      <c r="M54" s="454"/>
      <c r="N54" s="340" t="s">
        <v>120</v>
      </c>
      <c r="O54" s="346" t="s">
        <v>135</v>
      </c>
      <c r="P54" s="455" t="s">
        <v>265</v>
      </c>
      <c r="Q54" s="456"/>
      <c r="R54" s="455" t="s">
        <v>507</v>
      </c>
      <c r="S54" s="457"/>
      <c r="T54" s="457"/>
      <c r="U54" s="456"/>
      <c r="V54" s="458" t="s">
        <v>192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341" t="s">
        <v>193</v>
      </c>
      <c r="D55" s="341" t="s">
        <v>115</v>
      </c>
      <c r="E55" s="341" t="s">
        <v>470</v>
      </c>
      <c r="F55" s="452" t="s">
        <v>536</v>
      </c>
      <c r="G55" s="453"/>
      <c r="H55" s="453"/>
      <c r="I55" s="453"/>
      <c r="J55" s="453"/>
      <c r="K55" s="453"/>
      <c r="L55" s="453"/>
      <c r="M55" s="454"/>
      <c r="N55" s="340" t="s">
        <v>120</v>
      </c>
      <c r="O55" s="346" t="s">
        <v>193</v>
      </c>
      <c r="P55" s="455" t="s">
        <v>115</v>
      </c>
      <c r="Q55" s="456"/>
      <c r="R55" s="455" t="s">
        <v>470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341" t="s">
        <v>509</v>
      </c>
      <c r="D56" s="341" t="s">
        <v>338</v>
      </c>
      <c r="E56" s="341" t="s">
        <v>538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340" t="s">
        <v>113</v>
      </c>
      <c r="O56" s="346" t="s">
        <v>558</v>
      </c>
      <c r="P56" s="455"/>
      <c r="Q56" s="456"/>
      <c r="R56" s="455" t="s">
        <v>559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120</v>
      </c>
      <c r="B57" s="451"/>
      <c r="C57" s="341" t="s">
        <v>317</v>
      </c>
      <c r="D57" s="341" t="s">
        <v>511</v>
      </c>
      <c r="E57" s="341" t="s">
        <v>539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340"/>
      <c r="O57" s="346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341"/>
      <c r="D58" s="341"/>
      <c r="E58" s="341"/>
      <c r="F58" s="452"/>
      <c r="G58" s="453"/>
      <c r="H58" s="453"/>
      <c r="I58" s="453"/>
      <c r="J58" s="453"/>
      <c r="K58" s="453"/>
      <c r="L58" s="453"/>
      <c r="M58" s="454"/>
      <c r="N58" s="340"/>
      <c r="O58" s="346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341"/>
      <c r="D59" s="341"/>
      <c r="E59" s="341"/>
      <c r="F59" s="452"/>
      <c r="G59" s="453"/>
      <c r="H59" s="453"/>
      <c r="I59" s="453"/>
      <c r="J59" s="453"/>
      <c r="K59" s="453"/>
      <c r="L59" s="453"/>
      <c r="M59" s="454"/>
      <c r="N59" s="340"/>
      <c r="O59" s="346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41"/>
      <c r="D60" s="341"/>
      <c r="E60" s="341"/>
      <c r="F60" s="452"/>
      <c r="G60" s="453"/>
      <c r="H60" s="453"/>
      <c r="I60" s="453"/>
      <c r="J60" s="453"/>
      <c r="K60" s="453"/>
      <c r="L60" s="453"/>
      <c r="M60" s="454"/>
      <c r="N60" s="340"/>
      <c r="O60" s="346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342"/>
      <c r="D61" s="343"/>
      <c r="E61" s="343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560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44" t="s">
        <v>2</v>
      </c>
      <c r="D63" s="344" t="s">
        <v>37</v>
      </c>
      <c r="E63" s="344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44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269</v>
      </c>
      <c r="D64" s="348"/>
      <c r="E64" s="345"/>
      <c r="F64" s="477" t="s">
        <v>270</v>
      </c>
      <c r="G64" s="478"/>
      <c r="H64" s="478"/>
      <c r="I64" s="478"/>
      <c r="J64" s="479"/>
      <c r="K64" s="480">
        <v>8301</v>
      </c>
      <c r="L64" s="480"/>
      <c r="M64" s="51" t="s">
        <v>147</v>
      </c>
      <c r="N64" s="481" t="s">
        <v>131</v>
      </c>
      <c r="O64" s="481"/>
      <c r="P64" s="482">
        <v>100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269</v>
      </c>
      <c r="D65" s="348"/>
      <c r="E65" s="345"/>
      <c r="F65" s="477" t="s">
        <v>290</v>
      </c>
      <c r="G65" s="478"/>
      <c r="H65" s="478"/>
      <c r="I65" s="478"/>
      <c r="J65" s="479"/>
      <c r="K65" s="480">
        <v>8301</v>
      </c>
      <c r="L65" s="480"/>
      <c r="M65" s="51" t="s">
        <v>147</v>
      </c>
      <c r="N65" s="481" t="s">
        <v>144</v>
      </c>
      <c r="O65" s="481"/>
      <c r="P65" s="482">
        <v>100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348"/>
      <c r="E66" s="345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348"/>
      <c r="E67" s="345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348"/>
      <c r="E68" s="345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348"/>
      <c r="E69" s="345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348"/>
      <c r="E70" s="345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348"/>
      <c r="E71" s="345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348"/>
      <c r="E72" s="345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348"/>
      <c r="E73" s="345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561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347" t="s">
        <v>2</v>
      </c>
      <c r="D75" s="347" t="s">
        <v>37</v>
      </c>
      <c r="E75" s="347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349" t="s">
        <v>112</v>
      </c>
      <c r="D76" s="349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348"/>
      <c r="D77" s="348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348"/>
      <c r="D78" s="348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348"/>
      <c r="D79" s="348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348"/>
      <c r="D80" s="348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348"/>
      <c r="D81" s="348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348"/>
      <c r="D82" s="348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562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8346-BDDA-470C-8A3C-0494F07AF843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563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61" t="s">
        <v>17</v>
      </c>
      <c r="L5" s="361" t="s">
        <v>18</v>
      </c>
      <c r="M5" s="361" t="s">
        <v>19</v>
      </c>
      <c r="N5" s="36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2279</v>
      </c>
      <c r="K6" s="15">
        <f>L6+5099+3648+1950+5173+5222+3871</f>
        <v>27242</v>
      </c>
      <c r="L6" s="15">
        <v>2279</v>
      </c>
      <c r="M6" s="15">
        <f t="shared" ref="M6:M21" si="0">L6-N6</f>
        <v>2279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10</v>
      </c>
      <c r="Q6" s="40">
        <f t="shared" ref="Q6:Q21" si="3">SUM(R6:AA6)</f>
        <v>14</v>
      </c>
      <c r="R6" s="7"/>
      <c r="S6" s="6"/>
      <c r="T6" s="16"/>
      <c r="U6" s="16"/>
      <c r="V6" s="17">
        <v>14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0.41666666666666669</v>
      </c>
      <c r="AD6" s="10">
        <f t="shared" ref="AD6:AD21" si="6">AC6*AB6*(1-O6)</f>
        <v>0.41666666666666669</v>
      </c>
      <c r="AE6" s="36">
        <f t="shared" ref="AE6:AE21" si="7">$AD$22</f>
        <v>0.20312499999999997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L7+4267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0.20312499999999997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2359</v>
      </c>
      <c r="K8" s="15">
        <f>L8+4389+4644+4956+4921+4171+5168+4891+5201+4835+5114+5236+5245+1099+4566+5258+5302+5279+5324+5264</f>
        <v>93222</v>
      </c>
      <c r="L8" s="15">
        <v>2359</v>
      </c>
      <c r="M8" s="15">
        <f t="shared" si="0"/>
        <v>2359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0.20312499999999997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507</v>
      </c>
      <c r="F9" s="30" t="s">
        <v>234</v>
      </c>
      <c r="G9" s="33">
        <v>1</v>
      </c>
      <c r="H9" s="35">
        <v>24</v>
      </c>
      <c r="I9" s="7">
        <v>32000</v>
      </c>
      <c r="J9" s="14">
        <v>3372</v>
      </c>
      <c r="K9" s="15">
        <f>L9+1923+3914+3372</f>
        <v>9209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0.20312499999999997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228</v>
      </c>
      <c r="G10" s="33">
        <v>2</v>
      </c>
      <c r="H10" s="35">
        <v>24</v>
      </c>
      <c r="I10" s="7">
        <v>60000</v>
      </c>
      <c r="J10" s="5">
        <v>5600</v>
      </c>
      <c r="K10" s="15">
        <f>L10+4872+8516+5126+5600</f>
        <v>24114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0.20312499999999997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789</v>
      </c>
      <c r="K11" s="15">
        <f>L11+2806+5234+5319+5378+5411</f>
        <v>24937</v>
      </c>
      <c r="L11" s="15">
        <v>789</v>
      </c>
      <c r="M11" s="15">
        <f t="shared" si="0"/>
        <v>789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>
        <v>19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ref="AD11:AD14" si="9">AC11*AB11*(1-O11)</f>
        <v>0.20833333333333334</v>
      </c>
      <c r="AE11" s="36">
        <f t="shared" si="7"/>
        <v>0.20312499999999997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840</v>
      </c>
      <c r="K12" s="15">
        <f>L12+2872+5295+4231+5295+5295+5281</f>
        <v>29109</v>
      </c>
      <c r="L12" s="15">
        <v>840</v>
      </c>
      <c r="M12" s="15">
        <f t="shared" si="0"/>
        <v>840</v>
      </c>
      <c r="N12" s="15">
        <v>0</v>
      </c>
      <c r="O12" s="58">
        <f t="shared" si="1"/>
        <v>0</v>
      </c>
      <c r="P12" s="39">
        <f t="shared" si="2"/>
        <v>5</v>
      </c>
      <c r="Q12" s="40">
        <f t="shared" si="3"/>
        <v>19</v>
      </c>
      <c r="R12" s="7"/>
      <c r="S12" s="6">
        <v>19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0.20833333333333334</v>
      </c>
      <c r="AD12" s="10">
        <f t="shared" si="9"/>
        <v>0.20833333333333334</v>
      </c>
      <c r="AE12" s="36">
        <f t="shared" si="7"/>
        <v>0.20312499999999997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533</v>
      </c>
      <c r="E13" s="53" t="s">
        <v>564</v>
      </c>
      <c r="F13" s="30" t="s">
        <v>137</v>
      </c>
      <c r="G13" s="33">
        <v>1</v>
      </c>
      <c r="H13" s="35">
        <v>24</v>
      </c>
      <c r="I13" s="7">
        <v>1500</v>
      </c>
      <c r="J13" s="5">
        <v>1120</v>
      </c>
      <c r="K13" s="15">
        <f>L13</f>
        <v>1120</v>
      </c>
      <c r="L13" s="15">
        <f>1120</f>
        <v>1120</v>
      </c>
      <c r="M13" s="15">
        <f t="shared" si="0"/>
        <v>1120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>
        <v>4</v>
      </c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>AC13*AB13*(1-O13)</f>
        <v>0.25</v>
      </c>
      <c r="AE13" s="36">
        <f t="shared" si="7"/>
        <v>0.20312499999999997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146</v>
      </c>
      <c r="F14" s="30" t="s">
        <v>150</v>
      </c>
      <c r="G14" s="33">
        <v>1</v>
      </c>
      <c r="H14" s="35">
        <v>24</v>
      </c>
      <c r="I14" s="7">
        <v>300</v>
      </c>
      <c r="J14" s="5">
        <v>339</v>
      </c>
      <c r="K14" s="15">
        <f>L14+339</f>
        <v>339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0.20312499999999997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143</v>
      </c>
      <c r="E15" s="53" t="s">
        <v>401</v>
      </c>
      <c r="F15" s="12" t="s">
        <v>136</v>
      </c>
      <c r="G15" s="12">
        <v>1</v>
      </c>
      <c r="H15" s="13">
        <v>24</v>
      </c>
      <c r="I15" s="31">
        <v>7000</v>
      </c>
      <c r="J15" s="14">
        <v>4683</v>
      </c>
      <c r="K15" s="15">
        <f>L15+2680+4683</f>
        <v>7363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0.20312499999999997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127</v>
      </c>
      <c r="E16" s="53" t="s">
        <v>557</v>
      </c>
      <c r="F16" s="30" t="s">
        <v>149</v>
      </c>
      <c r="G16" s="12">
        <v>1</v>
      </c>
      <c r="H16" s="13">
        <v>24</v>
      </c>
      <c r="I16" s="7">
        <v>100000</v>
      </c>
      <c r="J16" s="14">
        <v>1842</v>
      </c>
      <c r="K16" s="15">
        <f>L16</f>
        <v>1842</v>
      </c>
      <c r="L16" s="15">
        <f>1842</f>
        <v>1842</v>
      </c>
      <c r="M16" s="15">
        <f t="shared" si="0"/>
        <v>1842</v>
      </c>
      <c r="N16" s="15">
        <v>0</v>
      </c>
      <c r="O16" s="58">
        <f t="shared" si="1"/>
        <v>0</v>
      </c>
      <c r="P16" s="39">
        <f t="shared" si="2"/>
        <v>9</v>
      </c>
      <c r="Q16" s="40">
        <f t="shared" si="3"/>
        <v>15</v>
      </c>
      <c r="R16" s="7"/>
      <c r="S16" s="6"/>
      <c r="T16" s="16">
        <v>1</v>
      </c>
      <c r="U16" s="16"/>
      <c r="V16" s="17">
        <v>14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0.375</v>
      </c>
      <c r="AD16" s="10">
        <f t="shared" si="6"/>
        <v>0.375</v>
      </c>
      <c r="AE16" s="36">
        <f t="shared" si="7"/>
        <v>0.20312499999999997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511</v>
      </c>
      <c r="E17" s="53" t="s">
        <v>539</v>
      </c>
      <c r="F17" s="30" t="s">
        <v>554</v>
      </c>
      <c r="G17" s="12">
        <v>2</v>
      </c>
      <c r="H17" s="13">
        <v>24</v>
      </c>
      <c r="I17" s="7">
        <v>2000</v>
      </c>
      <c r="J17" s="14">
        <v>4138</v>
      </c>
      <c r="K17" s="15">
        <f>L17+4138</f>
        <v>4138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0.20312499999999997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527</v>
      </c>
      <c r="F18" s="30" t="s">
        <v>150</v>
      </c>
      <c r="G18" s="33">
        <v>1</v>
      </c>
      <c r="H18" s="35">
        <v>24</v>
      </c>
      <c r="I18" s="7">
        <v>40000</v>
      </c>
      <c r="J18" s="14">
        <v>2510</v>
      </c>
      <c r="K18" s="15">
        <f>L18+4610+5739</f>
        <v>12859</v>
      </c>
      <c r="L18" s="15">
        <v>2510</v>
      </c>
      <c r="M18" s="15">
        <f t="shared" si="0"/>
        <v>2510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0.20312499999999997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80000</v>
      </c>
      <c r="J19" s="5">
        <v>2245</v>
      </c>
      <c r="K19" s="15">
        <f>L19+1964+2699+1215+3702+2680+927+2666+4081+2052+4322+5042+2742+5050+5068+4805</f>
        <v>51260</v>
      </c>
      <c r="L19" s="15">
        <f>2245</f>
        <v>2245</v>
      </c>
      <c r="M19" s="15">
        <f t="shared" si="0"/>
        <v>2245</v>
      </c>
      <c r="N19" s="15">
        <v>0</v>
      </c>
      <c r="O19" s="58">
        <f t="shared" si="1"/>
        <v>0</v>
      </c>
      <c r="P19" s="39">
        <f t="shared" si="2"/>
        <v>10</v>
      </c>
      <c r="Q19" s="40">
        <f t="shared" si="3"/>
        <v>14</v>
      </c>
      <c r="R19" s="7"/>
      <c r="S19" s="6"/>
      <c r="T19" s="16"/>
      <c r="U19" s="16"/>
      <c r="V19" s="17">
        <v>14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0.41666666666666669</v>
      </c>
      <c r="AD19" s="10">
        <f>AC19*AB19*(1-O19)</f>
        <v>0.41666666666666669</v>
      </c>
      <c r="AE19" s="36">
        <f t="shared" si="7"/>
        <v>0.20312499999999997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470</v>
      </c>
      <c r="F20" s="30" t="s">
        <v>119</v>
      </c>
      <c r="G20" s="12">
        <v>1</v>
      </c>
      <c r="H20" s="13">
        <v>28</v>
      </c>
      <c r="I20" s="31">
        <v>40000</v>
      </c>
      <c r="J20" s="5">
        <v>550</v>
      </c>
      <c r="K20" s="15">
        <f>L20+2503+4146+3422+2211+1805</f>
        <v>14637</v>
      </c>
      <c r="L20" s="15">
        <v>550</v>
      </c>
      <c r="M20" s="15">
        <f t="shared" si="0"/>
        <v>550</v>
      </c>
      <c r="N20" s="15">
        <v>0</v>
      </c>
      <c r="O20" s="58">
        <f t="shared" si="1"/>
        <v>0</v>
      </c>
      <c r="P20" s="39">
        <f t="shared" si="2"/>
        <v>3</v>
      </c>
      <c r="Q20" s="40">
        <f t="shared" si="3"/>
        <v>21</v>
      </c>
      <c r="R20" s="7"/>
      <c r="S20" s="6">
        <v>21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0.125</v>
      </c>
      <c r="AD20" s="10">
        <f t="shared" ref="AD20" si="10">AC20*AB20*(1-O20)</f>
        <v>0.125</v>
      </c>
      <c r="AE20" s="36">
        <f t="shared" si="7"/>
        <v>0.20312499999999997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559</v>
      </c>
      <c r="F21" s="12" t="s">
        <v>114</v>
      </c>
      <c r="G21" s="12">
        <v>3</v>
      </c>
      <c r="H21" s="35">
        <v>20</v>
      </c>
      <c r="I21" s="7">
        <v>500000</v>
      </c>
      <c r="J21" s="14">
        <v>23862</v>
      </c>
      <c r="K21" s="15">
        <f>L21</f>
        <v>23862</v>
      </c>
      <c r="L21" s="15">
        <f>7954*3</f>
        <v>23862</v>
      </c>
      <c r="M21" s="15">
        <f t="shared" si="0"/>
        <v>23862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0.20312499999999997</v>
      </c>
      <c r="AF21" s="84">
        <f t="shared" si="8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 t="shared" ref="I22:N22" si="11">SUM(I6:I21)</f>
        <v>1134800</v>
      </c>
      <c r="J22" s="19">
        <f t="shared" si="11"/>
        <v>60795</v>
      </c>
      <c r="K22" s="20">
        <f t="shared" si="11"/>
        <v>329520</v>
      </c>
      <c r="L22" s="21">
        <f t="shared" si="11"/>
        <v>38396</v>
      </c>
      <c r="M22" s="20">
        <f t="shared" si="11"/>
        <v>38396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78</v>
      </c>
      <c r="Q22" s="43">
        <f t="shared" si="12"/>
        <v>306</v>
      </c>
      <c r="R22" s="23">
        <f t="shared" si="12"/>
        <v>0</v>
      </c>
      <c r="S22" s="24">
        <f t="shared" si="12"/>
        <v>111</v>
      </c>
      <c r="T22" s="24">
        <f t="shared" si="12"/>
        <v>1</v>
      </c>
      <c r="U22" s="24">
        <f t="shared" si="12"/>
        <v>0</v>
      </c>
      <c r="V22" s="25">
        <f t="shared" si="12"/>
        <v>98</v>
      </c>
      <c r="W22" s="26">
        <f t="shared" si="12"/>
        <v>24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72</v>
      </c>
      <c r="AB22" s="28">
        <f>AVERAGE(AB6:AB21)</f>
        <v>0.625</v>
      </c>
      <c r="AC22" s="4">
        <f>AVERAGE(AC6:AC21)</f>
        <v>0.20312499999999997</v>
      </c>
      <c r="AD22" s="4">
        <f>AVERAGE(AD6:AD21)</f>
        <v>0.20312499999999997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565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568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360" t="s">
        <v>46</v>
      </c>
      <c r="D51" s="360" t="s">
        <v>47</v>
      </c>
      <c r="E51" s="360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360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357" t="s">
        <v>193</v>
      </c>
      <c r="D52" s="357" t="s">
        <v>115</v>
      </c>
      <c r="E52" s="357" t="s">
        <v>470</v>
      </c>
      <c r="F52" s="452" t="s">
        <v>536</v>
      </c>
      <c r="G52" s="453"/>
      <c r="H52" s="453"/>
      <c r="I52" s="453"/>
      <c r="J52" s="453"/>
      <c r="K52" s="453"/>
      <c r="L52" s="453"/>
      <c r="M52" s="454"/>
      <c r="N52" s="356" t="s">
        <v>123</v>
      </c>
      <c r="O52" s="354" t="s">
        <v>151</v>
      </c>
      <c r="P52" s="455"/>
      <c r="Q52" s="456"/>
      <c r="R52" s="455" t="s">
        <v>291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357" t="s">
        <v>240</v>
      </c>
      <c r="D53" s="357" t="s">
        <v>533</v>
      </c>
      <c r="E53" s="357" t="s">
        <v>564</v>
      </c>
      <c r="F53" s="452" t="s">
        <v>566</v>
      </c>
      <c r="G53" s="453"/>
      <c r="H53" s="453"/>
      <c r="I53" s="453"/>
      <c r="J53" s="453"/>
      <c r="K53" s="453"/>
      <c r="L53" s="453"/>
      <c r="M53" s="454"/>
      <c r="N53" s="356" t="s">
        <v>120</v>
      </c>
      <c r="O53" s="354" t="s">
        <v>135</v>
      </c>
      <c r="P53" s="455" t="s">
        <v>265</v>
      </c>
      <c r="Q53" s="456"/>
      <c r="R53" s="455" t="s">
        <v>507</v>
      </c>
      <c r="S53" s="457"/>
      <c r="T53" s="457"/>
      <c r="U53" s="456"/>
      <c r="V53" s="458" t="s">
        <v>192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113</v>
      </c>
      <c r="B54" s="451"/>
      <c r="C54" s="357" t="s">
        <v>558</v>
      </c>
      <c r="D54" s="357"/>
      <c r="E54" s="357" t="s">
        <v>567</v>
      </c>
      <c r="F54" s="452" t="s">
        <v>118</v>
      </c>
      <c r="G54" s="453"/>
      <c r="H54" s="453"/>
      <c r="I54" s="453"/>
      <c r="J54" s="453"/>
      <c r="K54" s="453"/>
      <c r="L54" s="453"/>
      <c r="M54" s="454"/>
      <c r="N54" s="356" t="s">
        <v>120</v>
      </c>
      <c r="O54" s="354" t="s">
        <v>193</v>
      </c>
      <c r="P54" s="455" t="s">
        <v>115</v>
      </c>
      <c r="Q54" s="456"/>
      <c r="R54" s="455" t="s">
        <v>470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120</v>
      </c>
      <c r="B55" s="451"/>
      <c r="C55" s="357" t="s">
        <v>509</v>
      </c>
      <c r="D55" s="357" t="s">
        <v>127</v>
      </c>
      <c r="E55" s="357" t="s">
        <v>557</v>
      </c>
      <c r="F55" s="452" t="s">
        <v>118</v>
      </c>
      <c r="G55" s="453"/>
      <c r="H55" s="453"/>
      <c r="I55" s="453"/>
      <c r="J55" s="453"/>
      <c r="K55" s="453"/>
      <c r="L55" s="453"/>
      <c r="M55" s="454"/>
      <c r="N55" s="356" t="s">
        <v>121</v>
      </c>
      <c r="O55" s="354" t="s">
        <v>152</v>
      </c>
      <c r="P55" s="455" t="s">
        <v>412</v>
      </c>
      <c r="Q55" s="456"/>
      <c r="R55" s="455" t="s">
        <v>457</v>
      </c>
      <c r="S55" s="457"/>
      <c r="T55" s="457"/>
      <c r="U55" s="456"/>
      <c r="V55" s="458" t="s">
        <v>192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121</v>
      </c>
      <c r="B56" s="451"/>
      <c r="C56" s="357" t="s">
        <v>157</v>
      </c>
      <c r="D56" s="357" t="s">
        <v>115</v>
      </c>
      <c r="E56" s="357" t="s">
        <v>475</v>
      </c>
      <c r="F56" s="452" t="s">
        <v>192</v>
      </c>
      <c r="G56" s="453"/>
      <c r="H56" s="453"/>
      <c r="I56" s="453"/>
      <c r="J56" s="453"/>
      <c r="K56" s="453"/>
      <c r="L56" s="453"/>
      <c r="M56" s="454"/>
      <c r="N56" s="356"/>
      <c r="O56" s="354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121</v>
      </c>
      <c r="B57" s="451"/>
      <c r="C57" s="357" t="s">
        <v>152</v>
      </c>
      <c r="D57" s="357" t="s">
        <v>412</v>
      </c>
      <c r="E57" s="357" t="s">
        <v>457</v>
      </c>
      <c r="F57" s="452" t="s">
        <v>348</v>
      </c>
      <c r="G57" s="453"/>
      <c r="H57" s="453"/>
      <c r="I57" s="453"/>
      <c r="J57" s="453"/>
      <c r="K57" s="453"/>
      <c r="L57" s="453"/>
      <c r="M57" s="454"/>
      <c r="N57" s="356"/>
      <c r="O57" s="354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/>
      <c r="B58" s="451"/>
      <c r="C58" s="357"/>
      <c r="D58" s="357"/>
      <c r="E58" s="357"/>
      <c r="F58" s="452"/>
      <c r="G58" s="453"/>
      <c r="H58" s="453"/>
      <c r="I58" s="453"/>
      <c r="J58" s="453"/>
      <c r="K58" s="453"/>
      <c r="L58" s="453"/>
      <c r="M58" s="454"/>
      <c r="N58" s="356"/>
      <c r="O58" s="354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357"/>
      <c r="D59" s="357"/>
      <c r="E59" s="357"/>
      <c r="F59" s="452"/>
      <c r="G59" s="453"/>
      <c r="H59" s="453"/>
      <c r="I59" s="453"/>
      <c r="J59" s="453"/>
      <c r="K59" s="453"/>
      <c r="L59" s="453"/>
      <c r="M59" s="454"/>
      <c r="N59" s="356"/>
      <c r="O59" s="354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57"/>
      <c r="D60" s="357"/>
      <c r="E60" s="357"/>
      <c r="F60" s="452"/>
      <c r="G60" s="453"/>
      <c r="H60" s="453"/>
      <c r="I60" s="453"/>
      <c r="J60" s="453"/>
      <c r="K60" s="453"/>
      <c r="L60" s="453"/>
      <c r="M60" s="454"/>
      <c r="N60" s="356"/>
      <c r="O60" s="354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358"/>
      <c r="D61" s="359"/>
      <c r="E61" s="359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569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55" t="s">
        <v>2</v>
      </c>
      <c r="D63" s="355" t="s">
        <v>37</v>
      </c>
      <c r="E63" s="355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55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/>
      <c r="D64" s="350"/>
      <c r="E64" s="353"/>
      <c r="F64" s="477"/>
      <c r="G64" s="478"/>
      <c r="H64" s="478"/>
      <c r="I64" s="478"/>
      <c r="J64" s="479"/>
      <c r="K64" s="480"/>
      <c r="L64" s="480"/>
      <c r="M64" s="51"/>
      <c r="N64" s="481"/>
      <c r="O64" s="481"/>
      <c r="P64" s="482"/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/>
      <c r="D65" s="350"/>
      <c r="E65" s="353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350"/>
      <c r="E66" s="353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350"/>
      <c r="E67" s="353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350"/>
      <c r="E68" s="35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350"/>
      <c r="E69" s="35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350"/>
      <c r="E70" s="353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350"/>
      <c r="E71" s="353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350"/>
      <c r="E72" s="35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350"/>
      <c r="E73" s="35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570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352" t="s">
        <v>2</v>
      </c>
      <c r="D75" s="352" t="s">
        <v>37</v>
      </c>
      <c r="E75" s="352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351" t="s">
        <v>112</v>
      </c>
      <c r="D76" s="351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350"/>
      <c r="D77" s="350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3">A77+1</f>
        <v>3</v>
      </c>
      <c r="B78" s="496"/>
      <c r="C78" s="350"/>
      <c r="D78" s="350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3"/>
        <v>4</v>
      </c>
      <c r="B79" s="496"/>
      <c r="C79" s="350"/>
      <c r="D79" s="350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3"/>
        <v>5</v>
      </c>
      <c r="B80" s="496"/>
      <c r="C80" s="350"/>
      <c r="D80" s="350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3"/>
        <v>6</v>
      </c>
      <c r="B81" s="496"/>
      <c r="C81" s="350"/>
      <c r="D81" s="350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3"/>
        <v>7</v>
      </c>
      <c r="B82" s="496"/>
      <c r="C82" s="350"/>
      <c r="D82" s="350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571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278-6719-4805-B0F7-E098F41454C1}">
  <dimension ref="A1:AF88"/>
  <sheetViews>
    <sheetView view="pageBreakPreview" zoomScale="70" zoomScaleNormal="72" zoomScaleSheetLayoutView="70" workbookViewId="0">
      <selection activeCell="A6" sqref="A6:XFD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572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62" t="s">
        <v>17</v>
      </c>
      <c r="L5" s="362" t="s">
        <v>18</v>
      </c>
      <c r="M5" s="362" t="s">
        <v>19</v>
      </c>
      <c r="N5" s="36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3624</v>
      </c>
      <c r="K6" s="15">
        <f>L6+5099+3648+1950+5173+5222+3871+2279</f>
        <v>30866</v>
      </c>
      <c r="L6" s="15">
        <f>1312+2312</f>
        <v>3624</v>
      </c>
      <c r="M6" s="15">
        <f t="shared" ref="M6:M22" si="0">L6-N6</f>
        <v>3624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20</v>
      </c>
      <c r="Q6" s="40">
        <f t="shared" ref="Q6:Q22" si="3">SUM(R6:AA6)</f>
        <v>4</v>
      </c>
      <c r="R6" s="7"/>
      <c r="S6" s="6">
        <v>4</v>
      </c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0.83333333333333337</v>
      </c>
      <c r="AD6" s="10">
        <f t="shared" ref="AD6:AD22" si="6">AC6*AB6*(1-O6)</f>
        <v>0.83333333333333337</v>
      </c>
      <c r="AE6" s="36">
        <f t="shared" ref="AE6:AE18" si="7">$AD$23</f>
        <v>0.59313725490196068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L7+4267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0.59313725490196068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4584</v>
      </c>
      <c r="K8" s="15">
        <f>L8+4389+4644+4956+4921+4171+5168+4891+5201+4835+5114+5236+5245+1099+4566+5258+5302+5279+5324+5264+2359</f>
        <v>97806</v>
      </c>
      <c r="L8" s="15">
        <f>2658+1926</f>
        <v>4584</v>
      </c>
      <c r="M8" s="15">
        <f t="shared" si="0"/>
        <v>4584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0.59313725490196068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507</v>
      </c>
      <c r="F9" s="30" t="s">
        <v>234</v>
      </c>
      <c r="G9" s="33">
        <v>1</v>
      </c>
      <c r="H9" s="35">
        <v>24</v>
      </c>
      <c r="I9" s="7">
        <v>32000</v>
      </c>
      <c r="J9" s="14">
        <v>5279</v>
      </c>
      <c r="K9" s="15">
        <f>L9+1923+3914+3372</f>
        <v>14488</v>
      </c>
      <c r="L9" s="15">
        <f>2781+2498</f>
        <v>5279</v>
      </c>
      <c r="M9" s="15">
        <f t="shared" si="0"/>
        <v>5279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0.59313725490196068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228</v>
      </c>
      <c r="G10" s="33">
        <v>2</v>
      </c>
      <c r="H10" s="35">
        <v>24</v>
      </c>
      <c r="I10" s="7">
        <v>60000</v>
      </c>
      <c r="J10" s="5">
        <v>5600</v>
      </c>
      <c r="K10" s="15">
        <f>L10+4872+8516+5126+5600</f>
        <v>24114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0.59313725490196068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4935</v>
      </c>
      <c r="K11" s="15">
        <f>L11+2806+5234+5319+5378+5411+789</f>
        <v>29872</v>
      </c>
      <c r="L11" s="15">
        <f>2615+2320</f>
        <v>4935</v>
      </c>
      <c r="M11" s="15">
        <f t="shared" si="0"/>
        <v>4935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5" si="9">AC11*AB11*(1-O11)</f>
        <v>1</v>
      </c>
      <c r="AE11" s="36">
        <f t="shared" si="7"/>
        <v>0.59313725490196068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3474</v>
      </c>
      <c r="K12" s="15">
        <f>L12+2872+5295+4231+5295+5295+5281+840</f>
        <v>32583</v>
      </c>
      <c r="L12" s="15">
        <f>2669+805</f>
        <v>3474</v>
      </c>
      <c r="M12" s="15">
        <f t="shared" si="0"/>
        <v>3474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9"/>
        <v>0.79166666666666663</v>
      </c>
      <c r="AE12" s="36">
        <f t="shared" si="7"/>
        <v>0.59313725490196068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120</v>
      </c>
      <c r="D13" s="52" t="s">
        <v>533</v>
      </c>
      <c r="E13" s="53" t="s">
        <v>564</v>
      </c>
      <c r="F13" s="30" t="s">
        <v>137</v>
      </c>
      <c r="G13" s="33">
        <v>1</v>
      </c>
      <c r="H13" s="35">
        <v>24</v>
      </c>
      <c r="I13" s="7">
        <v>1500</v>
      </c>
      <c r="J13" s="5">
        <v>1525</v>
      </c>
      <c r="K13" s="15">
        <f>L13+1120</f>
        <v>2645</v>
      </c>
      <c r="L13" s="15">
        <v>1525</v>
      </c>
      <c r="M13" s="15">
        <f t="shared" si="0"/>
        <v>1525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>AC13*AB13*(1-O13)</f>
        <v>0.25</v>
      </c>
      <c r="AE13" s="36">
        <f t="shared" si="7"/>
        <v>0.59313725490196068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573</v>
      </c>
      <c r="F14" s="30" t="s">
        <v>125</v>
      </c>
      <c r="G14" s="33">
        <v>2</v>
      </c>
      <c r="H14" s="35">
        <v>24</v>
      </c>
      <c r="I14" s="7">
        <v>7000</v>
      </c>
      <c r="J14" s="5">
        <v>4688</v>
      </c>
      <c r="K14" s="15">
        <f>L14</f>
        <v>4688</v>
      </c>
      <c r="L14" s="15">
        <f>2344*2</f>
        <v>4688</v>
      </c>
      <c r="M14" s="15">
        <f t="shared" ref="M14" si="10">L14-N14</f>
        <v>4688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17</v>
      </c>
      <c r="Q14" s="40">
        <f t="shared" ref="Q14" si="13">SUM(R14:AA14)</f>
        <v>7</v>
      </c>
      <c r="R14" s="7"/>
      <c r="S14" s="6">
        <v>7</v>
      </c>
      <c r="T14" s="16"/>
      <c r="U14" s="16"/>
      <c r="V14" s="17"/>
      <c r="W14" s="5"/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0.70833333333333337</v>
      </c>
      <c r="AD14" s="10">
        <f>AC14*AB14*(1-O14)</f>
        <v>0.70833333333333337</v>
      </c>
      <c r="AE14" s="36">
        <f t="shared" si="7"/>
        <v>0.59313725490196068</v>
      </c>
      <c r="AF14" s="84">
        <f t="shared" ref="AF14" si="16">A14</f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L15+339</f>
        <v>339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0.59313725490196068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269</v>
      </c>
      <c r="D16" s="52"/>
      <c r="E16" s="53" t="s">
        <v>574</v>
      </c>
      <c r="F16" s="12">
        <v>8301</v>
      </c>
      <c r="G16" s="12" t="s">
        <v>272</v>
      </c>
      <c r="H16" s="13">
        <v>24</v>
      </c>
      <c r="I16" s="31">
        <f>3900+2000</f>
        <v>5900</v>
      </c>
      <c r="J16" s="14">
        <v>4960</v>
      </c>
      <c r="K16" s="15">
        <f>L16</f>
        <v>4960</v>
      </c>
      <c r="L16" s="15">
        <f>1738+3222</f>
        <v>4960</v>
      </c>
      <c r="M16" s="15">
        <f t="shared" si="0"/>
        <v>4960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/>
      <c r="T16" s="16">
        <v>2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6">
        <f t="shared" si="7"/>
        <v>0.59313725490196068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127</v>
      </c>
      <c r="E17" s="53" t="s">
        <v>557</v>
      </c>
      <c r="F17" s="30" t="s">
        <v>149</v>
      </c>
      <c r="G17" s="12">
        <v>1</v>
      </c>
      <c r="H17" s="13">
        <v>24</v>
      </c>
      <c r="I17" s="7">
        <v>10000</v>
      </c>
      <c r="J17" s="14">
        <v>4677</v>
      </c>
      <c r="K17" s="15">
        <f>L17+1842</f>
        <v>6519</v>
      </c>
      <c r="L17" s="15">
        <f>2424+2253</f>
        <v>4677</v>
      </c>
      <c r="M17" s="15">
        <f t="shared" si="0"/>
        <v>4677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0.59313725490196068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511</v>
      </c>
      <c r="E18" s="53" t="s">
        <v>539</v>
      </c>
      <c r="F18" s="30" t="s">
        <v>554</v>
      </c>
      <c r="G18" s="12">
        <v>2</v>
      </c>
      <c r="H18" s="13">
        <v>24</v>
      </c>
      <c r="I18" s="7">
        <v>2000</v>
      </c>
      <c r="J18" s="14">
        <v>4138</v>
      </c>
      <c r="K18" s="15">
        <f>L18+4138</f>
        <v>4138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0.59313725490196068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395</v>
      </c>
      <c r="F19" s="30" t="s">
        <v>150</v>
      </c>
      <c r="G19" s="33">
        <v>1</v>
      </c>
      <c r="H19" s="35">
        <v>24</v>
      </c>
      <c r="I19" s="7">
        <v>35000</v>
      </c>
      <c r="J19" s="14">
        <v>3290</v>
      </c>
      <c r="K19" s="15">
        <f>L19+4046+4865+5364+2142+4646</f>
        <v>24353</v>
      </c>
      <c r="L19" s="15">
        <f>482+2808</f>
        <v>3290</v>
      </c>
      <c r="M19" s="15">
        <f t="shared" si="0"/>
        <v>3290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ref="AE19" si="17">$AD$23</f>
        <v>0.59313725490196068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155</v>
      </c>
      <c r="E20" s="53" t="s">
        <v>280</v>
      </c>
      <c r="F20" s="30" t="s">
        <v>124</v>
      </c>
      <c r="G20" s="33">
        <v>1</v>
      </c>
      <c r="H20" s="35">
        <v>24</v>
      </c>
      <c r="I20" s="7">
        <v>80000</v>
      </c>
      <c r="J20" s="5">
        <v>4856</v>
      </c>
      <c r="K20" s="15">
        <f>L20+1964+2699+1215+3702+2680+927+2666+4081+2052+4322+5042+2742+5050+5068+4805+2245</f>
        <v>56116</v>
      </c>
      <c r="L20" s="15">
        <f>2300+2556</f>
        <v>4856</v>
      </c>
      <c r="M20" s="15">
        <f t="shared" si="0"/>
        <v>4856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>AC20*AB20*(1-O20)</f>
        <v>1</v>
      </c>
      <c r="AE20" s="36">
        <f>$AD$23</f>
        <v>0.59313725490196068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470</v>
      </c>
      <c r="F21" s="30" t="s">
        <v>119</v>
      </c>
      <c r="G21" s="12">
        <v>1</v>
      </c>
      <c r="H21" s="13">
        <v>28</v>
      </c>
      <c r="I21" s="31">
        <v>40000</v>
      </c>
      <c r="J21" s="5">
        <v>1849</v>
      </c>
      <c r="K21" s="15">
        <f>L21+2503+4146+3422+2211+1805+550</f>
        <v>16486</v>
      </c>
      <c r="L21" s="15">
        <f>1849</f>
        <v>1849</v>
      </c>
      <c r="M21" s="15">
        <f t="shared" si="0"/>
        <v>1849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>
        <v>14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ref="AD21" si="18">AC21*AB21*(1-O21)</f>
        <v>0.41666666666666669</v>
      </c>
      <c r="AE21" s="36">
        <f>$AD$23</f>
        <v>0.59313725490196068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559</v>
      </c>
      <c r="F22" s="12" t="s">
        <v>114</v>
      </c>
      <c r="G22" s="12">
        <v>3</v>
      </c>
      <c r="H22" s="35">
        <v>20</v>
      </c>
      <c r="I22" s="7">
        <v>500000</v>
      </c>
      <c r="J22" s="14">
        <v>26907</v>
      </c>
      <c r="K22" s="15">
        <f>L22+23862</f>
        <v>50769</v>
      </c>
      <c r="L22" s="15">
        <f>8969*3</f>
        <v>26907</v>
      </c>
      <c r="M22" s="15">
        <f t="shared" si="0"/>
        <v>26907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>$AD$23</f>
        <v>0.59313725490196068</v>
      </c>
      <c r="AF22" s="84">
        <f t="shared" si="8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19">SUM(I6:I22)</f>
        <v>1045700</v>
      </c>
      <c r="J23" s="19">
        <f t="shared" si="19"/>
        <v>88992</v>
      </c>
      <c r="K23" s="20">
        <f t="shared" si="19"/>
        <v>405009</v>
      </c>
      <c r="L23" s="21">
        <f t="shared" si="19"/>
        <v>74648</v>
      </c>
      <c r="M23" s="20">
        <f t="shared" si="19"/>
        <v>74648</v>
      </c>
      <c r="N23" s="21">
        <f t="shared" si="19"/>
        <v>0</v>
      </c>
      <c r="O23" s="41">
        <f t="shared" si="1"/>
        <v>0</v>
      </c>
      <c r="P23" s="42">
        <f t="shared" ref="P23:AA23" si="20">SUM(P6:P22)</f>
        <v>242</v>
      </c>
      <c r="Q23" s="43">
        <f t="shared" si="20"/>
        <v>166</v>
      </c>
      <c r="R23" s="23">
        <f t="shared" si="20"/>
        <v>0</v>
      </c>
      <c r="S23" s="24">
        <f t="shared" si="20"/>
        <v>60</v>
      </c>
      <c r="T23" s="24">
        <f t="shared" si="20"/>
        <v>2</v>
      </c>
      <c r="U23" s="24">
        <f t="shared" si="20"/>
        <v>0</v>
      </c>
      <c r="V23" s="25">
        <f t="shared" si="20"/>
        <v>14</v>
      </c>
      <c r="W23" s="26">
        <f t="shared" si="20"/>
        <v>42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48</v>
      </c>
      <c r="AB23" s="28">
        <f>AVERAGE(AB6:AB22)</f>
        <v>0.76470588235294112</v>
      </c>
      <c r="AC23" s="4">
        <f>AVERAGE(AC6:AC22)</f>
        <v>0.59313725490196068</v>
      </c>
      <c r="AD23" s="4">
        <f>AVERAGE(AD6:AD22)</f>
        <v>0.59313725490196068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575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576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363" t="s">
        <v>46</v>
      </c>
      <c r="D52" s="363" t="s">
        <v>47</v>
      </c>
      <c r="E52" s="363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363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120</v>
      </c>
      <c r="B53" s="451"/>
      <c r="C53" s="365" t="s">
        <v>193</v>
      </c>
      <c r="D53" s="365" t="s">
        <v>115</v>
      </c>
      <c r="E53" s="365" t="s">
        <v>470</v>
      </c>
      <c r="F53" s="452" t="s">
        <v>536</v>
      </c>
      <c r="G53" s="453"/>
      <c r="H53" s="453"/>
      <c r="I53" s="453"/>
      <c r="J53" s="453"/>
      <c r="K53" s="453"/>
      <c r="L53" s="453"/>
      <c r="M53" s="454"/>
      <c r="N53" s="364" t="s">
        <v>123</v>
      </c>
      <c r="O53" s="370" t="s">
        <v>151</v>
      </c>
      <c r="P53" s="455"/>
      <c r="Q53" s="456"/>
      <c r="R53" s="455" t="s">
        <v>291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121</v>
      </c>
      <c r="B54" s="451"/>
      <c r="C54" s="365" t="s">
        <v>240</v>
      </c>
      <c r="D54" s="365" t="s">
        <v>115</v>
      </c>
      <c r="E54" s="365" t="s">
        <v>573</v>
      </c>
      <c r="F54" s="452" t="s">
        <v>139</v>
      </c>
      <c r="G54" s="453"/>
      <c r="H54" s="453"/>
      <c r="I54" s="453"/>
      <c r="J54" s="453"/>
      <c r="K54" s="453"/>
      <c r="L54" s="453"/>
      <c r="M54" s="454"/>
      <c r="N54" s="364" t="s">
        <v>120</v>
      </c>
      <c r="O54" s="370" t="s">
        <v>145</v>
      </c>
      <c r="P54" s="455" t="s">
        <v>143</v>
      </c>
      <c r="Q54" s="456"/>
      <c r="R54" s="455" t="s">
        <v>376</v>
      </c>
      <c r="S54" s="457"/>
      <c r="T54" s="457"/>
      <c r="U54" s="456"/>
      <c r="V54" s="458" t="s">
        <v>192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121</v>
      </c>
      <c r="B55" s="451"/>
      <c r="C55" s="365" t="s">
        <v>152</v>
      </c>
      <c r="D55" s="365" t="s">
        <v>412</v>
      </c>
      <c r="E55" s="365" t="s">
        <v>457</v>
      </c>
      <c r="F55" s="452" t="s">
        <v>192</v>
      </c>
      <c r="G55" s="453"/>
      <c r="H55" s="453"/>
      <c r="I55" s="453"/>
      <c r="J55" s="453"/>
      <c r="K55" s="453"/>
      <c r="L55" s="453"/>
      <c r="M55" s="454"/>
      <c r="N55" s="364" t="s">
        <v>120</v>
      </c>
      <c r="O55" s="370" t="s">
        <v>193</v>
      </c>
      <c r="P55" s="455" t="s">
        <v>115</v>
      </c>
      <c r="Q55" s="456"/>
      <c r="R55" s="455" t="s">
        <v>470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269</v>
      </c>
      <c r="B56" s="451"/>
      <c r="C56" s="365" t="s">
        <v>144</v>
      </c>
      <c r="D56" s="365"/>
      <c r="E56" s="365" t="s">
        <v>574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364"/>
      <c r="O56" s="370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120</v>
      </c>
      <c r="B57" s="451"/>
      <c r="C57" s="365" t="s">
        <v>138</v>
      </c>
      <c r="D57" s="365" t="s">
        <v>115</v>
      </c>
      <c r="E57" s="365" t="s">
        <v>395</v>
      </c>
      <c r="F57" s="452" t="s">
        <v>192</v>
      </c>
      <c r="G57" s="453"/>
      <c r="H57" s="453"/>
      <c r="I57" s="453"/>
      <c r="J57" s="453"/>
      <c r="K57" s="453"/>
      <c r="L57" s="453"/>
      <c r="M57" s="454"/>
      <c r="N57" s="364"/>
      <c r="O57" s="370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120</v>
      </c>
      <c r="B58" s="451"/>
      <c r="C58" s="365" t="s">
        <v>145</v>
      </c>
      <c r="D58" s="365" t="s">
        <v>143</v>
      </c>
      <c r="E58" s="365" t="s">
        <v>376</v>
      </c>
      <c r="F58" s="452" t="s">
        <v>348</v>
      </c>
      <c r="G58" s="453"/>
      <c r="H58" s="453"/>
      <c r="I58" s="453"/>
      <c r="J58" s="453"/>
      <c r="K58" s="453"/>
      <c r="L58" s="453"/>
      <c r="M58" s="454"/>
      <c r="N58" s="364"/>
      <c r="O58" s="370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/>
      <c r="B59" s="451"/>
      <c r="C59" s="365"/>
      <c r="D59" s="365"/>
      <c r="E59" s="365"/>
      <c r="F59" s="452"/>
      <c r="G59" s="453"/>
      <c r="H59" s="453"/>
      <c r="I59" s="453"/>
      <c r="J59" s="453"/>
      <c r="K59" s="453"/>
      <c r="L59" s="453"/>
      <c r="M59" s="454"/>
      <c r="N59" s="364"/>
      <c r="O59" s="370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65"/>
      <c r="D60" s="365"/>
      <c r="E60" s="365"/>
      <c r="F60" s="452"/>
      <c r="G60" s="453"/>
      <c r="H60" s="453"/>
      <c r="I60" s="453"/>
      <c r="J60" s="453"/>
      <c r="K60" s="453"/>
      <c r="L60" s="453"/>
      <c r="M60" s="454"/>
      <c r="N60" s="364"/>
      <c r="O60" s="370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365"/>
      <c r="D61" s="365"/>
      <c r="E61" s="365"/>
      <c r="F61" s="452"/>
      <c r="G61" s="453"/>
      <c r="H61" s="453"/>
      <c r="I61" s="453"/>
      <c r="J61" s="453"/>
      <c r="K61" s="453"/>
      <c r="L61" s="453"/>
      <c r="M61" s="454"/>
      <c r="N61" s="364"/>
      <c r="O61" s="370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366"/>
      <c r="D62" s="367"/>
      <c r="E62" s="367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577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368" t="s">
        <v>2</v>
      </c>
      <c r="D64" s="368" t="s">
        <v>37</v>
      </c>
      <c r="E64" s="368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368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120</v>
      </c>
      <c r="D65" s="372"/>
      <c r="E65" s="369" t="s">
        <v>143</v>
      </c>
      <c r="F65" s="477" t="s">
        <v>578</v>
      </c>
      <c r="G65" s="478"/>
      <c r="H65" s="478"/>
      <c r="I65" s="478"/>
      <c r="J65" s="479"/>
      <c r="K65" s="480" t="s">
        <v>136</v>
      </c>
      <c r="L65" s="480"/>
      <c r="M65" s="51" t="s">
        <v>147</v>
      </c>
      <c r="N65" s="481" t="s">
        <v>131</v>
      </c>
      <c r="O65" s="481"/>
      <c r="P65" s="482"/>
      <c r="Q65" s="482"/>
      <c r="R65" s="458" t="s">
        <v>579</v>
      </c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/>
      <c r="D66" s="372"/>
      <c r="E66" s="369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/>
      <c r="D67" s="372"/>
      <c r="E67" s="369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/>
      <c r="D68" s="372"/>
      <c r="E68" s="369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/>
      <c r="D69" s="372"/>
      <c r="E69" s="369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/>
      <c r="D70" s="372"/>
      <c r="E70" s="369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/>
      <c r="D71" s="372"/>
      <c r="E71" s="369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372"/>
      <c r="E72" s="369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372"/>
      <c r="E73" s="369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372"/>
      <c r="E74" s="369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580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371" t="s">
        <v>2</v>
      </c>
      <c r="D76" s="371" t="s">
        <v>37</v>
      </c>
      <c r="E76" s="371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373" t="s">
        <v>112</v>
      </c>
      <c r="D77" s="373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372"/>
      <c r="D78" s="372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21">A78+1</f>
        <v>3</v>
      </c>
      <c r="B79" s="496"/>
      <c r="C79" s="372"/>
      <c r="D79" s="372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1"/>
        <v>4</v>
      </c>
      <c r="B80" s="496"/>
      <c r="C80" s="372"/>
      <c r="D80" s="372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1"/>
        <v>5</v>
      </c>
      <c r="B81" s="496"/>
      <c r="C81" s="372"/>
      <c r="D81" s="372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1"/>
        <v>6</v>
      </c>
      <c r="B82" s="496"/>
      <c r="C82" s="372"/>
      <c r="D82" s="372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1"/>
        <v>7</v>
      </c>
      <c r="B83" s="496"/>
      <c r="C83" s="372"/>
      <c r="D83" s="372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581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1F6A-9D38-4810-B4DC-88C4AE5C0CAA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582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85" t="s">
        <v>17</v>
      </c>
      <c r="L5" s="385" t="s">
        <v>18</v>
      </c>
      <c r="M5" s="385" t="s">
        <v>19</v>
      </c>
      <c r="N5" s="38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177</v>
      </c>
      <c r="E6" s="53" t="s">
        <v>583</v>
      </c>
      <c r="F6" s="30" t="s">
        <v>136</v>
      </c>
      <c r="G6" s="12">
        <v>1</v>
      </c>
      <c r="H6" s="13">
        <v>24</v>
      </c>
      <c r="I6" s="31">
        <v>700</v>
      </c>
      <c r="J6" s="5">
        <v>800</v>
      </c>
      <c r="K6" s="15">
        <f>L6</f>
        <v>800</v>
      </c>
      <c r="L6" s="15">
        <v>800</v>
      </c>
      <c r="M6" s="15">
        <f t="shared" ref="M6:M23" si="0">L6-N6</f>
        <v>800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5</v>
      </c>
      <c r="Q6" s="40">
        <f t="shared" ref="Q6:Q23" si="3">SUM(R6:AA6)</f>
        <v>19</v>
      </c>
      <c r="R6" s="7"/>
      <c r="S6" s="6"/>
      <c r="T6" s="16"/>
      <c r="U6" s="16"/>
      <c r="V6" s="17"/>
      <c r="W6" s="5">
        <v>19</v>
      </c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0.20833333333333334</v>
      </c>
      <c r="AD6" s="10">
        <f t="shared" ref="AD6:AD23" si="6">AC6*AB6*(1-O6)</f>
        <v>0.20833333333333334</v>
      </c>
      <c r="AE6" s="36">
        <f t="shared" ref="AE6:AE23" si="7">$AD$24</f>
        <v>0.50823615851346227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L7+4267</f>
        <v>4267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0.50823615851346227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5168</v>
      </c>
      <c r="K8" s="15">
        <f>L8+4389+4644+4956+4921+4171+5168+4891+5201+4835+5114+5236+5245+1099+4566+5258+5302+5279+5324+5264+2359+4584</f>
        <v>102974</v>
      </c>
      <c r="L8" s="15">
        <f>2586+2582</f>
        <v>5168</v>
      </c>
      <c r="M8" s="15">
        <f t="shared" si="0"/>
        <v>5168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0.50823615851346227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120</v>
      </c>
      <c r="D9" s="52" t="s">
        <v>265</v>
      </c>
      <c r="E9" s="53" t="s">
        <v>507</v>
      </c>
      <c r="F9" s="30" t="s">
        <v>234</v>
      </c>
      <c r="G9" s="33">
        <v>1</v>
      </c>
      <c r="H9" s="35">
        <v>24</v>
      </c>
      <c r="I9" s="7">
        <v>32000</v>
      </c>
      <c r="J9" s="14">
        <v>5254</v>
      </c>
      <c r="K9" s="15">
        <f>L9+1923+3914+3372+5279</f>
        <v>19742</v>
      </c>
      <c r="L9" s="15">
        <f>2540+2714</f>
        <v>5254</v>
      </c>
      <c r="M9" s="15">
        <f t="shared" si="0"/>
        <v>5254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0.50823615851346227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123</v>
      </c>
      <c r="D10" s="52" t="s">
        <v>284</v>
      </c>
      <c r="E10" s="53" t="s">
        <v>291</v>
      </c>
      <c r="F10" s="30" t="s">
        <v>228</v>
      </c>
      <c r="G10" s="33">
        <v>2</v>
      </c>
      <c r="H10" s="35">
        <v>24</v>
      </c>
      <c r="I10" s="7">
        <v>60000</v>
      </c>
      <c r="J10" s="5">
        <v>5600</v>
      </c>
      <c r="K10" s="15">
        <f>L10+4872+8516+5126+5600</f>
        <v>24114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0.50823615851346227</v>
      </c>
      <c r="AF10" s="84">
        <f t="shared" si="8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3007</v>
      </c>
      <c r="K11" s="15">
        <f>L11+2806+5234+5319+5378+5411+789+4935</f>
        <v>32879</v>
      </c>
      <c r="L11" s="15">
        <f>1011+1996</f>
        <v>3007</v>
      </c>
      <c r="M11" s="15">
        <f t="shared" si="0"/>
        <v>3007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/>
      <c r="S11" s="6">
        <v>7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 t="shared" ref="AD11:AD15" si="9">AC11*AB11*(1-O11)</f>
        <v>0.70833333333333337</v>
      </c>
      <c r="AE11" s="36">
        <f t="shared" si="7"/>
        <v>0.50823615851346227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4762</v>
      </c>
      <c r="K12" s="15">
        <f>L12+2872+5295+4231+5295+5295+5281+840+3474</f>
        <v>37345</v>
      </c>
      <c r="L12" s="15">
        <f>2155+2607</f>
        <v>4762</v>
      </c>
      <c r="M12" s="15">
        <f t="shared" si="0"/>
        <v>4762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9"/>
        <v>0.875</v>
      </c>
      <c r="AE12" s="36">
        <f t="shared" si="7"/>
        <v>0.50823615851346227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123</v>
      </c>
      <c r="D13" s="52"/>
      <c r="E13" s="53" t="s">
        <v>584</v>
      </c>
      <c r="F13" s="30" t="s">
        <v>125</v>
      </c>
      <c r="G13" s="33">
        <v>1</v>
      </c>
      <c r="H13" s="35">
        <v>24</v>
      </c>
      <c r="I13" s="7">
        <v>1000</v>
      </c>
      <c r="J13" s="5">
        <v>1426</v>
      </c>
      <c r="K13" s="15">
        <f>L13</f>
        <v>1426</v>
      </c>
      <c r="L13" s="15">
        <f>886+540</f>
        <v>1426</v>
      </c>
      <c r="M13" s="15">
        <f t="shared" si="0"/>
        <v>1426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/>
      <c r="S13" s="6"/>
      <c r="T13" s="16"/>
      <c r="U13" s="16"/>
      <c r="V13" s="17"/>
      <c r="W13" s="5">
        <v>17</v>
      </c>
      <c r="X13" s="16"/>
      <c r="Y13" s="16"/>
      <c r="Z13" s="16"/>
      <c r="AA13" s="18"/>
      <c r="AB13" s="8">
        <f t="shared" si="4"/>
        <v>1</v>
      </c>
      <c r="AC13" s="9">
        <f t="shared" si="5"/>
        <v>0.29166666666666669</v>
      </c>
      <c r="AD13" s="10">
        <f>AC13*AB13*(1-O13)</f>
        <v>0.29166666666666669</v>
      </c>
      <c r="AE13" s="36">
        <f t="shared" si="7"/>
        <v>0.50823615851346227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573</v>
      </c>
      <c r="F14" s="30" t="s">
        <v>125</v>
      </c>
      <c r="G14" s="33">
        <v>2</v>
      </c>
      <c r="H14" s="35">
        <v>24</v>
      </c>
      <c r="I14" s="7">
        <v>7000</v>
      </c>
      <c r="J14" s="5">
        <v>4688</v>
      </c>
      <c r="K14" s="15">
        <f>L14+4688</f>
        <v>8104</v>
      </c>
      <c r="L14" s="15">
        <f>1708*2</f>
        <v>3416</v>
      </c>
      <c r="M14" s="15">
        <f t="shared" si="0"/>
        <v>3416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/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si="4"/>
        <v>0.72866894197952214</v>
      </c>
      <c r="AC14" s="9">
        <f t="shared" si="5"/>
        <v>0.375</v>
      </c>
      <c r="AD14" s="10">
        <f>AC14*AB14*(1-O14)</f>
        <v>0.27325085324232079</v>
      </c>
      <c r="AE14" s="36">
        <f t="shared" si="7"/>
        <v>0.50823615851346227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L15+339</f>
        <v>339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0.50823615851346227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269</v>
      </c>
      <c r="D16" s="52"/>
      <c r="E16" s="53" t="s">
        <v>574</v>
      </c>
      <c r="F16" s="12">
        <v>8301</v>
      </c>
      <c r="G16" s="12" t="s">
        <v>272</v>
      </c>
      <c r="H16" s="13">
        <v>24</v>
      </c>
      <c r="I16" s="31">
        <f>3900+2000</f>
        <v>5900</v>
      </c>
      <c r="J16" s="14">
        <v>2504</v>
      </c>
      <c r="K16" s="15">
        <f>L16+4960</f>
        <v>7464</v>
      </c>
      <c r="L16" s="15">
        <v>2504</v>
      </c>
      <c r="M16" s="15">
        <f t="shared" si="0"/>
        <v>2504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/>
      <c r="T16" s="16"/>
      <c r="U16" s="16"/>
      <c r="V16" s="17"/>
      <c r="W16" s="5">
        <v>13</v>
      </c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 t="shared" si="7"/>
        <v>0.50823615851346227</v>
      </c>
      <c r="AF16" s="84">
        <f t="shared" si="8"/>
        <v>10</v>
      </c>
    </row>
    <row r="17" spans="1:32" ht="27" customHeight="1">
      <c r="A17" s="95">
        <v>10</v>
      </c>
      <c r="B17" s="11" t="s">
        <v>57</v>
      </c>
      <c r="C17" s="34" t="s">
        <v>269</v>
      </c>
      <c r="D17" s="52"/>
      <c r="E17" s="53" t="s">
        <v>585</v>
      </c>
      <c r="F17" s="12">
        <v>8301</v>
      </c>
      <c r="G17" s="12" t="s">
        <v>272</v>
      </c>
      <c r="H17" s="13">
        <v>24</v>
      </c>
      <c r="I17" s="31">
        <f>3900+2000</f>
        <v>5900</v>
      </c>
      <c r="J17" s="14">
        <v>2965</v>
      </c>
      <c r="K17" s="15">
        <f>L17</f>
        <v>2965</v>
      </c>
      <c r="L17" s="15">
        <f>2965</f>
        <v>2965</v>
      </c>
      <c r="M17" s="15">
        <f t="shared" ref="M17" si="10">L17-N17</f>
        <v>2965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11</v>
      </c>
      <c r="Q17" s="40">
        <f t="shared" ref="Q17" si="13">SUM(R17:AA17)</f>
        <v>13</v>
      </c>
      <c r="R17" s="7"/>
      <c r="S17" s="6"/>
      <c r="T17" s="16">
        <v>13</v>
      </c>
      <c r="U17" s="16"/>
      <c r="V17" s="17"/>
      <c r="W17" s="5"/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0.45833333333333331</v>
      </c>
      <c r="AD17" s="10">
        <f t="shared" ref="AD17" si="16">AC17*AB17*(1-O17)</f>
        <v>0.45833333333333331</v>
      </c>
      <c r="AE17" s="36">
        <f t="shared" si="7"/>
        <v>0.50823615851346227</v>
      </c>
      <c r="AF17" s="84">
        <f t="shared" ref="AF17" si="17">A17</f>
        <v>10</v>
      </c>
    </row>
    <row r="18" spans="1:32" ht="30" customHeight="1">
      <c r="A18" s="95">
        <v>11</v>
      </c>
      <c r="B18" s="11" t="s">
        <v>57</v>
      </c>
      <c r="C18" s="34" t="s">
        <v>120</v>
      </c>
      <c r="D18" s="52" t="s">
        <v>127</v>
      </c>
      <c r="E18" s="53" t="s">
        <v>557</v>
      </c>
      <c r="F18" s="30" t="s">
        <v>149</v>
      </c>
      <c r="G18" s="12">
        <v>1</v>
      </c>
      <c r="H18" s="13">
        <v>24</v>
      </c>
      <c r="I18" s="7">
        <v>10000</v>
      </c>
      <c r="J18" s="14">
        <v>3989</v>
      </c>
      <c r="K18" s="15">
        <f>L18+1842+4677</f>
        <v>10508</v>
      </c>
      <c r="L18" s="15">
        <f>1496+2493</f>
        <v>3989</v>
      </c>
      <c r="M18" s="15">
        <f t="shared" si="0"/>
        <v>3989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/>
      <c r="T18" s="16"/>
      <c r="U18" s="16"/>
      <c r="V18" s="17"/>
      <c r="W18" s="5">
        <v>3</v>
      </c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0.50823615851346227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120</v>
      </c>
      <c r="D19" s="52" t="s">
        <v>511</v>
      </c>
      <c r="E19" s="53" t="s">
        <v>539</v>
      </c>
      <c r="F19" s="30" t="s">
        <v>554</v>
      </c>
      <c r="G19" s="12">
        <v>2</v>
      </c>
      <c r="H19" s="13">
        <v>24</v>
      </c>
      <c r="I19" s="7">
        <v>2000</v>
      </c>
      <c r="J19" s="14">
        <v>4138</v>
      </c>
      <c r="K19" s="15">
        <f>L19+4138</f>
        <v>4138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0.50823615851346227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120</v>
      </c>
      <c r="D20" s="52" t="s">
        <v>115</v>
      </c>
      <c r="E20" s="53" t="s">
        <v>395</v>
      </c>
      <c r="F20" s="30" t="s">
        <v>150</v>
      </c>
      <c r="G20" s="33">
        <v>1</v>
      </c>
      <c r="H20" s="35">
        <v>24</v>
      </c>
      <c r="I20" s="7">
        <v>35000</v>
      </c>
      <c r="J20" s="14">
        <v>5785</v>
      </c>
      <c r="K20" s="15">
        <f>L20+4046+4865+5364+2142+4646+3290</f>
        <v>30138</v>
      </c>
      <c r="L20" s="15">
        <f>2752+300+2733</f>
        <v>5785</v>
      </c>
      <c r="M20" s="15">
        <f t="shared" si="0"/>
        <v>5785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0.50823615851346227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34" t="s">
        <v>112</v>
      </c>
      <c r="D21" s="52" t="s">
        <v>155</v>
      </c>
      <c r="E21" s="53" t="s">
        <v>280</v>
      </c>
      <c r="F21" s="30" t="s">
        <v>124</v>
      </c>
      <c r="G21" s="33">
        <v>1</v>
      </c>
      <c r="H21" s="35">
        <v>24</v>
      </c>
      <c r="I21" s="7">
        <v>80000</v>
      </c>
      <c r="J21" s="5">
        <v>4964</v>
      </c>
      <c r="K21" s="15">
        <f>L21+1964+2699+1215+3702+2680+927+2666+4081+2052+4322+5042+2742+5050+5068+4805+2245+4856</f>
        <v>61080</v>
      </c>
      <c r="L21" s="15">
        <f>2477+2487</f>
        <v>4964</v>
      </c>
      <c r="M21" s="15">
        <f t="shared" si="0"/>
        <v>4964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>AC21*AB21*(1-O21)</f>
        <v>1</v>
      </c>
      <c r="AE21" s="36">
        <f t="shared" si="7"/>
        <v>0.50823615851346227</v>
      </c>
      <c r="AF21" s="84">
        <f t="shared" si="8"/>
        <v>14</v>
      </c>
    </row>
    <row r="22" spans="1:32" ht="27" customHeight="1">
      <c r="A22" s="113">
        <v>15</v>
      </c>
      <c r="B22" s="11" t="s">
        <v>57</v>
      </c>
      <c r="C22" s="34" t="s">
        <v>120</v>
      </c>
      <c r="D22" s="52" t="s">
        <v>115</v>
      </c>
      <c r="E22" s="53" t="s">
        <v>470</v>
      </c>
      <c r="F22" s="30" t="s">
        <v>119</v>
      </c>
      <c r="G22" s="12">
        <v>1</v>
      </c>
      <c r="H22" s="13">
        <v>28</v>
      </c>
      <c r="I22" s="31">
        <v>40000</v>
      </c>
      <c r="J22" s="5">
        <v>2614</v>
      </c>
      <c r="K22" s="15">
        <f>L22+2503+4146+3422+2211+1805+550+1849</f>
        <v>19100</v>
      </c>
      <c r="L22" s="15">
        <v>2614</v>
      </c>
      <c r="M22" s="15">
        <f t="shared" si="0"/>
        <v>2614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>
        <v>10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ref="AD22" si="18">AC22*AB22*(1-O22)</f>
        <v>0.58333333333333337</v>
      </c>
      <c r="AE22" s="36">
        <f t="shared" si="7"/>
        <v>0.50823615851346227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559</v>
      </c>
      <c r="F23" s="12" t="s">
        <v>114</v>
      </c>
      <c r="G23" s="12">
        <v>3</v>
      </c>
      <c r="H23" s="35">
        <v>20</v>
      </c>
      <c r="I23" s="7">
        <v>500000</v>
      </c>
      <c r="J23" s="14">
        <v>28221</v>
      </c>
      <c r="K23" s="15">
        <f>L23+23862+26907</f>
        <v>78990</v>
      </c>
      <c r="L23" s="15">
        <f>9407*3</f>
        <v>28221</v>
      </c>
      <c r="M23" s="15">
        <f t="shared" si="0"/>
        <v>28221</v>
      </c>
      <c r="N23" s="15">
        <v>0</v>
      </c>
      <c r="O23" s="58">
        <f t="shared" si="1"/>
        <v>0</v>
      </c>
      <c r="P23" s="39">
        <f t="shared" si="2"/>
        <v>10</v>
      </c>
      <c r="Q23" s="40">
        <f t="shared" si="3"/>
        <v>14</v>
      </c>
      <c r="R23" s="7"/>
      <c r="S23" s="6"/>
      <c r="T23" s="16"/>
      <c r="U23" s="16"/>
      <c r="V23" s="17">
        <v>14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0.41666666666666669</v>
      </c>
      <c r="AD23" s="10">
        <f t="shared" si="6"/>
        <v>0.41666666666666669</v>
      </c>
      <c r="AE23" s="36">
        <f t="shared" si="7"/>
        <v>0.50823615851346227</v>
      </c>
      <c r="AF23" s="84">
        <f t="shared" si="8"/>
        <v>16</v>
      </c>
    </row>
    <row r="24" spans="1:32" ht="31.5" customHeight="1" thickBot="1">
      <c r="A24" s="424" t="s">
        <v>34</v>
      </c>
      <c r="B24" s="425"/>
      <c r="C24" s="425"/>
      <c r="D24" s="425"/>
      <c r="E24" s="425"/>
      <c r="F24" s="425"/>
      <c r="G24" s="425"/>
      <c r="H24" s="426"/>
      <c r="I24" s="22">
        <f t="shared" ref="I24:N24" si="19">SUM(I6:I23)</f>
        <v>1021800</v>
      </c>
      <c r="J24" s="19">
        <f t="shared" si="19"/>
        <v>90491</v>
      </c>
      <c r="K24" s="20">
        <f t="shared" si="19"/>
        <v>446373</v>
      </c>
      <c r="L24" s="21">
        <f t="shared" si="19"/>
        <v>74875</v>
      </c>
      <c r="M24" s="20">
        <f t="shared" si="19"/>
        <v>74875</v>
      </c>
      <c r="N24" s="21">
        <f t="shared" si="19"/>
        <v>0</v>
      </c>
      <c r="O24" s="41">
        <f t="shared" si="1"/>
        <v>0</v>
      </c>
      <c r="P24" s="42">
        <f t="shared" ref="P24:AA24" si="20">SUM(P6:P23)</f>
        <v>222</v>
      </c>
      <c r="Q24" s="43">
        <f t="shared" si="20"/>
        <v>210</v>
      </c>
      <c r="R24" s="23">
        <f t="shared" si="20"/>
        <v>0</v>
      </c>
      <c r="S24" s="24">
        <f t="shared" si="20"/>
        <v>44</v>
      </c>
      <c r="T24" s="24">
        <f t="shared" si="20"/>
        <v>13</v>
      </c>
      <c r="U24" s="24">
        <f t="shared" si="20"/>
        <v>0</v>
      </c>
      <c r="V24" s="25">
        <f t="shared" si="20"/>
        <v>14</v>
      </c>
      <c r="W24" s="26">
        <f t="shared" si="20"/>
        <v>91</v>
      </c>
      <c r="X24" s="27">
        <f t="shared" si="20"/>
        <v>0</v>
      </c>
      <c r="Y24" s="27">
        <f t="shared" si="20"/>
        <v>0</v>
      </c>
      <c r="Z24" s="27">
        <f t="shared" si="20"/>
        <v>0</v>
      </c>
      <c r="AA24" s="27">
        <f t="shared" si="20"/>
        <v>48</v>
      </c>
      <c r="AB24" s="28">
        <f>AVERAGE(AB6:AB23)</f>
        <v>0.76270383010997334</v>
      </c>
      <c r="AC24" s="4">
        <f>AVERAGE(AC6:AC23)</f>
        <v>0.51388888888888884</v>
      </c>
      <c r="AD24" s="4">
        <f>AVERAGE(AD6:AD23)</f>
        <v>0.50823615851346227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27" t="s">
        <v>45</v>
      </c>
      <c r="B51" s="427"/>
      <c r="C51" s="427"/>
      <c r="D51" s="427"/>
      <c r="E51" s="42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28" t="s">
        <v>586</v>
      </c>
      <c r="B52" s="429"/>
      <c r="C52" s="429"/>
      <c r="D52" s="429"/>
      <c r="E52" s="429"/>
      <c r="F52" s="429"/>
      <c r="G52" s="429"/>
      <c r="H52" s="429"/>
      <c r="I52" s="429"/>
      <c r="J52" s="429"/>
      <c r="K52" s="429"/>
      <c r="L52" s="429"/>
      <c r="M52" s="430"/>
      <c r="N52" s="431" t="s">
        <v>587</v>
      </c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  <c r="AA52" s="432"/>
      <c r="AB52" s="432"/>
      <c r="AC52" s="432"/>
      <c r="AD52" s="433"/>
    </row>
    <row r="53" spans="1:32" ht="27" customHeight="1">
      <c r="A53" s="434" t="s">
        <v>2</v>
      </c>
      <c r="B53" s="435"/>
      <c r="C53" s="384" t="s">
        <v>46</v>
      </c>
      <c r="D53" s="384" t="s">
        <v>47</v>
      </c>
      <c r="E53" s="384" t="s">
        <v>107</v>
      </c>
      <c r="F53" s="436" t="s">
        <v>106</v>
      </c>
      <c r="G53" s="437"/>
      <c r="H53" s="437"/>
      <c r="I53" s="437"/>
      <c r="J53" s="437"/>
      <c r="K53" s="437"/>
      <c r="L53" s="437"/>
      <c r="M53" s="438"/>
      <c r="N53" s="67" t="s">
        <v>110</v>
      </c>
      <c r="O53" s="384" t="s">
        <v>46</v>
      </c>
      <c r="P53" s="436" t="s">
        <v>47</v>
      </c>
      <c r="Q53" s="439"/>
      <c r="R53" s="436" t="s">
        <v>38</v>
      </c>
      <c r="S53" s="437"/>
      <c r="T53" s="437"/>
      <c r="U53" s="439"/>
      <c r="V53" s="436" t="s">
        <v>48</v>
      </c>
      <c r="W53" s="437"/>
      <c r="X53" s="437"/>
      <c r="Y53" s="437"/>
      <c r="Z53" s="437"/>
      <c r="AA53" s="437"/>
      <c r="AB53" s="437"/>
      <c r="AC53" s="437"/>
      <c r="AD53" s="438"/>
    </row>
    <row r="54" spans="1:32" ht="27" customHeight="1">
      <c r="A54" s="450" t="s">
        <v>120</v>
      </c>
      <c r="B54" s="451"/>
      <c r="C54" s="381" t="s">
        <v>193</v>
      </c>
      <c r="D54" s="381" t="s">
        <v>115</v>
      </c>
      <c r="E54" s="381" t="s">
        <v>470</v>
      </c>
      <c r="F54" s="452" t="s">
        <v>536</v>
      </c>
      <c r="G54" s="453"/>
      <c r="H54" s="453"/>
      <c r="I54" s="453"/>
      <c r="J54" s="453"/>
      <c r="K54" s="453"/>
      <c r="L54" s="453"/>
      <c r="M54" s="454"/>
      <c r="N54" s="380" t="s">
        <v>123</v>
      </c>
      <c r="O54" s="378" t="s">
        <v>151</v>
      </c>
      <c r="P54" s="455"/>
      <c r="Q54" s="456"/>
      <c r="R54" s="455" t="s">
        <v>291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123</v>
      </c>
      <c r="B55" s="451"/>
      <c r="C55" s="381" t="s">
        <v>240</v>
      </c>
      <c r="D55" s="381"/>
      <c r="E55" s="381" t="s">
        <v>584</v>
      </c>
      <c r="F55" s="452" t="s">
        <v>118</v>
      </c>
      <c r="G55" s="453"/>
      <c r="H55" s="453"/>
      <c r="I55" s="453"/>
      <c r="J55" s="453"/>
      <c r="K55" s="453"/>
      <c r="L55" s="453"/>
      <c r="M55" s="454"/>
      <c r="N55" s="380" t="s">
        <v>120</v>
      </c>
      <c r="O55" s="378" t="s">
        <v>145</v>
      </c>
      <c r="P55" s="455" t="s">
        <v>143</v>
      </c>
      <c r="Q55" s="456"/>
      <c r="R55" s="455" t="s">
        <v>376</v>
      </c>
      <c r="S55" s="457"/>
      <c r="T55" s="457"/>
      <c r="U55" s="456"/>
      <c r="V55" s="458" t="s">
        <v>192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121</v>
      </c>
      <c r="B56" s="451"/>
      <c r="C56" s="381" t="s">
        <v>152</v>
      </c>
      <c r="D56" s="381" t="s">
        <v>412</v>
      </c>
      <c r="E56" s="381" t="s">
        <v>457</v>
      </c>
      <c r="F56" s="452" t="s">
        <v>325</v>
      </c>
      <c r="G56" s="453"/>
      <c r="H56" s="453"/>
      <c r="I56" s="453"/>
      <c r="J56" s="453"/>
      <c r="K56" s="453"/>
      <c r="L56" s="453"/>
      <c r="M56" s="454"/>
      <c r="N56" s="380" t="s">
        <v>120</v>
      </c>
      <c r="O56" s="378" t="s">
        <v>193</v>
      </c>
      <c r="P56" s="455" t="s">
        <v>115</v>
      </c>
      <c r="Q56" s="456"/>
      <c r="R56" s="455" t="s">
        <v>470</v>
      </c>
      <c r="S56" s="457"/>
      <c r="T56" s="457"/>
      <c r="U56" s="456"/>
      <c r="V56" s="458" t="s">
        <v>139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269</v>
      </c>
      <c r="B57" s="451"/>
      <c r="C57" s="381" t="s">
        <v>144</v>
      </c>
      <c r="D57" s="381"/>
      <c r="E57" s="381" t="s">
        <v>585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380" t="s">
        <v>120</v>
      </c>
      <c r="O57" s="378" t="s">
        <v>509</v>
      </c>
      <c r="P57" s="455" t="s">
        <v>588</v>
      </c>
      <c r="Q57" s="456"/>
      <c r="R57" s="455" t="s">
        <v>564</v>
      </c>
      <c r="S57" s="457"/>
      <c r="T57" s="457"/>
      <c r="U57" s="456"/>
      <c r="V57" s="458" t="s">
        <v>118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121</v>
      </c>
      <c r="B58" s="451"/>
      <c r="C58" s="381" t="s">
        <v>157</v>
      </c>
      <c r="D58" s="381" t="s">
        <v>115</v>
      </c>
      <c r="E58" s="381" t="s">
        <v>475</v>
      </c>
      <c r="F58" s="452" t="s">
        <v>325</v>
      </c>
      <c r="G58" s="453"/>
      <c r="H58" s="453"/>
      <c r="I58" s="453"/>
      <c r="J58" s="453"/>
      <c r="K58" s="453"/>
      <c r="L58" s="453"/>
      <c r="M58" s="454"/>
      <c r="N58" s="380" t="s">
        <v>121</v>
      </c>
      <c r="O58" s="378" t="s">
        <v>317</v>
      </c>
      <c r="P58" s="455" t="s">
        <v>127</v>
      </c>
      <c r="Q58" s="456"/>
      <c r="R58" s="455" t="s">
        <v>316</v>
      </c>
      <c r="S58" s="457"/>
      <c r="T58" s="457"/>
      <c r="U58" s="456"/>
      <c r="V58" s="458" t="s">
        <v>118</v>
      </c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112</v>
      </c>
      <c r="B59" s="451"/>
      <c r="C59" s="381" t="s">
        <v>145</v>
      </c>
      <c r="D59" s="381" t="s">
        <v>183</v>
      </c>
      <c r="E59" s="381" t="s">
        <v>583</v>
      </c>
      <c r="F59" s="452" t="s">
        <v>174</v>
      </c>
      <c r="G59" s="453"/>
      <c r="H59" s="453"/>
      <c r="I59" s="453"/>
      <c r="J59" s="453"/>
      <c r="K59" s="453"/>
      <c r="L59" s="453"/>
      <c r="M59" s="454"/>
      <c r="N59" s="380" t="s">
        <v>121</v>
      </c>
      <c r="O59" s="378" t="s">
        <v>138</v>
      </c>
      <c r="P59" s="455"/>
      <c r="Q59" s="456"/>
      <c r="R59" s="455" t="s">
        <v>589</v>
      </c>
      <c r="S59" s="457"/>
      <c r="T59" s="457"/>
      <c r="U59" s="456"/>
      <c r="V59" s="458" t="s">
        <v>118</v>
      </c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381"/>
      <c r="D60" s="381"/>
      <c r="E60" s="381"/>
      <c r="F60" s="452"/>
      <c r="G60" s="453"/>
      <c r="H60" s="453"/>
      <c r="I60" s="453"/>
      <c r="J60" s="453"/>
      <c r="K60" s="453"/>
      <c r="L60" s="453"/>
      <c r="M60" s="454"/>
      <c r="N60" s="380" t="s">
        <v>121</v>
      </c>
      <c r="O60" s="378" t="s">
        <v>157</v>
      </c>
      <c r="P60" s="455" t="s">
        <v>115</v>
      </c>
      <c r="Q60" s="456"/>
      <c r="R60" s="451" t="s">
        <v>475</v>
      </c>
      <c r="S60" s="451"/>
      <c r="T60" s="451"/>
      <c r="U60" s="451"/>
      <c r="V60" s="458" t="s">
        <v>139</v>
      </c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/>
      <c r="B61" s="451"/>
      <c r="C61" s="381"/>
      <c r="D61" s="381"/>
      <c r="E61" s="381"/>
      <c r="F61" s="452"/>
      <c r="G61" s="453"/>
      <c r="H61" s="453"/>
      <c r="I61" s="453"/>
      <c r="J61" s="453"/>
      <c r="K61" s="453"/>
      <c r="L61" s="453"/>
      <c r="M61" s="454"/>
      <c r="N61" s="380" t="s">
        <v>121</v>
      </c>
      <c r="O61" s="378" t="s">
        <v>152</v>
      </c>
      <c r="P61" s="455" t="s">
        <v>412</v>
      </c>
      <c r="Q61" s="456"/>
      <c r="R61" s="451" t="s">
        <v>457</v>
      </c>
      <c r="S61" s="451"/>
      <c r="T61" s="451"/>
      <c r="U61" s="451"/>
      <c r="V61" s="458" t="s">
        <v>139</v>
      </c>
      <c r="W61" s="458"/>
      <c r="X61" s="458"/>
      <c r="Y61" s="458"/>
      <c r="Z61" s="458"/>
      <c r="AA61" s="458"/>
      <c r="AB61" s="458"/>
      <c r="AC61" s="458"/>
      <c r="AD61" s="459"/>
    </row>
    <row r="62" spans="1:32" ht="27" customHeight="1">
      <c r="A62" s="450"/>
      <c r="B62" s="451"/>
      <c r="C62" s="381"/>
      <c r="D62" s="381"/>
      <c r="E62" s="381"/>
      <c r="F62" s="452"/>
      <c r="G62" s="453"/>
      <c r="H62" s="453"/>
      <c r="I62" s="453"/>
      <c r="J62" s="453"/>
      <c r="K62" s="453"/>
      <c r="L62" s="453"/>
      <c r="M62" s="454"/>
      <c r="N62" s="380"/>
      <c r="O62" s="378"/>
      <c r="P62" s="451"/>
      <c r="Q62" s="451"/>
      <c r="R62" s="451"/>
      <c r="S62" s="451"/>
      <c r="T62" s="451"/>
      <c r="U62" s="451"/>
      <c r="V62" s="458"/>
      <c r="W62" s="458"/>
      <c r="X62" s="458"/>
      <c r="Y62" s="458"/>
      <c r="Z62" s="458"/>
      <c r="AA62" s="458"/>
      <c r="AB62" s="458"/>
      <c r="AC62" s="458"/>
      <c r="AD62" s="459"/>
      <c r="AF62" s="84">
        <f>8*3000</f>
        <v>24000</v>
      </c>
    </row>
    <row r="63" spans="1:32" ht="27" customHeight="1" thickBot="1">
      <c r="A63" s="460"/>
      <c r="B63" s="461"/>
      <c r="C63" s="382"/>
      <c r="D63" s="383"/>
      <c r="E63" s="383"/>
      <c r="F63" s="462"/>
      <c r="G63" s="463"/>
      <c r="H63" s="463"/>
      <c r="I63" s="463"/>
      <c r="J63" s="463"/>
      <c r="K63" s="463"/>
      <c r="L63" s="463"/>
      <c r="M63" s="464"/>
      <c r="N63" s="112"/>
      <c r="O63" s="103"/>
      <c r="P63" s="465"/>
      <c r="Q63" s="465"/>
      <c r="R63" s="465"/>
      <c r="S63" s="465"/>
      <c r="T63" s="465"/>
      <c r="U63" s="465"/>
      <c r="V63" s="466"/>
      <c r="W63" s="466"/>
      <c r="X63" s="466"/>
      <c r="Y63" s="466"/>
      <c r="Z63" s="466"/>
      <c r="AA63" s="466"/>
      <c r="AB63" s="466"/>
      <c r="AC63" s="466"/>
      <c r="AD63" s="467"/>
      <c r="AF63" s="84">
        <f>16*3000</f>
        <v>48000</v>
      </c>
    </row>
    <row r="64" spans="1:32" ht="27.75" thickBot="1">
      <c r="A64" s="468" t="s">
        <v>590</v>
      </c>
      <c r="B64" s="468"/>
      <c r="C64" s="468"/>
      <c r="D64" s="468"/>
      <c r="E64" s="468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69" t="s">
        <v>111</v>
      </c>
      <c r="B65" s="470"/>
      <c r="C65" s="379" t="s">
        <v>2</v>
      </c>
      <c r="D65" s="379" t="s">
        <v>37</v>
      </c>
      <c r="E65" s="379" t="s">
        <v>3</v>
      </c>
      <c r="F65" s="470" t="s">
        <v>109</v>
      </c>
      <c r="G65" s="470"/>
      <c r="H65" s="470"/>
      <c r="I65" s="470"/>
      <c r="J65" s="470"/>
      <c r="K65" s="470" t="s">
        <v>39</v>
      </c>
      <c r="L65" s="470"/>
      <c r="M65" s="379" t="s">
        <v>40</v>
      </c>
      <c r="N65" s="470" t="s">
        <v>41</v>
      </c>
      <c r="O65" s="470"/>
      <c r="P65" s="471" t="s">
        <v>42</v>
      </c>
      <c r="Q65" s="472"/>
      <c r="R65" s="471" t="s">
        <v>43</v>
      </c>
      <c r="S65" s="473"/>
      <c r="T65" s="473"/>
      <c r="U65" s="473"/>
      <c r="V65" s="473"/>
      <c r="W65" s="473"/>
      <c r="X65" s="473"/>
      <c r="Y65" s="473"/>
      <c r="Z65" s="473"/>
      <c r="AA65" s="472"/>
      <c r="AB65" s="470" t="s">
        <v>44</v>
      </c>
      <c r="AC65" s="470"/>
      <c r="AD65" s="474"/>
      <c r="AF65" s="84">
        <f>SUM(AF62:AF64)</f>
        <v>96000</v>
      </c>
    </row>
    <row r="66" spans="1:32" ht="25.5" customHeight="1">
      <c r="A66" s="475">
        <v>1</v>
      </c>
      <c r="B66" s="476"/>
      <c r="C66" s="105" t="s">
        <v>120</v>
      </c>
      <c r="D66" s="374"/>
      <c r="E66" s="377" t="s">
        <v>143</v>
      </c>
      <c r="F66" s="477" t="s">
        <v>578</v>
      </c>
      <c r="G66" s="478"/>
      <c r="H66" s="478"/>
      <c r="I66" s="478"/>
      <c r="J66" s="479"/>
      <c r="K66" s="480" t="s">
        <v>136</v>
      </c>
      <c r="L66" s="480"/>
      <c r="M66" s="51" t="s">
        <v>147</v>
      </c>
      <c r="N66" s="481" t="s">
        <v>131</v>
      </c>
      <c r="O66" s="481"/>
      <c r="P66" s="482">
        <v>50</v>
      </c>
      <c r="Q66" s="482"/>
      <c r="R66" s="458" t="s">
        <v>591</v>
      </c>
      <c r="S66" s="458"/>
      <c r="T66" s="458"/>
      <c r="U66" s="458"/>
      <c r="V66" s="458"/>
      <c r="W66" s="458"/>
      <c r="X66" s="458"/>
      <c r="Y66" s="458"/>
      <c r="Z66" s="458"/>
      <c r="AA66" s="458"/>
      <c r="AB66" s="483"/>
      <c r="AC66" s="484"/>
      <c r="AD66" s="485"/>
      <c r="AF66" s="50"/>
    </row>
    <row r="67" spans="1:32" ht="25.5" customHeight="1">
      <c r="A67" s="475">
        <v>2</v>
      </c>
      <c r="B67" s="476"/>
      <c r="C67" s="105" t="s">
        <v>120</v>
      </c>
      <c r="D67" s="374"/>
      <c r="E67" s="377" t="s">
        <v>265</v>
      </c>
      <c r="F67" s="477" t="s">
        <v>592</v>
      </c>
      <c r="G67" s="478"/>
      <c r="H67" s="478"/>
      <c r="I67" s="478"/>
      <c r="J67" s="479"/>
      <c r="K67" s="480" t="s">
        <v>594</v>
      </c>
      <c r="L67" s="480"/>
      <c r="M67" s="51" t="s">
        <v>227</v>
      </c>
      <c r="N67" s="481" t="s">
        <v>131</v>
      </c>
      <c r="O67" s="481"/>
      <c r="P67" s="482">
        <v>200</v>
      </c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3</v>
      </c>
      <c r="B68" s="476"/>
      <c r="C68" s="105" t="s">
        <v>120</v>
      </c>
      <c r="D68" s="374"/>
      <c r="E68" s="377" t="s">
        <v>127</v>
      </c>
      <c r="F68" s="477" t="s">
        <v>593</v>
      </c>
      <c r="G68" s="478"/>
      <c r="H68" s="478"/>
      <c r="I68" s="478"/>
      <c r="J68" s="479"/>
      <c r="K68" s="480" t="s">
        <v>594</v>
      </c>
      <c r="L68" s="480"/>
      <c r="M68" s="51" t="s">
        <v>227</v>
      </c>
      <c r="N68" s="481" t="s">
        <v>131</v>
      </c>
      <c r="O68" s="481"/>
      <c r="P68" s="482">
        <v>200</v>
      </c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4</v>
      </c>
      <c r="B69" s="476"/>
      <c r="C69" s="105" t="s">
        <v>120</v>
      </c>
      <c r="D69" s="374"/>
      <c r="E69" s="377" t="s">
        <v>143</v>
      </c>
      <c r="F69" s="477" t="s">
        <v>595</v>
      </c>
      <c r="G69" s="478"/>
      <c r="H69" s="478"/>
      <c r="I69" s="478"/>
      <c r="J69" s="479"/>
      <c r="K69" s="480" t="s">
        <v>210</v>
      </c>
      <c r="L69" s="480"/>
      <c r="M69" s="51" t="s">
        <v>147</v>
      </c>
      <c r="N69" s="481" t="s">
        <v>317</v>
      </c>
      <c r="O69" s="481"/>
      <c r="P69" s="482">
        <v>50</v>
      </c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5</v>
      </c>
      <c r="B70" s="476"/>
      <c r="C70" s="105" t="s">
        <v>123</v>
      </c>
      <c r="D70" s="374"/>
      <c r="E70" s="377"/>
      <c r="F70" s="477" t="s">
        <v>546</v>
      </c>
      <c r="G70" s="478"/>
      <c r="H70" s="478"/>
      <c r="I70" s="478"/>
      <c r="J70" s="479"/>
      <c r="K70" s="480" t="s">
        <v>119</v>
      </c>
      <c r="L70" s="480"/>
      <c r="M70" s="51" t="s">
        <v>147</v>
      </c>
      <c r="N70" s="481" t="s">
        <v>193</v>
      </c>
      <c r="O70" s="481"/>
      <c r="P70" s="482">
        <v>50</v>
      </c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6</v>
      </c>
      <c r="B71" s="476"/>
      <c r="C71" s="105"/>
      <c r="D71" s="374"/>
      <c r="E71" s="377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7</v>
      </c>
      <c r="B72" s="476"/>
      <c r="C72" s="105"/>
      <c r="D72" s="374"/>
      <c r="E72" s="377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8</v>
      </c>
      <c r="B73" s="476"/>
      <c r="C73" s="105"/>
      <c r="D73" s="374"/>
      <c r="E73" s="377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9</v>
      </c>
      <c r="B74" s="476"/>
      <c r="C74" s="105"/>
      <c r="D74" s="374"/>
      <c r="E74" s="377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5.5" customHeight="1">
      <c r="A75" s="475">
        <v>10</v>
      </c>
      <c r="B75" s="476"/>
      <c r="C75" s="105"/>
      <c r="D75" s="374"/>
      <c r="E75" s="377"/>
      <c r="F75" s="487"/>
      <c r="G75" s="480"/>
      <c r="H75" s="480"/>
      <c r="I75" s="480"/>
      <c r="J75" s="480"/>
      <c r="K75" s="480"/>
      <c r="L75" s="480"/>
      <c r="M75" s="51"/>
      <c r="N75" s="481"/>
      <c r="O75" s="481"/>
      <c r="P75" s="482"/>
      <c r="Q75" s="482"/>
      <c r="R75" s="458"/>
      <c r="S75" s="458"/>
      <c r="T75" s="458"/>
      <c r="U75" s="458"/>
      <c r="V75" s="458"/>
      <c r="W75" s="458"/>
      <c r="X75" s="458"/>
      <c r="Y75" s="458"/>
      <c r="Z75" s="458"/>
      <c r="AA75" s="458"/>
      <c r="AB75" s="480"/>
      <c r="AC75" s="480"/>
      <c r="AD75" s="486"/>
      <c r="AF75" s="50"/>
    </row>
    <row r="76" spans="1:32" ht="26.25" customHeight="1" thickBot="1">
      <c r="A76" s="488" t="s">
        <v>596</v>
      </c>
      <c r="B76" s="488"/>
      <c r="C76" s="488"/>
      <c r="D76" s="488"/>
      <c r="E76" s="488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89" t="s">
        <v>111</v>
      </c>
      <c r="B77" s="490"/>
      <c r="C77" s="376" t="s">
        <v>2</v>
      </c>
      <c r="D77" s="376" t="s">
        <v>37</v>
      </c>
      <c r="E77" s="376" t="s">
        <v>3</v>
      </c>
      <c r="F77" s="490" t="s">
        <v>38</v>
      </c>
      <c r="G77" s="490"/>
      <c r="H77" s="490"/>
      <c r="I77" s="490"/>
      <c r="J77" s="490"/>
      <c r="K77" s="491" t="s">
        <v>58</v>
      </c>
      <c r="L77" s="492"/>
      <c r="M77" s="492"/>
      <c r="N77" s="492"/>
      <c r="O77" s="492"/>
      <c r="P77" s="492"/>
      <c r="Q77" s="492"/>
      <c r="R77" s="492"/>
      <c r="S77" s="493"/>
      <c r="T77" s="490" t="s">
        <v>49</v>
      </c>
      <c r="U77" s="490"/>
      <c r="V77" s="491" t="s">
        <v>50</v>
      </c>
      <c r="W77" s="493"/>
      <c r="X77" s="492" t="s">
        <v>51</v>
      </c>
      <c r="Y77" s="492"/>
      <c r="Z77" s="492"/>
      <c r="AA77" s="492"/>
      <c r="AB77" s="492"/>
      <c r="AC77" s="492"/>
      <c r="AD77" s="494"/>
      <c r="AF77" s="50"/>
    </row>
    <row r="78" spans="1:32" ht="33.75" customHeight="1">
      <c r="A78" s="503">
        <v>1</v>
      </c>
      <c r="B78" s="504"/>
      <c r="C78" s="375" t="s">
        <v>112</v>
      </c>
      <c r="D78" s="375"/>
      <c r="E78" s="65" t="s">
        <v>117</v>
      </c>
      <c r="F78" s="505" t="s">
        <v>116</v>
      </c>
      <c r="G78" s="506"/>
      <c r="H78" s="506"/>
      <c r="I78" s="506"/>
      <c r="J78" s="507"/>
      <c r="K78" s="508" t="s">
        <v>122</v>
      </c>
      <c r="L78" s="509"/>
      <c r="M78" s="509"/>
      <c r="N78" s="509"/>
      <c r="O78" s="509"/>
      <c r="P78" s="509"/>
      <c r="Q78" s="509"/>
      <c r="R78" s="509"/>
      <c r="S78" s="510"/>
      <c r="T78" s="511">
        <v>43675</v>
      </c>
      <c r="U78" s="512"/>
      <c r="V78" s="513"/>
      <c r="W78" s="513"/>
      <c r="X78" s="514"/>
      <c r="Y78" s="514"/>
      <c r="Z78" s="514"/>
      <c r="AA78" s="514"/>
      <c r="AB78" s="514"/>
      <c r="AC78" s="514"/>
      <c r="AD78" s="515"/>
      <c r="AF78" s="50"/>
    </row>
    <row r="79" spans="1:32" ht="30" customHeight="1">
      <c r="A79" s="495">
        <f>A78+1</f>
        <v>2</v>
      </c>
      <c r="B79" s="496"/>
      <c r="C79" s="374"/>
      <c r="D79" s="374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ref="A80:A84" si="21">A79+1</f>
        <v>3</v>
      </c>
      <c r="B80" s="496"/>
      <c r="C80" s="374"/>
      <c r="D80" s="374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1"/>
        <v>4</v>
      </c>
      <c r="B81" s="496"/>
      <c r="C81" s="374"/>
      <c r="D81" s="374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1"/>
        <v>5</v>
      </c>
      <c r="B82" s="496"/>
      <c r="C82" s="374"/>
      <c r="D82" s="374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1"/>
        <v>6</v>
      </c>
      <c r="B83" s="496"/>
      <c r="C83" s="374"/>
      <c r="D83" s="374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0" customHeight="1">
      <c r="A84" s="495">
        <f t="shared" si="21"/>
        <v>7</v>
      </c>
      <c r="B84" s="496"/>
      <c r="C84" s="374"/>
      <c r="D84" s="374"/>
      <c r="E84" s="32"/>
      <c r="F84" s="496"/>
      <c r="G84" s="496"/>
      <c r="H84" s="496"/>
      <c r="I84" s="496"/>
      <c r="J84" s="496"/>
      <c r="K84" s="497"/>
      <c r="L84" s="498"/>
      <c r="M84" s="498"/>
      <c r="N84" s="498"/>
      <c r="O84" s="498"/>
      <c r="P84" s="498"/>
      <c r="Q84" s="498"/>
      <c r="R84" s="498"/>
      <c r="S84" s="499"/>
      <c r="T84" s="500"/>
      <c r="U84" s="500"/>
      <c r="V84" s="500"/>
      <c r="W84" s="500"/>
      <c r="X84" s="501"/>
      <c r="Y84" s="501"/>
      <c r="Z84" s="501"/>
      <c r="AA84" s="501"/>
      <c r="AB84" s="501"/>
      <c r="AC84" s="501"/>
      <c r="AD84" s="502"/>
      <c r="AF84" s="50"/>
    </row>
    <row r="85" spans="1:32" ht="36" thickBot="1">
      <c r="A85" s="488" t="s">
        <v>597</v>
      </c>
      <c r="B85" s="488"/>
      <c r="C85" s="488"/>
      <c r="D85" s="488"/>
      <c r="E85" s="488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89" t="s">
        <v>111</v>
      </c>
      <c r="B86" s="490"/>
      <c r="C86" s="516" t="s">
        <v>52</v>
      </c>
      <c r="D86" s="516"/>
      <c r="E86" s="516" t="s">
        <v>53</v>
      </c>
      <c r="F86" s="516"/>
      <c r="G86" s="516"/>
      <c r="H86" s="516"/>
      <c r="I86" s="516"/>
      <c r="J86" s="516"/>
      <c r="K86" s="516" t="s">
        <v>54</v>
      </c>
      <c r="L86" s="516"/>
      <c r="M86" s="516"/>
      <c r="N86" s="516"/>
      <c r="O86" s="516"/>
      <c r="P86" s="516"/>
      <c r="Q86" s="516"/>
      <c r="R86" s="516"/>
      <c r="S86" s="516"/>
      <c r="T86" s="516" t="s">
        <v>55</v>
      </c>
      <c r="U86" s="516"/>
      <c r="V86" s="516" t="s">
        <v>56</v>
      </c>
      <c r="W86" s="516"/>
      <c r="X86" s="516"/>
      <c r="Y86" s="516" t="s">
        <v>51</v>
      </c>
      <c r="Z86" s="516"/>
      <c r="AA86" s="516"/>
      <c r="AB86" s="516"/>
      <c r="AC86" s="516"/>
      <c r="AD86" s="517"/>
      <c r="AF86" s="50"/>
    </row>
    <row r="87" spans="1:32" ht="30.75" customHeight="1">
      <c r="A87" s="503">
        <v>1</v>
      </c>
      <c r="B87" s="504"/>
      <c r="C87" s="518"/>
      <c r="D87" s="518"/>
      <c r="E87" s="518"/>
      <c r="F87" s="518"/>
      <c r="G87" s="518"/>
      <c r="H87" s="518"/>
      <c r="I87" s="518"/>
      <c r="J87" s="518"/>
      <c r="K87" s="518"/>
      <c r="L87" s="518"/>
      <c r="M87" s="518"/>
      <c r="N87" s="518"/>
      <c r="O87" s="518"/>
      <c r="P87" s="518"/>
      <c r="Q87" s="518"/>
      <c r="R87" s="518"/>
      <c r="S87" s="518"/>
      <c r="T87" s="518"/>
      <c r="U87" s="518"/>
      <c r="V87" s="519"/>
      <c r="W87" s="519"/>
      <c r="X87" s="519"/>
      <c r="Y87" s="520"/>
      <c r="Z87" s="520"/>
      <c r="AA87" s="520"/>
      <c r="AB87" s="520"/>
      <c r="AC87" s="520"/>
      <c r="AD87" s="521"/>
      <c r="AF87" s="50"/>
    </row>
    <row r="88" spans="1:32" ht="30.75" customHeight="1">
      <c r="A88" s="495">
        <v>2</v>
      </c>
      <c r="B88" s="496"/>
      <c r="C88" s="529"/>
      <c r="D88" s="529"/>
      <c r="E88" s="529"/>
      <c r="F88" s="529"/>
      <c r="G88" s="529"/>
      <c r="H88" s="529"/>
      <c r="I88" s="529"/>
      <c r="J88" s="529"/>
      <c r="K88" s="529"/>
      <c r="L88" s="529"/>
      <c r="M88" s="529"/>
      <c r="N88" s="529"/>
      <c r="O88" s="529"/>
      <c r="P88" s="529"/>
      <c r="Q88" s="529"/>
      <c r="R88" s="529"/>
      <c r="S88" s="529"/>
      <c r="T88" s="530"/>
      <c r="U88" s="530"/>
      <c r="V88" s="531"/>
      <c r="W88" s="531"/>
      <c r="X88" s="531"/>
      <c r="Y88" s="522"/>
      <c r="Z88" s="522"/>
      <c r="AA88" s="522"/>
      <c r="AB88" s="522"/>
      <c r="AC88" s="522"/>
      <c r="AD88" s="523"/>
      <c r="AF88" s="50"/>
    </row>
    <row r="89" spans="1:32" ht="30.75" customHeight="1" thickBot="1">
      <c r="A89" s="524">
        <v>3</v>
      </c>
      <c r="B89" s="525"/>
      <c r="C89" s="526"/>
      <c r="D89" s="526"/>
      <c r="E89" s="526"/>
      <c r="F89" s="526"/>
      <c r="G89" s="526"/>
      <c r="H89" s="526"/>
      <c r="I89" s="526"/>
      <c r="J89" s="526"/>
      <c r="K89" s="526"/>
      <c r="L89" s="526"/>
      <c r="M89" s="526"/>
      <c r="N89" s="526"/>
      <c r="O89" s="526"/>
      <c r="P89" s="526"/>
      <c r="Q89" s="526"/>
      <c r="R89" s="526"/>
      <c r="S89" s="526"/>
      <c r="T89" s="526"/>
      <c r="U89" s="526"/>
      <c r="V89" s="526"/>
      <c r="W89" s="526"/>
      <c r="X89" s="526"/>
      <c r="Y89" s="527"/>
      <c r="Z89" s="527"/>
      <c r="AA89" s="527"/>
      <c r="AB89" s="527"/>
      <c r="AC89" s="527"/>
      <c r="AD89" s="528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FAE0-92FA-4938-ACCA-D9EB3FE050C5}">
  <dimension ref="A1:AF88"/>
  <sheetViews>
    <sheetView view="pageBreakPreview" zoomScale="70" zoomScaleNormal="72" zoomScaleSheetLayoutView="70" workbookViewId="0">
      <selection activeCell="L23" sqref="L2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10.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598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386" t="s">
        <v>17</v>
      </c>
      <c r="L5" s="386" t="s">
        <v>18</v>
      </c>
      <c r="M5" s="386" t="s">
        <v>19</v>
      </c>
      <c r="N5" s="3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5017</v>
      </c>
      <c r="K6" s="15">
        <f>L6+5099+3648+1950+5173+5222+3871+2279+3624</f>
        <v>35883</v>
      </c>
      <c r="L6" s="15">
        <f>2686+2331</f>
        <v>5017</v>
      </c>
      <c r="M6" s="15">
        <f t="shared" ref="M6" si="0">L6-N6</f>
        <v>5017</v>
      </c>
      <c r="N6" s="15">
        <v>0</v>
      </c>
      <c r="O6" s="58">
        <f t="shared" ref="O6" si="1">IF(L6=0,"0",N6/L6)</f>
        <v>0</v>
      </c>
      <c r="P6" s="39">
        <f t="shared" ref="P6" si="2">IF(L6=0,"0",(24-Q6))</f>
        <v>24</v>
      </c>
      <c r="Q6" s="40">
        <f t="shared" ref="Q6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" si="4">IF(J6=0,"0",(L6/J6))</f>
        <v>1</v>
      </c>
      <c r="AC6" s="9">
        <f t="shared" ref="AC6" si="5">IF(P6=0,"0",(P6/24))</f>
        <v>1</v>
      </c>
      <c r="AD6" s="10">
        <f t="shared" ref="AD6" si="6">AC6*AB6*(1-O6)</f>
        <v>1</v>
      </c>
      <c r="AE6" s="36">
        <f>$AD$22</f>
        <v>0.41666666666666669</v>
      </c>
      <c r="AF6" s="84">
        <f t="shared" ref="AF6" si="7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143</v>
      </c>
      <c r="E7" s="53" t="s">
        <v>519</v>
      </c>
      <c r="F7" s="12" t="s">
        <v>136</v>
      </c>
      <c r="G7" s="12">
        <v>1</v>
      </c>
      <c r="H7" s="13">
        <v>24</v>
      </c>
      <c r="I7" s="31">
        <v>4000</v>
      </c>
      <c r="J7" s="14">
        <v>4267</v>
      </c>
      <c r="K7" s="15">
        <f>L7+4267</f>
        <v>4267</v>
      </c>
      <c r="L7" s="15"/>
      <c r="M7" s="15">
        <f t="shared" ref="M7:M22" si="8">L7-N7</f>
        <v>0</v>
      </c>
      <c r="N7" s="15">
        <v>0</v>
      </c>
      <c r="O7" s="58" t="str">
        <f t="shared" ref="O7:O23" si="9">IF(L7=0,"0",N7/L7)</f>
        <v>0</v>
      </c>
      <c r="P7" s="39" t="str">
        <f t="shared" ref="P7:P22" si="10">IF(L7=0,"0",(24-Q7))</f>
        <v>0</v>
      </c>
      <c r="Q7" s="40">
        <f t="shared" ref="Q7:Q22" si="11">SUM(R7:AA7)</f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ref="AB7:AB22" si="12">IF(J7=0,"0",(L7/J7))</f>
        <v>0</v>
      </c>
      <c r="AC7" s="9">
        <f t="shared" ref="AC7:AC22" si="13">IF(P7=0,"0",(P7/24))</f>
        <v>0</v>
      </c>
      <c r="AD7" s="10">
        <f t="shared" ref="AD7:AD22" si="14">AC7*AB7*(1-O7)</f>
        <v>0</v>
      </c>
      <c r="AE7" s="36">
        <f t="shared" ref="AE7:AE22" si="15">$AD$23</f>
        <v>0.62009803921568618</v>
      </c>
      <c r="AF7" s="84">
        <f t="shared" ref="AF7:AF22" si="16">A7</f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115</v>
      </c>
      <c r="E8" s="53" t="s">
        <v>247</v>
      </c>
      <c r="F8" s="30" t="s">
        <v>124</v>
      </c>
      <c r="G8" s="33">
        <v>1</v>
      </c>
      <c r="H8" s="35">
        <v>24</v>
      </c>
      <c r="I8" s="7">
        <v>100000</v>
      </c>
      <c r="J8" s="14">
        <v>1036</v>
      </c>
      <c r="K8" s="15">
        <f>L8+4389+4644+4956+4921+4171+5168+4891+5201+4835+5114+5236+5245+1099+4566+5258+5302+5279+5324+5264+2359+4584+5168</f>
        <v>104010</v>
      </c>
      <c r="L8" s="15">
        <v>1036</v>
      </c>
      <c r="M8" s="15">
        <f t="shared" si="8"/>
        <v>1036</v>
      </c>
      <c r="N8" s="15">
        <v>0</v>
      </c>
      <c r="O8" s="58">
        <f t="shared" si="9"/>
        <v>0</v>
      </c>
      <c r="P8" s="39">
        <f t="shared" si="10"/>
        <v>5</v>
      </c>
      <c r="Q8" s="40">
        <f t="shared" si="11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12"/>
        <v>1</v>
      </c>
      <c r="AC8" s="9">
        <f t="shared" si="13"/>
        <v>0.20833333333333334</v>
      </c>
      <c r="AD8" s="10">
        <f t="shared" si="14"/>
        <v>0.20833333333333334</v>
      </c>
      <c r="AE8" s="36">
        <f t="shared" si="15"/>
        <v>0.62009803921568618</v>
      </c>
      <c r="AF8" s="84">
        <f t="shared" si="16"/>
        <v>3</v>
      </c>
    </row>
    <row r="9" spans="1:32" ht="27" customHeight="1">
      <c r="A9" s="95">
        <v>3</v>
      </c>
      <c r="B9" s="11" t="s">
        <v>57</v>
      </c>
      <c r="C9" s="11" t="s">
        <v>112</v>
      </c>
      <c r="D9" s="52" t="s">
        <v>127</v>
      </c>
      <c r="E9" s="53" t="s">
        <v>141</v>
      </c>
      <c r="F9" s="30" t="s">
        <v>124</v>
      </c>
      <c r="G9" s="33">
        <v>1</v>
      </c>
      <c r="H9" s="35">
        <v>24</v>
      </c>
      <c r="I9" s="7">
        <v>22000</v>
      </c>
      <c r="J9" s="14">
        <v>4150</v>
      </c>
      <c r="K9" s="15">
        <f>L9</f>
        <v>4150</v>
      </c>
      <c r="L9" s="15">
        <f>1490+2660</f>
        <v>4150</v>
      </c>
      <c r="M9" s="15">
        <f t="shared" ref="M9" si="17">L9-N9</f>
        <v>4150</v>
      </c>
      <c r="N9" s="15">
        <v>0</v>
      </c>
      <c r="O9" s="58">
        <f t="shared" ref="O9" si="18">IF(L9=0,"0",N9/L9)</f>
        <v>0</v>
      </c>
      <c r="P9" s="39">
        <f t="shared" ref="P9" si="19">IF(L9=0,"0",(24-Q9))</f>
        <v>18</v>
      </c>
      <c r="Q9" s="40">
        <f t="shared" ref="Q9" si="20">SUM(R9:AA9)</f>
        <v>6</v>
      </c>
      <c r="R9" s="7"/>
      <c r="S9" s="6"/>
      <c r="T9" s="16">
        <v>6</v>
      </c>
      <c r="U9" s="16"/>
      <c r="V9" s="17"/>
      <c r="W9" s="5"/>
      <c r="X9" s="16"/>
      <c r="Y9" s="16"/>
      <c r="Z9" s="16"/>
      <c r="AA9" s="18"/>
      <c r="AB9" s="8">
        <f t="shared" ref="AB9" si="21">IF(J9=0,"0",(L9/J9))</f>
        <v>1</v>
      </c>
      <c r="AC9" s="9">
        <f t="shared" ref="AC9" si="22">IF(P9=0,"0",(P9/24))</f>
        <v>0.75</v>
      </c>
      <c r="AD9" s="10">
        <f t="shared" ref="AD9" si="23">AC9*AB9*(1-O9)</f>
        <v>0.75</v>
      </c>
      <c r="AE9" s="36">
        <f t="shared" si="15"/>
        <v>0.62009803921568618</v>
      </c>
      <c r="AF9" s="84">
        <f t="shared" ref="AF9" si="24">A9</f>
        <v>3</v>
      </c>
    </row>
    <row r="10" spans="1:32" ht="27" customHeight="1">
      <c r="A10" s="96">
        <v>4</v>
      </c>
      <c r="B10" s="11" t="s">
        <v>57</v>
      </c>
      <c r="C10" s="11" t="s">
        <v>112</v>
      </c>
      <c r="D10" s="52" t="s">
        <v>338</v>
      </c>
      <c r="E10" s="53" t="s">
        <v>599</v>
      </c>
      <c r="F10" s="30" t="s">
        <v>137</v>
      </c>
      <c r="G10" s="33">
        <v>1</v>
      </c>
      <c r="H10" s="35">
        <v>24</v>
      </c>
      <c r="I10" s="7">
        <v>25000</v>
      </c>
      <c r="J10" s="14">
        <v>3597</v>
      </c>
      <c r="K10" s="15">
        <f>L10</f>
        <v>3597</v>
      </c>
      <c r="L10" s="15">
        <f>853+2744</f>
        <v>3597</v>
      </c>
      <c r="M10" s="15">
        <f t="shared" si="8"/>
        <v>3597</v>
      </c>
      <c r="N10" s="15">
        <v>0</v>
      </c>
      <c r="O10" s="58">
        <f t="shared" si="9"/>
        <v>0</v>
      </c>
      <c r="P10" s="39">
        <f t="shared" si="10"/>
        <v>16</v>
      </c>
      <c r="Q10" s="40">
        <f t="shared" si="11"/>
        <v>8</v>
      </c>
      <c r="R10" s="7"/>
      <c r="S10" s="6">
        <v>8</v>
      </c>
      <c r="T10" s="16"/>
      <c r="U10" s="16"/>
      <c r="V10" s="17"/>
      <c r="W10" s="5"/>
      <c r="X10" s="16"/>
      <c r="Y10" s="16"/>
      <c r="Z10" s="16"/>
      <c r="AA10" s="18"/>
      <c r="AB10" s="8">
        <f t="shared" si="12"/>
        <v>1</v>
      </c>
      <c r="AC10" s="9">
        <f t="shared" si="13"/>
        <v>0.66666666666666663</v>
      </c>
      <c r="AD10" s="10">
        <f t="shared" si="14"/>
        <v>0.66666666666666663</v>
      </c>
      <c r="AE10" s="36">
        <f t="shared" si="15"/>
        <v>0.62009803921568618</v>
      </c>
      <c r="AF10" s="84">
        <f t="shared" si="16"/>
        <v>4</v>
      </c>
    </row>
    <row r="11" spans="1:32" ht="27" customHeight="1">
      <c r="A11" s="96">
        <v>5</v>
      </c>
      <c r="B11" s="11" t="s">
        <v>57</v>
      </c>
      <c r="C11" s="34" t="s">
        <v>121</v>
      </c>
      <c r="D11" s="52"/>
      <c r="E11" s="53" t="s">
        <v>162</v>
      </c>
      <c r="F11" s="30" t="s">
        <v>600</v>
      </c>
      <c r="G11" s="33">
        <v>4</v>
      </c>
      <c r="H11" s="35">
        <v>24</v>
      </c>
      <c r="I11" s="7">
        <v>250000</v>
      </c>
      <c r="J11" s="5">
        <v>25160</v>
      </c>
      <c r="K11" s="15">
        <f>L11</f>
        <v>25160</v>
      </c>
      <c r="L11" s="15">
        <f>1140*4+5150*4</f>
        <v>25160</v>
      </c>
      <c r="M11" s="15">
        <f t="shared" si="8"/>
        <v>25160</v>
      </c>
      <c r="N11" s="15">
        <v>0</v>
      </c>
      <c r="O11" s="58">
        <f t="shared" si="9"/>
        <v>0</v>
      </c>
      <c r="P11" s="39">
        <f t="shared" si="10"/>
        <v>19</v>
      </c>
      <c r="Q11" s="40">
        <f t="shared" si="11"/>
        <v>5</v>
      </c>
      <c r="R11" s="7"/>
      <c r="S11" s="6"/>
      <c r="T11" s="16">
        <v>5</v>
      </c>
      <c r="U11" s="16"/>
      <c r="V11" s="17"/>
      <c r="W11" s="5"/>
      <c r="X11" s="16"/>
      <c r="Y11" s="16"/>
      <c r="Z11" s="16"/>
      <c r="AA11" s="18"/>
      <c r="AB11" s="8">
        <f t="shared" si="12"/>
        <v>1</v>
      </c>
      <c r="AC11" s="9">
        <f t="shared" si="13"/>
        <v>0.79166666666666663</v>
      </c>
      <c r="AD11" s="10">
        <f>AC11*AB11*(1-O11)</f>
        <v>0.79166666666666663</v>
      </c>
      <c r="AE11" s="36">
        <f t="shared" si="15"/>
        <v>0.62009803921568618</v>
      </c>
      <c r="AF11" s="84">
        <f t="shared" si="16"/>
        <v>5</v>
      </c>
    </row>
    <row r="12" spans="1:32" ht="30" customHeight="1">
      <c r="A12" s="96">
        <v>6</v>
      </c>
      <c r="B12" s="11" t="s">
        <v>57</v>
      </c>
      <c r="C12" s="34" t="s">
        <v>121</v>
      </c>
      <c r="D12" s="52" t="s">
        <v>115</v>
      </c>
      <c r="E12" s="53" t="s">
        <v>475</v>
      </c>
      <c r="F12" s="30" t="s">
        <v>119</v>
      </c>
      <c r="G12" s="12">
        <v>1</v>
      </c>
      <c r="H12" s="13">
        <v>28</v>
      </c>
      <c r="I12" s="7">
        <v>69000</v>
      </c>
      <c r="J12" s="14">
        <v>4151</v>
      </c>
      <c r="K12" s="15">
        <f>L12+2806+5234+5319+5378+5411+789+4935+3007</f>
        <v>37030</v>
      </c>
      <c r="L12" s="15">
        <f>2633+1518</f>
        <v>4151</v>
      </c>
      <c r="M12" s="15">
        <f t="shared" si="8"/>
        <v>4151</v>
      </c>
      <c r="N12" s="15">
        <v>0</v>
      </c>
      <c r="O12" s="58">
        <f t="shared" si="9"/>
        <v>0</v>
      </c>
      <c r="P12" s="39">
        <f t="shared" si="10"/>
        <v>21</v>
      </c>
      <c r="Q12" s="40">
        <f t="shared" si="11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12"/>
        <v>1</v>
      </c>
      <c r="AC12" s="9">
        <f t="shared" si="13"/>
        <v>0.875</v>
      </c>
      <c r="AD12" s="10">
        <f t="shared" ref="AD12:AD15" si="25">AC12*AB12*(1-O12)</f>
        <v>0.875</v>
      </c>
      <c r="AE12" s="36">
        <f t="shared" si="15"/>
        <v>0.62009803921568618</v>
      </c>
      <c r="AF12" s="84">
        <f t="shared" si="16"/>
        <v>6</v>
      </c>
    </row>
    <row r="13" spans="1:32" ht="27" customHeight="1">
      <c r="A13" s="96">
        <v>7</v>
      </c>
      <c r="B13" s="11" t="s">
        <v>57</v>
      </c>
      <c r="C13" s="11" t="s">
        <v>121</v>
      </c>
      <c r="D13" s="52" t="s">
        <v>412</v>
      </c>
      <c r="E13" s="53" t="s">
        <v>457</v>
      </c>
      <c r="F13" s="30" t="s">
        <v>119</v>
      </c>
      <c r="G13" s="33">
        <v>1</v>
      </c>
      <c r="H13" s="35">
        <v>24</v>
      </c>
      <c r="I13" s="7">
        <v>69000</v>
      </c>
      <c r="J13" s="14">
        <v>3115</v>
      </c>
      <c r="K13" s="15">
        <f>L13+2872+5295+4231+5295+5295+5281+840+3474+4762</f>
        <v>40460</v>
      </c>
      <c r="L13" s="15">
        <f>2667+448</f>
        <v>3115</v>
      </c>
      <c r="M13" s="15">
        <f t="shared" si="8"/>
        <v>3115</v>
      </c>
      <c r="N13" s="15">
        <v>0</v>
      </c>
      <c r="O13" s="58">
        <f t="shared" si="9"/>
        <v>0</v>
      </c>
      <c r="P13" s="39">
        <f t="shared" si="10"/>
        <v>17</v>
      </c>
      <c r="Q13" s="40">
        <f t="shared" si="11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12"/>
        <v>1</v>
      </c>
      <c r="AC13" s="9">
        <f t="shared" si="13"/>
        <v>0.70833333333333337</v>
      </c>
      <c r="AD13" s="10">
        <f t="shared" si="25"/>
        <v>0.70833333333333337</v>
      </c>
      <c r="AE13" s="36">
        <f t="shared" si="15"/>
        <v>0.62009803921568618</v>
      </c>
      <c r="AF13" s="84">
        <f t="shared" si="16"/>
        <v>7</v>
      </c>
    </row>
    <row r="14" spans="1:32" ht="27" customHeight="1">
      <c r="A14" s="96">
        <v>8</v>
      </c>
      <c r="B14" s="11" t="s">
        <v>57</v>
      </c>
      <c r="C14" s="34" t="s">
        <v>112</v>
      </c>
      <c r="D14" s="52" t="s">
        <v>601</v>
      </c>
      <c r="E14" s="53" t="s">
        <v>602</v>
      </c>
      <c r="F14" s="30" t="s">
        <v>603</v>
      </c>
      <c r="G14" s="33">
        <v>1</v>
      </c>
      <c r="H14" s="35">
        <v>24</v>
      </c>
      <c r="I14" s="7">
        <v>3500</v>
      </c>
      <c r="J14" s="5">
        <v>5092</v>
      </c>
      <c r="K14" s="15">
        <f>L14</f>
        <v>5092</v>
      </c>
      <c r="L14" s="15">
        <f>2163+2929</f>
        <v>5092</v>
      </c>
      <c r="M14" s="15">
        <f t="shared" si="8"/>
        <v>5092</v>
      </c>
      <c r="N14" s="15">
        <v>0</v>
      </c>
      <c r="O14" s="58">
        <f t="shared" si="9"/>
        <v>0</v>
      </c>
      <c r="P14" s="39">
        <f t="shared" si="10"/>
        <v>23</v>
      </c>
      <c r="Q14" s="40">
        <f t="shared" si="11"/>
        <v>1</v>
      </c>
      <c r="R14" s="7"/>
      <c r="S14" s="6"/>
      <c r="T14" s="16">
        <v>1</v>
      </c>
      <c r="U14" s="16"/>
      <c r="V14" s="17"/>
      <c r="W14" s="5"/>
      <c r="X14" s="16"/>
      <c r="Y14" s="16"/>
      <c r="Z14" s="16"/>
      <c r="AA14" s="18"/>
      <c r="AB14" s="8">
        <f t="shared" si="12"/>
        <v>1</v>
      </c>
      <c r="AC14" s="9">
        <f t="shared" si="13"/>
        <v>0.95833333333333337</v>
      </c>
      <c r="AD14" s="10">
        <f>AC14*AB14*(1-O14)</f>
        <v>0.95833333333333337</v>
      </c>
      <c r="AE14" s="36">
        <f t="shared" si="15"/>
        <v>0.62009803921568618</v>
      </c>
      <c r="AF14" s="84">
        <f t="shared" si="16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146</v>
      </c>
      <c r="F15" s="30" t="s">
        <v>150</v>
      </c>
      <c r="G15" s="33">
        <v>1</v>
      </c>
      <c r="H15" s="35">
        <v>24</v>
      </c>
      <c r="I15" s="7">
        <v>300</v>
      </c>
      <c r="J15" s="5">
        <v>339</v>
      </c>
      <c r="K15" s="15">
        <f>L15+339</f>
        <v>339</v>
      </c>
      <c r="L15" s="15"/>
      <c r="M15" s="15">
        <f t="shared" si="8"/>
        <v>0</v>
      </c>
      <c r="N15" s="15">
        <v>0</v>
      </c>
      <c r="O15" s="58" t="str">
        <f t="shared" si="9"/>
        <v>0</v>
      </c>
      <c r="P15" s="39" t="str">
        <f t="shared" si="10"/>
        <v>0</v>
      </c>
      <c r="Q15" s="40">
        <f t="shared" si="11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12"/>
        <v>0</v>
      </c>
      <c r="AC15" s="9">
        <f t="shared" si="13"/>
        <v>0</v>
      </c>
      <c r="AD15" s="10">
        <f t="shared" si="25"/>
        <v>0</v>
      </c>
      <c r="AE15" s="36">
        <f t="shared" si="15"/>
        <v>0.62009803921568618</v>
      </c>
      <c r="AF15" s="84">
        <f t="shared" si="16"/>
        <v>9</v>
      </c>
    </row>
    <row r="16" spans="1:32" ht="27" customHeight="1">
      <c r="A16" s="95">
        <v>10</v>
      </c>
      <c r="B16" s="11" t="s">
        <v>57</v>
      </c>
      <c r="C16" s="34" t="s">
        <v>269</v>
      </c>
      <c r="D16" s="52"/>
      <c r="E16" s="53" t="s">
        <v>585</v>
      </c>
      <c r="F16" s="12">
        <v>8301</v>
      </c>
      <c r="G16" s="12" t="s">
        <v>272</v>
      </c>
      <c r="H16" s="13">
        <v>24</v>
      </c>
      <c r="I16" s="31">
        <f>3900+2000</f>
        <v>5900</v>
      </c>
      <c r="J16" s="14">
        <v>3839</v>
      </c>
      <c r="K16" s="15">
        <f>L16+2965</f>
        <v>6804</v>
      </c>
      <c r="L16" s="15">
        <f>538+3301</f>
        <v>3839</v>
      </c>
      <c r="M16" s="15">
        <f t="shared" si="8"/>
        <v>3839</v>
      </c>
      <c r="N16" s="15">
        <v>0</v>
      </c>
      <c r="O16" s="58">
        <f t="shared" si="9"/>
        <v>0</v>
      </c>
      <c r="P16" s="39">
        <f t="shared" si="10"/>
        <v>17</v>
      </c>
      <c r="Q16" s="40">
        <f t="shared" si="11"/>
        <v>7</v>
      </c>
      <c r="R16" s="7"/>
      <c r="S16" s="6"/>
      <c r="T16" s="16"/>
      <c r="U16" s="16"/>
      <c r="V16" s="17"/>
      <c r="W16" s="5">
        <v>7</v>
      </c>
      <c r="X16" s="16"/>
      <c r="Y16" s="16"/>
      <c r="Z16" s="16"/>
      <c r="AA16" s="18"/>
      <c r="AB16" s="8">
        <f t="shared" si="12"/>
        <v>1</v>
      </c>
      <c r="AC16" s="9">
        <f t="shared" si="13"/>
        <v>0.70833333333333337</v>
      </c>
      <c r="AD16" s="10">
        <f t="shared" si="14"/>
        <v>0.70833333333333337</v>
      </c>
      <c r="AE16" s="36">
        <f t="shared" si="15"/>
        <v>0.62009803921568618</v>
      </c>
      <c r="AF16" s="84">
        <f t="shared" si="16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588</v>
      </c>
      <c r="E17" s="53" t="s">
        <v>564</v>
      </c>
      <c r="F17" s="30" t="s">
        <v>137</v>
      </c>
      <c r="G17" s="12">
        <v>1</v>
      </c>
      <c r="H17" s="13">
        <v>24</v>
      </c>
      <c r="I17" s="7">
        <v>1500</v>
      </c>
      <c r="J17" s="14">
        <v>3989</v>
      </c>
      <c r="K17" s="15">
        <f>L17</f>
        <v>0</v>
      </c>
      <c r="L17" s="15"/>
      <c r="M17" s="15">
        <f t="shared" si="8"/>
        <v>0</v>
      </c>
      <c r="N17" s="15">
        <v>0</v>
      </c>
      <c r="O17" s="58" t="str">
        <f t="shared" si="9"/>
        <v>0</v>
      </c>
      <c r="P17" s="39" t="str">
        <f t="shared" si="10"/>
        <v>0</v>
      </c>
      <c r="Q17" s="40">
        <f t="shared" si="11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12"/>
        <v>0</v>
      </c>
      <c r="AC17" s="9">
        <f t="shared" si="13"/>
        <v>0</v>
      </c>
      <c r="AD17" s="10">
        <f t="shared" si="14"/>
        <v>0</v>
      </c>
      <c r="AE17" s="36">
        <f t="shared" si="15"/>
        <v>0.62009803921568618</v>
      </c>
      <c r="AF17" s="84">
        <f t="shared" si="16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127</v>
      </c>
      <c r="E18" s="53" t="s">
        <v>316</v>
      </c>
      <c r="F18" s="30" t="s">
        <v>323</v>
      </c>
      <c r="G18" s="12">
        <v>4</v>
      </c>
      <c r="H18" s="13">
        <v>24</v>
      </c>
      <c r="I18" s="7">
        <v>15000</v>
      </c>
      <c r="J18" s="14">
        <v>22960</v>
      </c>
      <c r="K18" s="15">
        <f>L18</f>
        <v>22960</v>
      </c>
      <c r="L18" s="15">
        <f>2634*4+3106*4</f>
        <v>22960</v>
      </c>
      <c r="M18" s="15">
        <f t="shared" si="8"/>
        <v>22960</v>
      </c>
      <c r="N18" s="15">
        <v>0</v>
      </c>
      <c r="O18" s="58">
        <f t="shared" si="9"/>
        <v>0</v>
      </c>
      <c r="P18" s="39">
        <f t="shared" si="10"/>
        <v>24</v>
      </c>
      <c r="Q18" s="40">
        <f t="shared" si="11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12"/>
        <v>1</v>
      </c>
      <c r="AC18" s="9">
        <f t="shared" si="13"/>
        <v>1</v>
      </c>
      <c r="AD18" s="10">
        <f t="shared" si="14"/>
        <v>1</v>
      </c>
      <c r="AE18" s="36">
        <f t="shared" si="15"/>
        <v>0.62009803921568618</v>
      </c>
      <c r="AF18" s="84">
        <f t="shared" si="16"/>
        <v>12</v>
      </c>
    </row>
    <row r="19" spans="1:32" ht="27" customHeight="1">
      <c r="A19" s="96">
        <v>13</v>
      </c>
      <c r="B19" s="11" t="s">
        <v>57</v>
      </c>
      <c r="C19" s="11" t="s">
        <v>121</v>
      </c>
      <c r="D19" s="52"/>
      <c r="E19" s="53" t="s">
        <v>604</v>
      </c>
      <c r="F19" s="30" t="s">
        <v>150</v>
      </c>
      <c r="G19" s="33" t="s">
        <v>605</v>
      </c>
      <c r="H19" s="35">
        <v>24</v>
      </c>
      <c r="I19" s="7">
        <v>3000</v>
      </c>
      <c r="J19" s="14">
        <v>4155</v>
      </c>
      <c r="K19" s="15">
        <f>L19</f>
        <v>4155</v>
      </c>
      <c r="L19" s="15">
        <f>1843+2312</f>
        <v>4155</v>
      </c>
      <c r="M19" s="15">
        <f t="shared" si="8"/>
        <v>4155</v>
      </c>
      <c r="N19" s="15">
        <v>0</v>
      </c>
      <c r="O19" s="58">
        <f t="shared" si="9"/>
        <v>0</v>
      </c>
      <c r="P19" s="39">
        <f t="shared" si="10"/>
        <v>22</v>
      </c>
      <c r="Q19" s="40">
        <f t="shared" si="11"/>
        <v>2</v>
      </c>
      <c r="R19" s="7"/>
      <c r="S19" s="6"/>
      <c r="T19" s="16">
        <v>2</v>
      </c>
      <c r="U19" s="16"/>
      <c r="V19" s="17"/>
      <c r="W19" s="5"/>
      <c r="X19" s="16"/>
      <c r="Y19" s="16"/>
      <c r="Z19" s="16"/>
      <c r="AA19" s="18"/>
      <c r="AB19" s="8">
        <f t="shared" si="12"/>
        <v>1</v>
      </c>
      <c r="AC19" s="9">
        <f t="shared" si="13"/>
        <v>0.91666666666666663</v>
      </c>
      <c r="AD19" s="10">
        <f t="shared" si="14"/>
        <v>0.91666666666666663</v>
      </c>
      <c r="AE19" s="36">
        <f t="shared" si="15"/>
        <v>0.62009803921568618</v>
      </c>
      <c r="AF19" s="84">
        <f t="shared" si="16"/>
        <v>13</v>
      </c>
    </row>
    <row r="20" spans="1:32" ht="27" customHeight="1">
      <c r="A20" s="96">
        <v>14</v>
      </c>
      <c r="B20" s="11" t="s">
        <v>57</v>
      </c>
      <c r="C20" s="34" t="s">
        <v>112</v>
      </c>
      <c r="D20" s="52" t="s">
        <v>155</v>
      </c>
      <c r="E20" s="53" t="s">
        <v>280</v>
      </c>
      <c r="F20" s="30" t="s">
        <v>124</v>
      </c>
      <c r="G20" s="33">
        <v>1</v>
      </c>
      <c r="H20" s="35">
        <v>24</v>
      </c>
      <c r="I20" s="7">
        <v>80000</v>
      </c>
      <c r="J20" s="5">
        <v>5099</v>
      </c>
      <c r="K20" s="15">
        <f>L20+1964+2699+1215+3702+2680+927+2666+4081+2052+4322+5042+2742+5050+5068+4805+2245+4856+4964</f>
        <v>66179</v>
      </c>
      <c r="L20" s="15">
        <f>2495+2604</f>
        <v>5099</v>
      </c>
      <c r="M20" s="15">
        <f t="shared" si="8"/>
        <v>5099</v>
      </c>
      <c r="N20" s="15">
        <v>0</v>
      </c>
      <c r="O20" s="58">
        <f t="shared" si="9"/>
        <v>0</v>
      </c>
      <c r="P20" s="39">
        <f t="shared" si="10"/>
        <v>24</v>
      </c>
      <c r="Q20" s="40">
        <f t="shared" si="11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12"/>
        <v>1</v>
      </c>
      <c r="AC20" s="9">
        <f t="shared" si="13"/>
        <v>1</v>
      </c>
      <c r="AD20" s="10">
        <f>AC20*AB20*(1-O20)</f>
        <v>1</v>
      </c>
      <c r="AE20" s="36">
        <f t="shared" si="15"/>
        <v>0.62009803921568618</v>
      </c>
      <c r="AF20" s="84">
        <f t="shared" si="16"/>
        <v>14</v>
      </c>
    </row>
    <row r="21" spans="1:32" ht="27" customHeight="1">
      <c r="A21" s="113">
        <v>15</v>
      </c>
      <c r="B21" s="11" t="s">
        <v>57</v>
      </c>
      <c r="C21" s="34" t="s">
        <v>120</v>
      </c>
      <c r="D21" s="52" t="s">
        <v>115</v>
      </c>
      <c r="E21" s="53" t="s">
        <v>470</v>
      </c>
      <c r="F21" s="30" t="s">
        <v>119</v>
      </c>
      <c r="G21" s="12">
        <v>1</v>
      </c>
      <c r="H21" s="13">
        <v>28</v>
      </c>
      <c r="I21" s="31">
        <v>40000</v>
      </c>
      <c r="J21" s="5">
        <v>2495</v>
      </c>
      <c r="K21" s="15">
        <f>L21+2503+4146+3422+2211+1805+550+1849+2614</f>
        <v>21595</v>
      </c>
      <c r="L21" s="15">
        <v>2495</v>
      </c>
      <c r="M21" s="15">
        <f t="shared" si="8"/>
        <v>2495</v>
      </c>
      <c r="N21" s="15">
        <v>0</v>
      </c>
      <c r="O21" s="58">
        <f t="shared" si="9"/>
        <v>0</v>
      </c>
      <c r="P21" s="39">
        <f t="shared" si="10"/>
        <v>13</v>
      </c>
      <c r="Q21" s="40">
        <f t="shared" si="11"/>
        <v>11</v>
      </c>
      <c r="R21" s="7"/>
      <c r="S21" s="6">
        <v>11</v>
      </c>
      <c r="T21" s="16"/>
      <c r="U21" s="16"/>
      <c r="V21" s="17"/>
      <c r="W21" s="5"/>
      <c r="X21" s="16"/>
      <c r="Y21" s="16"/>
      <c r="Z21" s="16"/>
      <c r="AA21" s="18"/>
      <c r="AB21" s="8">
        <f t="shared" si="12"/>
        <v>1</v>
      </c>
      <c r="AC21" s="9">
        <f t="shared" si="13"/>
        <v>0.54166666666666663</v>
      </c>
      <c r="AD21" s="10">
        <f t="shared" ref="AD21" si="26">AC21*AB21*(1-O21)</f>
        <v>0.54166666666666663</v>
      </c>
      <c r="AE21" s="36">
        <f t="shared" si="15"/>
        <v>0.62009803921568618</v>
      </c>
      <c r="AF21" s="84">
        <f t="shared" si="16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559</v>
      </c>
      <c r="F22" s="12" t="s">
        <v>114</v>
      </c>
      <c r="G22" s="12">
        <v>3</v>
      </c>
      <c r="H22" s="35">
        <v>20</v>
      </c>
      <c r="I22" s="7">
        <v>500000</v>
      </c>
      <c r="J22" s="14">
        <v>30837</v>
      </c>
      <c r="K22" s="15">
        <f>L22+23862+26907+28221</f>
        <v>109827</v>
      </c>
      <c r="L22" s="15">
        <f>10279*3</f>
        <v>30837</v>
      </c>
      <c r="M22" s="15">
        <f t="shared" si="8"/>
        <v>30837</v>
      </c>
      <c r="N22" s="15">
        <v>0</v>
      </c>
      <c r="O22" s="58">
        <f t="shared" si="9"/>
        <v>0</v>
      </c>
      <c r="P22" s="39">
        <f t="shared" si="10"/>
        <v>10</v>
      </c>
      <c r="Q22" s="40">
        <f t="shared" si="11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12"/>
        <v>1</v>
      </c>
      <c r="AC22" s="9">
        <f t="shared" si="13"/>
        <v>0.41666666666666669</v>
      </c>
      <c r="AD22" s="10">
        <f t="shared" si="14"/>
        <v>0.41666666666666669</v>
      </c>
      <c r="AE22" s="36">
        <f t="shared" si="15"/>
        <v>0.62009803921568618</v>
      </c>
      <c r="AF22" s="84">
        <f t="shared" si="16"/>
        <v>16</v>
      </c>
    </row>
    <row r="23" spans="1:32" ht="31.5" customHeight="1" thickBot="1">
      <c r="A23" s="424" t="s">
        <v>34</v>
      </c>
      <c r="B23" s="425"/>
      <c r="C23" s="425"/>
      <c r="D23" s="425"/>
      <c r="E23" s="425"/>
      <c r="F23" s="425"/>
      <c r="G23" s="425"/>
      <c r="H23" s="426"/>
      <c r="I23" s="22">
        <f t="shared" ref="I23:N23" si="27">SUM(I6:I22)</f>
        <v>1218200</v>
      </c>
      <c r="J23" s="19">
        <f t="shared" si="27"/>
        <v>129298</v>
      </c>
      <c r="K23" s="20">
        <f t="shared" si="27"/>
        <v>491508</v>
      </c>
      <c r="L23" s="21">
        <f t="shared" si="27"/>
        <v>120703</v>
      </c>
      <c r="M23" s="20">
        <f t="shared" si="27"/>
        <v>120703</v>
      </c>
      <c r="N23" s="21">
        <f t="shared" si="27"/>
        <v>0</v>
      </c>
      <c r="O23" s="41">
        <f t="shared" si="9"/>
        <v>0</v>
      </c>
      <c r="P23" s="42">
        <f t="shared" ref="P23:AA23" si="28">SUM(P6:P22)</f>
        <v>253</v>
      </c>
      <c r="Q23" s="43">
        <f t="shared" si="28"/>
        <v>155</v>
      </c>
      <c r="R23" s="23">
        <f t="shared" si="28"/>
        <v>0</v>
      </c>
      <c r="S23" s="24">
        <f t="shared" si="28"/>
        <v>53</v>
      </c>
      <c r="T23" s="24">
        <f t="shared" si="28"/>
        <v>14</v>
      </c>
      <c r="U23" s="24">
        <f t="shared" si="28"/>
        <v>0</v>
      </c>
      <c r="V23" s="25">
        <f t="shared" si="28"/>
        <v>14</v>
      </c>
      <c r="W23" s="26">
        <f t="shared" si="28"/>
        <v>26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48</v>
      </c>
      <c r="AB23" s="28">
        <f>AVERAGE(AB6:AB22)</f>
        <v>0.82352941176470584</v>
      </c>
      <c r="AC23" s="4">
        <f>AVERAGE(AC6:AC22)</f>
        <v>0.62009803921568618</v>
      </c>
      <c r="AD23" s="4">
        <f>AVERAGE(AD6:AD22)</f>
        <v>0.62009803921568618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7" t="s">
        <v>45</v>
      </c>
      <c r="B50" s="427"/>
      <c r="C50" s="427"/>
      <c r="D50" s="427"/>
      <c r="E50" s="42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8" t="s">
        <v>606</v>
      </c>
      <c r="B51" s="429"/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30"/>
      <c r="N51" s="431" t="s">
        <v>607</v>
      </c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3"/>
    </row>
    <row r="52" spans="1:32" ht="27" customHeight="1">
      <c r="A52" s="434" t="s">
        <v>2</v>
      </c>
      <c r="B52" s="435"/>
      <c r="C52" s="387" t="s">
        <v>46</v>
      </c>
      <c r="D52" s="387" t="s">
        <v>47</v>
      </c>
      <c r="E52" s="387" t="s">
        <v>107</v>
      </c>
      <c r="F52" s="436" t="s">
        <v>106</v>
      </c>
      <c r="G52" s="437"/>
      <c r="H52" s="437"/>
      <c r="I52" s="437"/>
      <c r="J52" s="437"/>
      <c r="K52" s="437"/>
      <c r="L52" s="437"/>
      <c r="M52" s="438"/>
      <c r="N52" s="67" t="s">
        <v>110</v>
      </c>
      <c r="O52" s="387" t="s">
        <v>46</v>
      </c>
      <c r="P52" s="436" t="s">
        <v>47</v>
      </c>
      <c r="Q52" s="439"/>
      <c r="R52" s="436" t="s">
        <v>38</v>
      </c>
      <c r="S52" s="437"/>
      <c r="T52" s="437"/>
      <c r="U52" s="439"/>
      <c r="V52" s="436" t="s">
        <v>48</v>
      </c>
      <c r="W52" s="437"/>
      <c r="X52" s="437"/>
      <c r="Y52" s="437"/>
      <c r="Z52" s="437"/>
      <c r="AA52" s="437"/>
      <c r="AB52" s="437"/>
      <c r="AC52" s="437"/>
      <c r="AD52" s="438"/>
    </row>
    <row r="53" spans="1:32" ht="27" customHeight="1">
      <c r="A53" s="450" t="s">
        <v>120</v>
      </c>
      <c r="B53" s="451"/>
      <c r="C53" s="389" t="s">
        <v>193</v>
      </c>
      <c r="D53" s="389" t="s">
        <v>115</v>
      </c>
      <c r="E53" s="389" t="s">
        <v>470</v>
      </c>
      <c r="F53" s="452" t="s">
        <v>536</v>
      </c>
      <c r="G53" s="453"/>
      <c r="H53" s="453"/>
      <c r="I53" s="453"/>
      <c r="J53" s="453"/>
      <c r="K53" s="453"/>
      <c r="L53" s="453"/>
      <c r="M53" s="454"/>
      <c r="N53" s="388" t="s">
        <v>112</v>
      </c>
      <c r="O53" s="394" t="s">
        <v>148</v>
      </c>
      <c r="P53" s="455" t="s">
        <v>115</v>
      </c>
      <c r="Q53" s="456"/>
      <c r="R53" s="455" t="s">
        <v>608</v>
      </c>
      <c r="S53" s="457"/>
      <c r="T53" s="457"/>
      <c r="U53" s="456"/>
      <c r="V53" s="458" t="s">
        <v>118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120</v>
      </c>
      <c r="B54" s="451"/>
      <c r="C54" s="389" t="s">
        <v>145</v>
      </c>
      <c r="D54" s="389" t="s">
        <v>143</v>
      </c>
      <c r="E54" s="389" t="s">
        <v>376</v>
      </c>
      <c r="F54" s="452" t="s">
        <v>139</v>
      </c>
      <c r="G54" s="453"/>
      <c r="H54" s="453"/>
      <c r="I54" s="453"/>
      <c r="J54" s="453"/>
      <c r="K54" s="453"/>
      <c r="L54" s="453"/>
      <c r="M54" s="454"/>
      <c r="N54" s="388" t="s">
        <v>120</v>
      </c>
      <c r="O54" s="394" t="s">
        <v>193</v>
      </c>
      <c r="P54" s="455" t="s">
        <v>115</v>
      </c>
      <c r="Q54" s="456"/>
      <c r="R54" s="455" t="s">
        <v>470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121</v>
      </c>
      <c r="B55" s="451"/>
      <c r="C55" s="389" t="s">
        <v>152</v>
      </c>
      <c r="D55" s="389" t="s">
        <v>412</v>
      </c>
      <c r="E55" s="389" t="s">
        <v>457</v>
      </c>
      <c r="F55" s="452" t="s">
        <v>139</v>
      </c>
      <c r="G55" s="453"/>
      <c r="H55" s="453"/>
      <c r="I55" s="453"/>
      <c r="J55" s="453"/>
      <c r="K55" s="453"/>
      <c r="L55" s="453"/>
      <c r="M55" s="454"/>
      <c r="N55" s="388" t="s">
        <v>123</v>
      </c>
      <c r="O55" s="394" t="s">
        <v>240</v>
      </c>
      <c r="P55" s="455"/>
      <c r="Q55" s="456"/>
      <c r="R55" s="455" t="s">
        <v>609</v>
      </c>
      <c r="S55" s="457"/>
      <c r="T55" s="457"/>
      <c r="U55" s="456"/>
      <c r="V55" s="458" t="s">
        <v>118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121</v>
      </c>
      <c r="B56" s="451"/>
      <c r="C56" s="389" t="s">
        <v>157</v>
      </c>
      <c r="D56" s="389" t="s">
        <v>115</v>
      </c>
      <c r="E56" s="389" t="s">
        <v>475</v>
      </c>
      <c r="F56" s="452" t="s">
        <v>325</v>
      </c>
      <c r="G56" s="453"/>
      <c r="H56" s="453"/>
      <c r="I56" s="453"/>
      <c r="J56" s="453"/>
      <c r="K56" s="453"/>
      <c r="L56" s="453"/>
      <c r="M56" s="454"/>
      <c r="N56" s="388" t="s">
        <v>120</v>
      </c>
      <c r="O56" s="394" t="s">
        <v>509</v>
      </c>
      <c r="P56" s="455" t="s">
        <v>127</v>
      </c>
      <c r="Q56" s="456"/>
      <c r="R56" s="455" t="s">
        <v>610</v>
      </c>
      <c r="S56" s="457"/>
      <c r="T56" s="457"/>
      <c r="U56" s="456"/>
      <c r="V56" s="458" t="s">
        <v>118</v>
      </c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112</v>
      </c>
      <c r="B57" s="451"/>
      <c r="C57" s="389" t="s">
        <v>246</v>
      </c>
      <c r="D57" s="389" t="s">
        <v>127</v>
      </c>
      <c r="E57" s="389" t="s">
        <v>141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388" t="s">
        <v>123</v>
      </c>
      <c r="O57" s="394" t="s">
        <v>138</v>
      </c>
      <c r="P57" s="455"/>
      <c r="Q57" s="456"/>
      <c r="R57" s="455" t="s">
        <v>175</v>
      </c>
      <c r="S57" s="457"/>
      <c r="T57" s="457"/>
      <c r="U57" s="456"/>
      <c r="V57" s="458" t="s">
        <v>118</v>
      </c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112</v>
      </c>
      <c r="B58" s="451"/>
      <c r="C58" s="389" t="s">
        <v>135</v>
      </c>
      <c r="D58" s="389" t="s">
        <v>338</v>
      </c>
      <c r="E58" s="389" t="s">
        <v>599</v>
      </c>
      <c r="F58" s="452" t="s">
        <v>118</v>
      </c>
      <c r="G58" s="453"/>
      <c r="H58" s="453"/>
      <c r="I58" s="453"/>
      <c r="J58" s="453"/>
      <c r="K58" s="453"/>
      <c r="L58" s="453"/>
      <c r="M58" s="454"/>
      <c r="N58" s="388"/>
      <c r="O58" s="394"/>
      <c r="P58" s="455"/>
      <c r="Q58" s="456"/>
      <c r="R58" s="455"/>
      <c r="S58" s="457"/>
      <c r="T58" s="457"/>
      <c r="U58" s="456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112</v>
      </c>
      <c r="B59" s="451"/>
      <c r="C59" s="389" t="s">
        <v>240</v>
      </c>
      <c r="D59" s="389" t="s">
        <v>601</v>
      </c>
      <c r="E59" s="389" t="s">
        <v>602</v>
      </c>
      <c r="F59" s="452" t="s">
        <v>118</v>
      </c>
      <c r="G59" s="453"/>
      <c r="H59" s="453"/>
      <c r="I59" s="453"/>
      <c r="J59" s="453"/>
      <c r="K59" s="453"/>
      <c r="L59" s="453"/>
      <c r="M59" s="454"/>
      <c r="N59" s="388"/>
      <c r="O59" s="394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 t="s">
        <v>121</v>
      </c>
      <c r="B60" s="451"/>
      <c r="C60" s="389" t="s">
        <v>138</v>
      </c>
      <c r="D60" s="389"/>
      <c r="E60" s="389" t="s">
        <v>604</v>
      </c>
      <c r="F60" s="452" t="s">
        <v>118</v>
      </c>
      <c r="G60" s="453"/>
      <c r="H60" s="453"/>
      <c r="I60" s="453"/>
      <c r="J60" s="453"/>
      <c r="K60" s="453"/>
      <c r="L60" s="453"/>
      <c r="M60" s="454"/>
      <c r="N60" s="388"/>
      <c r="O60" s="394"/>
      <c r="P60" s="455"/>
      <c r="Q60" s="456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</row>
    <row r="61" spans="1:32" ht="27" customHeight="1">
      <c r="A61" s="450" t="s">
        <v>121</v>
      </c>
      <c r="B61" s="451"/>
      <c r="C61" s="389" t="s">
        <v>151</v>
      </c>
      <c r="D61" s="389"/>
      <c r="E61" s="389" t="s">
        <v>162</v>
      </c>
      <c r="F61" s="452" t="s">
        <v>118</v>
      </c>
      <c r="G61" s="453"/>
      <c r="H61" s="453"/>
      <c r="I61" s="453"/>
      <c r="J61" s="453"/>
      <c r="K61" s="453"/>
      <c r="L61" s="453"/>
      <c r="M61" s="454"/>
      <c r="N61" s="388"/>
      <c r="O61" s="394"/>
      <c r="P61" s="451"/>
      <c r="Q61" s="451"/>
      <c r="R61" s="451"/>
      <c r="S61" s="451"/>
      <c r="T61" s="451"/>
      <c r="U61" s="451"/>
      <c r="V61" s="458"/>
      <c r="W61" s="458"/>
      <c r="X61" s="458"/>
      <c r="Y61" s="458"/>
      <c r="Z61" s="458"/>
      <c r="AA61" s="458"/>
      <c r="AB61" s="458"/>
      <c r="AC61" s="458"/>
      <c r="AD61" s="459"/>
      <c r="AF61" s="84">
        <f>8*3000</f>
        <v>24000</v>
      </c>
    </row>
    <row r="62" spans="1:32" ht="27" customHeight="1" thickBot="1">
      <c r="A62" s="460"/>
      <c r="B62" s="461"/>
      <c r="C62" s="390"/>
      <c r="D62" s="391"/>
      <c r="E62" s="391"/>
      <c r="F62" s="462"/>
      <c r="G62" s="463"/>
      <c r="H62" s="463"/>
      <c r="I62" s="463"/>
      <c r="J62" s="463"/>
      <c r="K62" s="463"/>
      <c r="L62" s="463"/>
      <c r="M62" s="464"/>
      <c r="N62" s="112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611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392" t="s">
        <v>2</v>
      </c>
      <c r="D64" s="392" t="s">
        <v>37</v>
      </c>
      <c r="E64" s="392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392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5" t="s">
        <v>120</v>
      </c>
      <c r="D65" s="396"/>
      <c r="E65" s="393" t="s">
        <v>143</v>
      </c>
      <c r="F65" s="477" t="s">
        <v>612</v>
      </c>
      <c r="G65" s="478"/>
      <c r="H65" s="478"/>
      <c r="I65" s="478"/>
      <c r="J65" s="479"/>
      <c r="K65" s="480" t="s">
        <v>136</v>
      </c>
      <c r="L65" s="480"/>
      <c r="M65" s="51" t="s">
        <v>230</v>
      </c>
      <c r="N65" s="481" t="s">
        <v>131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3"/>
      <c r="AC65" s="484"/>
      <c r="AD65" s="485"/>
      <c r="AF65" s="50"/>
    </row>
    <row r="66" spans="1:32" ht="25.5" customHeight="1">
      <c r="A66" s="475">
        <v>2</v>
      </c>
      <c r="B66" s="476"/>
      <c r="C66" s="105" t="s">
        <v>120</v>
      </c>
      <c r="D66" s="396"/>
      <c r="E66" s="393" t="s">
        <v>338</v>
      </c>
      <c r="F66" s="477" t="s">
        <v>613</v>
      </c>
      <c r="G66" s="478"/>
      <c r="H66" s="478"/>
      <c r="I66" s="478"/>
      <c r="J66" s="479"/>
      <c r="K66" s="480" t="s">
        <v>124</v>
      </c>
      <c r="L66" s="480"/>
      <c r="M66" s="51" t="s">
        <v>227</v>
      </c>
      <c r="N66" s="481" t="s">
        <v>152</v>
      </c>
      <c r="O66" s="481"/>
      <c r="P66" s="482">
        <v>200</v>
      </c>
      <c r="Q66" s="482"/>
      <c r="R66" s="458" t="s">
        <v>614</v>
      </c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3</v>
      </c>
      <c r="B67" s="476"/>
      <c r="C67" s="105"/>
      <c r="D67" s="396"/>
      <c r="E67" s="393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4</v>
      </c>
      <c r="B68" s="476"/>
      <c r="C68" s="105"/>
      <c r="D68" s="396"/>
      <c r="E68" s="39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5</v>
      </c>
      <c r="B69" s="476"/>
      <c r="C69" s="105"/>
      <c r="D69" s="396"/>
      <c r="E69" s="39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6</v>
      </c>
      <c r="B70" s="476"/>
      <c r="C70" s="105"/>
      <c r="D70" s="396"/>
      <c r="E70" s="393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7</v>
      </c>
      <c r="B71" s="476"/>
      <c r="C71" s="105"/>
      <c r="D71" s="396"/>
      <c r="E71" s="393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8</v>
      </c>
      <c r="B72" s="476"/>
      <c r="C72" s="105"/>
      <c r="D72" s="396"/>
      <c r="E72" s="393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9</v>
      </c>
      <c r="B73" s="476"/>
      <c r="C73" s="105"/>
      <c r="D73" s="396"/>
      <c r="E73" s="393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5.5" customHeight="1">
      <c r="A74" s="475">
        <v>10</v>
      </c>
      <c r="B74" s="476"/>
      <c r="C74" s="105"/>
      <c r="D74" s="396"/>
      <c r="E74" s="393"/>
      <c r="F74" s="487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8"/>
      <c r="S74" s="458"/>
      <c r="T74" s="458"/>
      <c r="U74" s="458"/>
      <c r="V74" s="458"/>
      <c r="W74" s="458"/>
      <c r="X74" s="458"/>
      <c r="Y74" s="458"/>
      <c r="Z74" s="458"/>
      <c r="AA74" s="458"/>
      <c r="AB74" s="480"/>
      <c r="AC74" s="480"/>
      <c r="AD74" s="486"/>
      <c r="AF74" s="50"/>
    </row>
    <row r="75" spans="1:32" ht="26.25" customHeight="1" thickBot="1">
      <c r="A75" s="488" t="s">
        <v>615</v>
      </c>
      <c r="B75" s="488"/>
      <c r="C75" s="488"/>
      <c r="D75" s="488"/>
      <c r="E75" s="48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9" t="s">
        <v>111</v>
      </c>
      <c r="B76" s="490"/>
      <c r="C76" s="395" t="s">
        <v>2</v>
      </c>
      <c r="D76" s="395" t="s">
        <v>37</v>
      </c>
      <c r="E76" s="395" t="s">
        <v>3</v>
      </c>
      <c r="F76" s="490" t="s">
        <v>38</v>
      </c>
      <c r="G76" s="490"/>
      <c r="H76" s="490"/>
      <c r="I76" s="490"/>
      <c r="J76" s="490"/>
      <c r="K76" s="491" t="s">
        <v>58</v>
      </c>
      <c r="L76" s="492"/>
      <c r="M76" s="492"/>
      <c r="N76" s="492"/>
      <c r="O76" s="492"/>
      <c r="P76" s="492"/>
      <c r="Q76" s="492"/>
      <c r="R76" s="492"/>
      <c r="S76" s="493"/>
      <c r="T76" s="490" t="s">
        <v>49</v>
      </c>
      <c r="U76" s="490"/>
      <c r="V76" s="491" t="s">
        <v>50</v>
      </c>
      <c r="W76" s="493"/>
      <c r="X76" s="492" t="s">
        <v>51</v>
      </c>
      <c r="Y76" s="492"/>
      <c r="Z76" s="492"/>
      <c r="AA76" s="492"/>
      <c r="AB76" s="492"/>
      <c r="AC76" s="492"/>
      <c r="AD76" s="494"/>
      <c r="AF76" s="50"/>
    </row>
    <row r="77" spans="1:32" ht="33.75" customHeight="1">
      <c r="A77" s="503">
        <v>1</v>
      </c>
      <c r="B77" s="504"/>
      <c r="C77" s="397" t="s">
        <v>112</v>
      </c>
      <c r="D77" s="397"/>
      <c r="E77" s="65" t="s">
        <v>117</v>
      </c>
      <c r="F77" s="505" t="s">
        <v>116</v>
      </c>
      <c r="G77" s="506"/>
      <c r="H77" s="506"/>
      <c r="I77" s="506"/>
      <c r="J77" s="507"/>
      <c r="K77" s="508" t="s">
        <v>122</v>
      </c>
      <c r="L77" s="509"/>
      <c r="M77" s="509"/>
      <c r="N77" s="509"/>
      <c r="O77" s="509"/>
      <c r="P77" s="509"/>
      <c r="Q77" s="509"/>
      <c r="R77" s="509"/>
      <c r="S77" s="510"/>
      <c r="T77" s="511">
        <v>43675</v>
      </c>
      <c r="U77" s="512"/>
      <c r="V77" s="513"/>
      <c r="W77" s="513"/>
      <c r="X77" s="514"/>
      <c r="Y77" s="514"/>
      <c r="Z77" s="514"/>
      <c r="AA77" s="514"/>
      <c r="AB77" s="514"/>
      <c r="AC77" s="514"/>
      <c r="AD77" s="515"/>
      <c r="AF77" s="50"/>
    </row>
    <row r="78" spans="1:32" ht="30" customHeight="1">
      <c r="A78" s="495">
        <f>A77+1</f>
        <v>2</v>
      </c>
      <c r="B78" s="496"/>
      <c r="C78" s="396"/>
      <c r="D78" s="396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ref="A79:A83" si="29">A78+1</f>
        <v>3</v>
      </c>
      <c r="B79" s="496"/>
      <c r="C79" s="396"/>
      <c r="D79" s="396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29"/>
        <v>4</v>
      </c>
      <c r="B80" s="496"/>
      <c r="C80" s="396"/>
      <c r="D80" s="396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29"/>
        <v>5</v>
      </c>
      <c r="B81" s="496"/>
      <c r="C81" s="396"/>
      <c r="D81" s="396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29"/>
        <v>6</v>
      </c>
      <c r="B82" s="496"/>
      <c r="C82" s="396"/>
      <c r="D82" s="396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0" customHeight="1">
      <c r="A83" s="495">
        <f t="shared" si="29"/>
        <v>7</v>
      </c>
      <c r="B83" s="496"/>
      <c r="C83" s="396"/>
      <c r="D83" s="396"/>
      <c r="E83" s="32"/>
      <c r="F83" s="496"/>
      <c r="G83" s="496"/>
      <c r="H83" s="496"/>
      <c r="I83" s="496"/>
      <c r="J83" s="496"/>
      <c r="K83" s="497"/>
      <c r="L83" s="498"/>
      <c r="M83" s="498"/>
      <c r="N83" s="498"/>
      <c r="O83" s="498"/>
      <c r="P83" s="498"/>
      <c r="Q83" s="498"/>
      <c r="R83" s="498"/>
      <c r="S83" s="499"/>
      <c r="T83" s="500"/>
      <c r="U83" s="500"/>
      <c r="V83" s="500"/>
      <c r="W83" s="500"/>
      <c r="X83" s="501"/>
      <c r="Y83" s="501"/>
      <c r="Z83" s="501"/>
      <c r="AA83" s="501"/>
      <c r="AB83" s="501"/>
      <c r="AC83" s="501"/>
      <c r="AD83" s="502"/>
      <c r="AF83" s="50"/>
    </row>
    <row r="84" spans="1:32" ht="36" thickBot="1">
      <c r="A84" s="488" t="s">
        <v>616</v>
      </c>
      <c r="B84" s="488"/>
      <c r="C84" s="488"/>
      <c r="D84" s="488"/>
      <c r="E84" s="48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9" t="s">
        <v>111</v>
      </c>
      <c r="B85" s="490"/>
      <c r="C85" s="516" t="s">
        <v>52</v>
      </c>
      <c r="D85" s="516"/>
      <c r="E85" s="516" t="s">
        <v>53</v>
      </c>
      <c r="F85" s="516"/>
      <c r="G85" s="516"/>
      <c r="H85" s="516"/>
      <c r="I85" s="516"/>
      <c r="J85" s="516"/>
      <c r="K85" s="516" t="s">
        <v>54</v>
      </c>
      <c r="L85" s="516"/>
      <c r="M85" s="516"/>
      <c r="N85" s="516"/>
      <c r="O85" s="516"/>
      <c r="P85" s="516"/>
      <c r="Q85" s="516"/>
      <c r="R85" s="516"/>
      <c r="S85" s="516"/>
      <c r="T85" s="516" t="s">
        <v>55</v>
      </c>
      <c r="U85" s="516"/>
      <c r="V85" s="516" t="s">
        <v>56</v>
      </c>
      <c r="W85" s="516"/>
      <c r="X85" s="516"/>
      <c r="Y85" s="516" t="s">
        <v>51</v>
      </c>
      <c r="Z85" s="516"/>
      <c r="AA85" s="516"/>
      <c r="AB85" s="516"/>
      <c r="AC85" s="516"/>
      <c r="AD85" s="517"/>
      <c r="AF85" s="50"/>
    </row>
    <row r="86" spans="1:32" ht="30.75" customHeight="1">
      <c r="A86" s="503">
        <v>1</v>
      </c>
      <c r="B86" s="504"/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8"/>
      <c r="S86" s="518"/>
      <c r="T86" s="518"/>
      <c r="U86" s="518"/>
      <c r="V86" s="519"/>
      <c r="W86" s="519"/>
      <c r="X86" s="519"/>
      <c r="Y86" s="520"/>
      <c r="Z86" s="520"/>
      <c r="AA86" s="520"/>
      <c r="AB86" s="520"/>
      <c r="AC86" s="520"/>
      <c r="AD86" s="521"/>
      <c r="AF86" s="50"/>
    </row>
    <row r="87" spans="1:32" ht="30.75" customHeight="1">
      <c r="A87" s="495">
        <v>2</v>
      </c>
      <c r="B87" s="49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30"/>
      <c r="U87" s="530"/>
      <c r="V87" s="531"/>
      <c r="W87" s="531"/>
      <c r="X87" s="531"/>
      <c r="Y87" s="522"/>
      <c r="Z87" s="522"/>
      <c r="AA87" s="522"/>
      <c r="AB87" s="522"/>
      <c r="AC87" s="522"/>
      <c r="AD87" s="523"/>
      <c r="AF87" s="50"/>
    </row>
    <row r="88" spans="1:32" ht="30.75" customHeight="1" thickBot="1">
      <c r="A88" s="524">
        <v>3</v>
      </c>
      <c r="B88" s="525"/>
      <c r="C88" s="526"/>
      <c r="D88" s="526"/>
      <c r="E88" s="526"/>
      <c r="F88" s="526"/>
      <c r="G88" s="526"/>
      <c r="H88" s="526"/>
      <c r="I88" s="526"/>
      <c r="J88" s="526"/>
      <c r="K88" s="526"/>
      <c r="L88" s="526"/>
      <c r="M88" s="526"/>
      <c r="N88" s="526"/>
      <c r="O88" s="526"/>
      <c r="P88" s="526"/>
      <c r="Q88" s="526"/>
      <c r="R88" s="526"/>
      <c r="S88" s="526"/>
      <c r="T88" s="526"/>
      <c r="U88" s="526"/>
      <c r="V88" s="526"/>
      <c r="W88" s="526"/>
      <c r="X88" s="526"/>
      <c r="Y88" s="527"/>
      <c r="Z88" s="527"/>
      <c r="AA88" s="527"/>
      <c r="AB88" s="527"/>
      <c r="AC88" s="527"/>
      <c r="AD88" s="528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7D1F-A0F1-4954-B5B4-11AC3347CAD1}">
  <dimension ref="A1:AF87"/>
  <sheetViews>
    <sheetView tabSelected="1" view="pageBreakPreview" zoomScale="70" zoomScaleNormal="72" zoomScaleSheetLayoutView="70" workbookViewId="0">
      <selection activeCell="E66" sqref="E6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7.7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10" t="s">
        <v>617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11"/>
      <c r="B3" s="411"/>
      <c r="C3" s="411"/>
      <c r="D3" s="411"/>
      <c r="E3" s="411"/>
      <c r="F3" s="411"/>
      <c r="G3" s="41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2" t="s">
        <v>0</v>
      </c>
      <c r="B4" s="414" t="s">
        <v>1</v>
      </c>
      <c r="C4" s="414" t="s">
        <v>2</v>
      </c>
      <c r="D4" s="417" t="s">
        <v>3</v>
      </c>
      <c r="E4" s="419" t="s">
        <v>4</v>
      </c>
      <c r="F4" s="417" t="s">
        <v>5</v>
      </c>
      <c r="G4" s="414" t="s">
        <v>6</v>
      </c>
      <c r="H4" s="420" t="s">
        <v>7</v>
      </c>
      <c r="I4" s="440" t="s">
        <v>8</v>
      </c>
      <c r="J4" s="441"/>
      <c r="K4" s="441"/>
      <c r="L4" s="441"/>
      <c r="M4" s="441"/>
      <c r="N4" s="441"/>
      <c r="O4" s="442"/>
      <c r="P4" s="443" t="s">
        <v>9</v>
      </c>
      <c r="Q4" s="444"/>
      <c r="R4" s="445" t="s">
        <v>10</v>
      </c>
      <c r="S4" s="445"/>
      <c r="T4" s="445"/>
      <c r="U4" s="445"/>
      <c r="V4" s="445"/>
      <c r="W4" s="446" t="s">
        <v>11</v>
      </c>
      <c r="X4" s="445"/>
      <c r="Y4" s="445"/>
      <c r="Z4" s="445"/>
      <c r="AA4" s="447"/>
      <c r="AB4" s="448" t="s">
        <v>12</v>
      </c>
      <c r="AC4" s="422" t="s">
        <v>13</v>
      </c>
      <c r="AD4" s="422" t="s">
        <v>14</v>
      </c>
      <c r="AE4" s="54"/>
    </row>
    <row r="5" spans="1:32" ht="51" customHeight="1" thickBot="1">
      <c r="A5" s="413"/>
      <c r="B5" s="415"/>
      <c r="C5" s="416"/>
      <c r="D5" s="418"/>
      <c r="E5" s="418"/>
      <c r="F5" s="418"/>
      <c r="G5" s="415"/>
      <c r="H5" s="421"/>
      <c r="I5" s="55" t="s">
        <v>15</v>
      </c>
      <c r="J5" s="56" t="s">
        <v>16</v>
      </c>
      <c r="K5" s="409" t="s">
        <v>17</v>
      </c>
      <c r="L5" s="409" t="s">
        <v>18</v>
      </c>
      <c r="M5" s="409" t="s">
        <v>19</v>
      </c>
      <c r="N5" s="40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9"/>
      <c r="AC5" s="423"/>
      <c r="AD5" s="423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143</v>
      </c>
      <c r="E6" s="53" t="s">
        <v>376</v>
      </c>
      <c r="F6" s="30" t="s">
        <v>136</v>
      </c>
      <c r="G6" s="12">
        <v>1</v>
      </c>
      <c r="H6" s="13">
        <v>24</v>
      </c>
      <c r="I6" s="31">
        <v>30000</v>
      </c>
      <c r="J6" s="5">
        <v>1408</v>
      </c>
      <c r="K6" s="15">
        <f>L6+5099+3648+1950+5173+5222+3871+2279+3624+5017</f>
        <v>37291</v>
      </c>
      <c r="L6" s="15">
        <v>1408</v>
      </c>
      <c r="M6" s="15">
        <f t="shared" ref="M6:M21" si="0">L6-N6</f>
        <v>1408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7</v>
      </c>
      <c r="Q6" s="40">
        <f t="shared" ref="Q6:Q21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0.29166666666666669</v>
      </c>
      <c r="AD6" s="10">
        <f t="shared" ref="AD6:AD21" si="6">AC6*AB6*(1-O6)</f>
        <v>0.29166666666666669</v>
      </c>
      <c r="AE6" s="36">
        <f>$AD$21</f>
        <v>0.41666666666666669</v>
      </c>
      <c r="AF6" s="84">
        <f t="shared" ref="AF6:AF21" si="7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143</v>
      </c>
      <c r="E7" s="53" t="s">
        <v>595</v>
      </c>
      <c r="F7" s="12" t="s">
        <v>210</v>
      </c>
      <c r="G7" s="12">
        <v>1</v>
      </c>
      <c r="H7" s="13">
        <v>24</v>
      </c>
      <c r="I7" s="31">
        <v>800</v>
      </c>
      <c r="J7" s="14">
        <v>1223</v>
      </c>
      <c r="K7" s="15">
        <f>L7</f>
        <v>1223</v>
      </c>
      <c r="L7" s="15">
        <f>1223</f>
        <v>1223</v>
      </c>
      <c r="M7" s="15">
        <f t="shared" si="0"/>
        <v>1223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/>
      <c r="X7" s="16"/>
      <c r="Y7" s="16"/>
      <c r="Z7" s="16"/>
      <c r="AA7" s="18">
        <v>18</v>
      </c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>$AD$22</f>
        <v>0.640625</v>
      </c>
      <c r="AF7" s="84">
        <f t="shared" si="7"/>
        <v>2</v>
      </c>
    </row>
    <row r="8" spans="1:32" ht="27" customHeight="1">
      <c r="A8" s="95">
        <v>3</v>
      </c>
      <c r="B8" s="11" t="s">
        <v>57</v>
      </c>
      <c r="C8" s="11" t="s">
        <v>112</v>
      </c>
      <c r="D8" s="52" t="s">
        <v>127</v>
      </c>
      <c r="E8" s="53" t="s">
        <v>141</v>
      </c>
      <c r="F8" s="30" t="s">
        <v>124</v>
      </c>
      <c r="G8" s="33">
        <v>1</v>
      </c>
      <c r="H8" s="35">
        <v>24</v>
      </c>
      <c r="I8" s="7">
        <v>22000</v>
      </c>
      <c r="J8" s="14">
        <v>5381</v>
      </c>
      <c r="K8" s="15">
        <f>L8+4150</f>
        <v>9531</v>
      </c>
      <c r="L8" s="15">
        <f>2834+2547</f>
        <v>5381</v>
      </c>
      <c r="M8" s="15">
        <f t="shared" si="0"/>
        <v>5381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>$AD$22</f>
        <v>0.640625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338</v>
      </c>
      <c r="E9" s="53" t="s">
        <v>599</v>
      </c>
      <c r="F9" s="30" t="s">
        <v>137</v>
      </c>
      <c r="G9" s="33">
        <v>1</v>
      </c>
      <c r="H9" s="35">
        <v>24</v>
      </c>
      <c r="I9" s="7">
        <v>25000</v>
      </c>
      <c r="J9" s="14">
        <v>5540</v>
      </c>
      <c r="K9" s="15">
        <f>L9+3597</f>
        <v>9137</v>
      </c>
      <c r="L9" s="15">
        <f>2926+2614</f>
        <v>5540</v>
      </c>
      <c r="M9" s="15">
        <f t="shared" si="0"/>
        <v>5540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>$AD$22</f>
        <v>0.640625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/>
      <c r="E10" s="53" t="s">
        <v>162</v>
      </c>
      <c r="F10" s="30" t="s">
        <v>600</v>
      </c>
      <c r="G10" s="33">
        <v>4</v>
      </c>
      <c r="H10" s="35">
        <v>24</v>
      </c>
      <c r="I10" s="7">
        <v>250000</v>
      </c>
      <c r="J10" s="5">
        <v>41576</v>
      </c>
      <c r="K10" s="15">
        <f>L10+25160</f>
        <v>66736</v>
      </c>
      <c r="L10" s="15">
        <f>4918*4+5476*4</f>
        <v>41576</v>
      </c>
      <c r="M10" s="15">
        <f t="shared" si="0"/>
        <v>41576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>$AD$22</f>
        <v>0.640625</v>
      </c>
      <c r="AF10" s="84">
        <f t="shared" si="7"/>
        <v>5</v>
      </c>
    </row>
    <row r="11" spans="1:32" ht="30" customHeight="1">
      <c r="A11" s="96">
        <v>6</v>
      </c>
      <c r="B11" s="11" t="s">
        <v>57</v>
      </c>
      <c r="C11" s="34" t="s">
        <v>121</v>
      </c>
      <c r="D11" s="52" t="s">
        <v>115</v>
      </c>
      <c r="E11" s="53" t="s">
        <v>475</v>
      </c>
      <c r="F11" s="30" t="s">
        <v>119</v>
      </c>
      <c r="G11" s="12">
        <v>1</v>
      </c>
      <c r="H11" s="13">
        <v>28</v>
      </c>
      <c r="I11" s="7">
        <v>69000</v>
      </c>
      <c r="J11" s="14">
        <v>5463</v>
      </c>
      <c r="K11" s="15">
        <f>L11+2806+5234+5319+5378+5411+789+4935+3007+4151</f>
        <v>42493</v>
      </c>
      <c r="L11" s="15">
        <f>2661+2802</f>
        <v>5463</v>
      </c>
      <c r="M11" s="15">
        <f t="shared" si="0"/>
        <v>5463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8">AC11*AB11*(1-O11)</f>
        <v>0.91666666666666663</v>
      </c>
      <c r="AE11" s="36">
        <f>$AD$22</f>
        <v>0.640625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412</v>
      </c>
      <c r="E12" s="53" t="s">
        <v>457</v>
      </c>
      <c r="F12" s="30" t="s">
        <v>119</v>
      </c>
      <c r="G12" s="33">
        <v>1</v>
      </c>
      <c r="H12" s="35">
        <v>24</v>
      </c>
      <c r="I12" s="7">
        <v>69000</v>
      </c>
      <c r="J12" s="14">
        <v>2852</v>
      </c>
      <c r="K12" s="15">
        <f>L12+2872+5295+4231+5295+5295+5281+840+3474+4762+3115</f>
        <v>43312</v>
      </c>
      <c r="L12" s="15">
        <v>2852</v>
      </c>
      <c r="M12" s="15">
        <f t="shared" si="0"/>
        <v>2852</v>
      </c>
      <c r="N12" s="15">
        <v>0</v>
      </c>
      <c r="O12" s="58">
        <f t="shared" si="1"/>
        <v>0</v>
      </c>
      <c r="P12" s="39">
        <f t="shared" si="2"/>
        <v>12</v>
      </c>
      <c r="Q12" s="40">
        <f t="shared" si="3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</v>
      </c>
      <c r="AD12" s="10">
        <f t="shared" si="8"/>
        <v>0.5</v>
      </c>
      <c r="AE12" s="36">
        <f>$AD$22</f>
        <v>0.640625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34" t="s">
        <v>123</v>
      </c>
      <c r="D13" s="52"/>
      <c r="E13" s="53" t="s">
        <v>609</v>
      </c>
      <c r="F13" s="30" t="s">
        <v>228</v>
      </c>
      <c r="G13" s="33">
        <v>1</v>
      </c>
      <c r="H13" s="35">
        <v>24</v>
      </c>
      <c r="I13" s="7">
        <v>3300</v>
      </c>
      <c r="J13" s="5">
        <v>5090</v>
      </c>
      <c r="K13" s="15">
        <f>L13</f>
        <v>5090</v>
      </c>
      <c r="L13" s="15">
        <f>2602+2488</f>
        <v>5090</v>
      </c>
      <c r="M13" s="15">
        <f t="shared" si="0"/>
        <v>5090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>$AD$22</f>
        <v>0.640625</v>
      </c>
      <c r="AF13" s="84">
        <f t="shared" si="7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608</v>
      </c>
      <c r="F14" s="30" t="s">
        <v>618</v>
      </c>
      <c r="G14" s="33">
        <v>1</v>
      </c>
      <c r="H14" s="35">
        <v>24</v>
      </c>
      <c r="I14" s="7">
        <v>300</v>
      </c>
      <c r="J14" s="5">
        <v>339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>$AD$22</f>
        <v>0.640625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269</v>
      </c>
      <c r="D15" s="52"/>
      <c r="E15" s="53" t="s">
        <v>585</v>
      </c>
      <c r="F15" s="12">
        <v>8301</v>
      </c>
      <c r="G15" s="12" t="s">
        <v>272</v>
      </c>
      <c r="H15" s="13">
        <v>24</v>
      </c>
      <c r="I15" s="31">
        <f>3900+2000</f>
        <v>5900</v>
      </c>
      <c r="J15" s="14">
        <v>3839</v>
      </c>
      <c r="K15" s="15">
        <f>L15+2965+3839</f>
        <v>6804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>$AD$22</f>
        <v>0.640625</v>
      </c>
      <c r="AF15" s="84">
        <f t="shared" si="7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127</v>
      </c>
      <c r="E16" s="53" t="s">
        <v>610</v>
      </c>
      <c r="F16" s="30" t="s">
        <v>149</v>
      </c>
      <c r="G16" s="12">
        <v>1</v>
      </c>
      <c r="H16" s="13">
        <v>24</v>
      </c>
      <c r="I16" s="7">
        <v>12000</v>
      </c>
      <c r="J16" s="14">
        <v>3598</v>
      </c>
      <c r="K16" s="15">
        <f>L16</f>
        <v>3598</v>
      </c>
      <c r="L16" s="15">
        <f>1033+2565</f>
        <v>3598</v>
      </c>
      <c r="M16" s="15">
        <f t="shared" si="0"/>
        <v>3598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>$AD$22</f>
        <v>0.640625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127</v>
      </c>
      <c r="E17" s="53" t="s">
        <v>316</v>
      </c>
      <c r="F17" s="30" t="s">
        <v>323</v>
      </c>
      <c r="G17" s="12">
        <v>4</v>
      </c>
      <c r="H17" s="13">
        <v>24</v>
      </c>
      <c r="I17" s="7">
        <v>15000</v>
      </c>
      <c r="J17" s="14">
        <v>16824</v>
      </c>
      <c r="K17" s="15">
        <f>L17+22960</f>
        <v>39784</v>
      </c>
      <c r="L17" s="15">
        <f>3325*4+881*4</f>
        <v>16824</v>
      </c>
      <c r="M17" s="15">
        <f t="shared" si="0"/>
        <v>16824</v>
      </c>
      <c r="N17" s="15">
        <v>0</v>
      </c>
      <c r="O17" s="58">
        <f t="shared" si="1"/>
        <v>0</v>
      </c>
      <c r="P17" s="39">
        <f t="shared" si="2"/>
        <v>17</v>
      </c>
      <c r="Q17" s="40">
        <f t="shared" si="3"/>
        <v>7</v>
      </c>
      <c r="R17" s="7"/>
      <c r="S17" s="6"/>
      <c r="T17" s="16"/>
      <c r="U17" s="16"/>
      <c r="V17" s="17"/>
      <c r="W17" s="5">
        <v>7</v>
      </c>
      <c r="X17" s="16"/>
      <c r="Y17" s="16"/>
      <c r="Z17" s="16"/>
      <c r="AA17" s="18"/>
      <c r="AB17" s="8">
        <f t="shared" si="4"/>
        <v>1</v>
      </c>
      <c r="AC17" s="9">
        <f t="shared" si="5"/>
        <v>0.70833333333333337</v>
      </c>
      <c r="AD17" s="10">
        <f t="shared" si="6"/>
        <v>0.70833333333333337</v>
      </c>
      <c r="AE17" s="36">
        <f>$AD$22</f>
        <v>0.640625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123</v>
      </c>
      <c r="D18" s="52"/>
      <c r="E18" s="53" t="s">
        <v>175</v>
      </c>
      <c r="F18" s="30" t="s">
        <v>619</v>
      </c>
      <c r="G18" s="33">
        <v>1</v>
      </c>
      <c r="H18" s="35">
        <v>24</v>
      </c>
      <c r="I18" s="7">
        <v>5100</v>
      </c>
      <c r="J18" s="14">
        <v>5551</v>
      </c>
      <c r="K18" s="15">
        <f>L18</f>
        <v>5551</v>
      </c>
      <c r="L18" s="15">
        <f>2731+2820</f>
        <v>5551</v>
      </c>
      <c r="M18" s="15">
        <f t="shared" si="0"/>
        <v>5551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>$AD$22</f>
        <v>0.640625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155</v>
      </c>
      <c r="E19" s="53" t="s">
        <v>280</v>
      </c>
      <c r="F19" s="30" t="s">
        <v>124</v>
      </c>
      <c r="G19" s="33">
        <v>1</v>
      </c>
      <c r="H19" s="35">
        <v>24</v>
      </c>
      <c r="I19" s="7">
        <v>80000</v>
      </c>
      <c r="J19" s="5">
        <v>5040</v>
      </c>
      <c r="K19" s="15">
        <f>L19+1964+2699+1215+3702+2680+927+2666+4081+2052+4322+5042+2742+5050+5068+4805+2245+4856+4964+5099</f>
        <v>71219</v>
      </c>
      <c r="L19" s="15">
        <f>2657+2383</f>
        <v>5040</v>
      </c>
      <c r="M19" s="15">
        <f t="shared" si="0"/>
        <v>5040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>AC19*AB19*(1-O19)</f>
        <v>1</v>
      </c>
      <c r="AE19" s="36">
        <f>$AD$22</f>
        <v>0.640625</v>
      </c>
      <c r="AF19" s="84">
        <f t="shared" si="7"/>
        <v>14</v>
      </c>
    </row>
    <row r="20" spans="1:32" ht="27" customHeight="1">
      <c r="A20" s="113">
        <v>15</v>
      </c>
      <c r="B20" s="11" t="s">
        <v>57</v>
      </c>
      <c r="C20" s="34" t="s">
        <v>120</v>
      </c>
      <c r="D20" s="52" t="s">
        <v>115</v>
      </c>
      <c r="E20" s="53" t="s">
        <v>470</v>
      </c>
      <c r="F20" s="30" t="s">
        <v>119</v>
      </c>
      <c r="G20" s="12">
        <v>1</v>
      </c>
      <c r="H20" s="13">
        <v>28</v>
      </c>
      <c r="I20" s="31">
        <v>40000</v>
      </c>
      <c r="J20" s="5">
        <v>1614</v>
      </c>
      <c r="K20" s="15">
        <f>L20+2503+4146+3422+2211+1805+550+1849+2614+2495</f>
        <v>23209</v>
      </c>
      <c r="L20" s="15">
        <v>1614</v>
      </c>
      <c r="M20" s="15">
        <f t="shared" si="0"/>
        <v>1614</v>
      </c>
      <c r="N20" s="15">
        <v>0</v>
      </c>
      <c r="O20" s="58">
        <f t="shared" si="1"/>
        <v>0</v>
      </c>
      <c r="P20" s="39">
        <f t="shared" si="2"/>
        <v>9</v>
      </c>
      <c r="Q20" s="40">
        <f t="shared" si="3"/>
        <v>15</v>
      </c>
      <c r="R20" s="7"/>
      <c r="S20" s="6">
        <v>15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0.375</v>
      </c>
      <c r="AD20" s="10">
        <f t="shared" ref="AD20" si="9">AC20*AB20*(1-O20)</f>
        <v>0.375</v>
      </c>
      <c r="AE20" s="36">
        <f>$AD$22</f>
        <v>0.640625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559</v>
      </c>
      <c r="F21" s="12" t="s">
        <v>114</v>
      </c>
      <c r="G21" s="12">
        <v>3</v>
      </c>
      <c r="H21" s="35">
        <v>20</v>
      </c>
      <c r="I21" s="7">
        <v>500000</v>
      </c>
      <c r="J21" s="14">
        <v>31647</v>
      </c>
      <c r="K21" s="15">
        <f>L21+23862+26907+28221+30837</f>
        <v>141474</v>
      </c>
      <c r="L21" s="15">
        <f>10549*3</f>
        <v>31647</v>
      </c>
      <c r="M21" s="15">
        <f t="shared" si="0"/>
        <v>31647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>$AD$22</f>
        <v>0.640625</v>
      </c>
      <c r="AF21" s="84">
        <f t="shared" si="7"/>
        <v>16</v>
      </c>
    </row>
    <row r="22" spans="1:32" ht="31.5" customHeight="1" thickBot="1">
      <c r="A22" s="424" t="s">
        <v>34</v>
      </c>
      <c r="B22" s="425"/>
      <c r="C22" s="425"/>
      <c r="D22" s="425"/>
      <c r="E22" s="425"/>
      <c r="F22" s="425"/>
      <c r="G22" s="425"/>
      <c r="H22" s="426"/>
      <c r="I22" s="22">
        <f>SUM(I6:I21)</f>
        <v>1127400</v>
      </c>
      <c r="J22" s="19">
        <f>SUM(J6:J21)</f>
        <v>136985</v>
      </c>
      <c r="K22" s="20">
        <f>SUM(K6:K21)</f>
        <v>506452</v>
      </c>
      <c r="L22" s="21">
        <f>SUM(L6:L21)</f>
        <v>132807</v>
      </c>
      <c r="M22" s="20">
        <f>SUM(M6:M21)</f>
        <v>132807</v>
      </c>
      <c r="N22" s="21">
        <f>SUM(N6:N21)</f>
        <v>0</v>
      </c>
      <c r="O22" s="41">
        <f t="shared" si="1"/>
        <v>0</v>
      </c>
      <c r="P22" s="42">
        <f>SUM(P6:P21)</f>
        <v>246</v>
      </c>
      <c r="Q22" s="43">
        <f>SUM(Q6:Q21)</f>
        <v>138</v>
      </c>
      <c r="R22" s="23">
        <f>SUM(R6:R21)</f>
        <v>0</v>
      </c>
      <c r="S22" s="24">
        <f>SUM(S6:S21)</f>
        <v>58</v>
      </c>
      <c r="T22" s="24">
        <f>SUM(T6:T21)</f>
        <v>0</v>
      </c>
      <c r="U22" s="24">
        <f>SUM(U6:U21)</f>
        <v>0</v>
      </c>
      <c r="V22" s="25">
        <f>SUM(V6:V21)</f>
        <v>14</v>
      </c>
      <c r="W22" s="26">
        <f>SUM(W6:W21)</f>
        <v>48</v>
      </c>
      <c r="X22" s="27">
        <f>SUM(X6:X21)</f>
        <v>0</v>
      </c>
      <c r="Y22" s="27">
        <f>SUM(Y6:Y21)</f>
        <v>0</v>
      </c>
      <c r="Z22" s="27">
        <f>SUM(Z6:Z21)</f>
        <v>0</v>
      </c>
      <c r="AA22" s="27">
        <f>SUM(AA6:AA21)</f>
        <v>18</v>
      </c>
      <c r="AB22" s="28">
        <f>AVERAGE(AB6:AB21)</f>
        <v>0.875</v>
      </c>
      <c r="AC22" s="4">
        <f>AVERAGE(AC6:AC21)</f>
        <v>0.640625</v>
      </c>
      <c r="AD22" s="4">
        <f>AVERAGE(AD6:AD21)</f>
        <v>0.640625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7" t="s">
        <v>45</v>
      </c>
      <c r="B49" s="427"/>
      <c r="C49" s="427"/>
      <c r="D49" s="427"/>
      <c r="E49" s="42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8" t="s">
        <v>620</v>
      </c>
      <c r="B50" s="429"/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30"/>
      <c r="N50" s="431" t="s">
        <v>624</v>
      </c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/>
      <c r="AC50" s="432"/>
      <c r="AD50" s="433"/>
    </row>
    <row r="51" spans="1:32" ht="27" customHeight="1">
      <c r="A51" s="434" t="s">
        <v>2</v>
      </c>
      <c r="B51" s="435"/>
      <c r="C51" s="408" t="s">
        <v>46</v>
      </c>
      <c r="D51" s="408" t="s">
        <v>47</v>
      </c>
      <c r="E51" s="408" t="s">
        <v>107</v>
      </c>
      <c r="F51" s="436" t="s">
        <v>106</v>
      </c>
      <c r="G51" s="437"/>
      <c r="H51" s="437"/>
      <c r="I51" s="437"/>
      <c r="J51" s="437"/>
      <c r="K51" s="437"/>
      <c r="L51" s="437"/>
      <c r="M51" s="438"/>
      <c r="N51" s="67" t="s">
        <v>110</v>
      </c>
      <c r="O51" s="408" t="s">
        <v>46</v>
      </c>
      <c r="P51" s="436" t="s">
        <v>47</v>
      </c>
      <c r="Q51" s="439"/>
      <c r="R51" s="436" t="s">
        <v>38</v>
      </c>
      <c r="S51" s="437"/>
      <c r="T51" s="437"/>
      <c r="U51" s="439"/>
      <c r="V51" s="436" t="s">
        <v>48</v>
      </c>
      <c r="W51" s="437"/>
      <c r="X51" s="437"/>
      <c r="Y51" s="437"/>
      <c r="Z51" s="437"/>
      <c r="AA51" s="437"/>
      <c r="AB51" s="437"/>
      <c r="AC51" s="437"/>
      <c r="AD51" s="438"/>
    </row>
    <row r="52" spans="1:32" ht="27" customHeight="1">
      <c r="A52" s="450" t="s">
        <v>120</v>
      </c>
      <c r="B52" s="451"/>
      <c r="C52" s="405" t="s">
        <v>193</v>
      </c>
      <c r="D52" s="405" t="s">
        <v>115</v>
      </c>
      <c r="E52" s="405" t="s">
        <v>470</v>
      </c>
      <c r="F52" s="452" t="s">
        <v>393</v>
      </c>
      <c r="G52" s="453"/>
      <c r="H52" s="453"/>
      <c r="I52" s="453"/>
      <c r="J52" s="453"/>
      <c r="K52" s="453"/>
      <c r="L52" s="453"/>
      <c r="M52" s="454"/>
      <c r="N52" s="404" t="s">
        <v>112</v>
      </c>
      <c r="O52" s="402" t="s">
        <v>148</v>
      </c>
      <c r="P52" s="455" t="s">
        <v>115</v>
      </c>
      <c r="Q52" s="456"/>
      <c r="R52" s="455" t="s">
        <v>608</v>
      </c>
      <c r="S52" s="457"/>
      <c r="T52" s="457"/>
      <c r="U52" s="456"/>
      <c r="V52" s="458" t="s">
        <v>139</v>
      </c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50" t="s">
        <v>120</v>
      </c>
      <c r="B53" s="451"/>
      <c r="C53" s="405" t="s">
        <v>131</v>
      </c>
      <c r="D53" s="405" t="s">
        <v>143</v>
      </c>
      <c r="E53" s="405" t="s">
        <v>595</v>
      </c>
      <c r="F53" s="452" t="s">
        <v>118</v>
      </c>
      <c r="G53" s="453"/>
      <c r="H53" s="453"/>
      <c r="I53" s="453"/>
      <c r="J53" s="453"/>
      <c r="K53" s="453"/>
      <c r="L53" s="453"/>
      <c r="M53" s="454"/>
      <c r="N53" s="404" t="s">
        <v>120</v>
      </c>
      <c r="O53" s="402" t="s">
        <v>193</v>
      </c>
      <c r="P53" s="455" t="s">
        <v>115</v>
      </c>
      <c r="Q53" s="456"/>
      <c r="R53" s="455" t="s">
        <v>470</v>
      </c>
      <c r="S53" s="457"/>
      <c r="T53" s="457"/>
      <c r="U53" s="456"/>
      <c r="V53" s="458" t="s">
        <v>139</v>
      </c>
      <c r="W53" s="458"/>
      <c r="X53" s="458"/>
      <c r="Y53" s="458"/>
      <c r="Z53" s="458"/>
      <c r="AA53" s="458"/>
      <c r="AB53" s="458"/>
      <c r="AC53" s="458"/>
      <c r="AD53" s="459"/>
    </row>
    <row r="54" spans="1:32" ht="27" customHeight="1">
      <c r="A54" s="450" t="s">
        <v>121</v>
      </c>
      <c r="B54" s="451"/>
      <c r="C54" s="405" t="s">
        <v>152</v>
      </c>
      <c r="D54" s="405" t="s">
        <v>412</v>
      </c>
      <c r="E54" s="405" t="s">
        <v>457</v>
      </c>
      <c r="F54" s="452" t="s">
        <v>403</v>
      </c>
      <c r="G54" s="453"/>
      <c r="H54" s="453"/>
      <c r="I54" s="453"/>
      <c r="J54" s="453"/>
      <c r="K54" s="453"/>
      <c r="L54" s="453"/>
      <c r="M54" s="454"/>
      <c r="N54" s="404" t="s">
        <v>121</v>
      </c>
      <c r="O54" s="402" t="s">
        <v>157</v>
      </c>
      <c r="P54" s="455" t="s">
        <v>115</v>
      </c>
      <c r="Q54" s="456"/>
      <c r="R54" s="455" t="s">
        <v>475</v>
      </c>
      <c r="S54" s="457"/>
      <c r="T54" s="457"/>
      <c r="U54" s="456"/>
      <c r="V54" s="458" t="s">
        <v>139</v>
      </c>
      <c r="W54" s="458"/>
      <c r="X54" s="458"/>
      <c r="Y54" s="458"/>
      <c r="Z54" s="458"/>
      <c r="AA54" s="458"/>
      <c r="AB54" s="458"/>
      <c r="AC54" s="458"/>
      <c r="AD54" s="459"/>
    </row>
    <row r="55" spans="1:32" ht="27" customHeight="1">
      <c r="A55" s="450" t="s">
        <v>121</v>
      </c>
      <c r="B55" s="451"/>
      <c r="C55" s="405" t="s">
        <v>157</v>
      </c>
      <c r="D55" s="405" t="s">
        <v>115</v>
      </c>
      <c r="E55" s="405" t="s">
        <v>475</v>
      </c>
      <c r="F55" s="452" t="s">
        <v>621</v>
      </c>
      <c r="G55" s="453"/>
      <c r="H55" s="453"/>
      <c r="I55" s="453"/>
      <c r="J55" s="453"/>
      <c r="K55" s="453"/>
      <c r="L55" s="453"/>
      <c r="M55" s="454"/>
      <c r="N55" s="404" t="s">
        <v>121</v>
      </c>
      <c r="O55" s="402" t="s">
        <v>152</v>
      </c>
      <c r="P55" s="455" t="s">
        <v>412</v>
      </c>
      <c r="Q55" s="456"/>
      <c r="R55" s="455" t="s">
        <v>457</v>
      </c>
      <c r="S55" s="457"/>
      <c r="T55" s="457"/>
      <c r="U55" s="456"/>
      <c r="V55" s="458" t="s">
        <v>139</v>
      </c>
      <c r="W55" s="458"/>
      <c r="X55" s="458"/>
      <c r="Y55" s="458"/>
      <c r="Z55" s="458"/>
      <c r="AA55" s="458"/>
      <c r="AB55" s="458"/>
      <c r="AC55" s="458"/>
      <c r="AD55" s="459"/>
    </row>
    <row r="56" spans="1:32" ht="27" customHeight="1">
      <c r="A56" s="450" t="s">
        <v>120</v>
      </c>
      <c r="B56" s="451"/>
      <c r="C56" s="405" t="s">
        <v>509</v>
      </c>
      <c r="D56" s="405" t="s">
        <v>127</v>
      </c>
      <c r="E56" s="405" t="s">
        <v>622</v>
      </c>
      <c r="F56" s="452" t="s">
        <v>118</v>
      </c>
      <c r="G56" s="453"/>
      <c r="H56" s="453"/>
      <c r="I56" s="453"/>
      <c r="J56" s="453"/>
      <c r="K56" s="453"/>
      <c r="L56" s="453"/>
      <c r="M56" s="454"/>
      <c r="N56" s="404"/>
      <c r="O56" s="402"/>
      <c r="P56" s="455"/>
      <c r="Q56" s="456"/>
      <c r="R56" s="455"/>
      <c r="S56" s="457"/>
      <c r="T56" s="457"/>
      <c r="U56" s="456"/>
      <c r="V56" s="458"/>
      <c r="W56" s="458"/>
      <c r="X56" s="458"/>
      <c r="Y56" s="458"/>
      <c r="Z56" s="458"/>
      <c r="AA56" s="458"/>
      <c r="AB56" s="458"/>
      <c r="AC56" s="458"/>
      <c r="AD56" s="459"/>
    </row>
    <row r="57" spans="1:32" ht="27" customHeight="1">
      <c r="A57" s="450" t="s">
        <v>123</v>
      </c>
      <c r="B57" s="451"/>
      <c r="C57" s="405" t="s">
        <v>240</v>
      </c>
      <c r="D57" s="405"/>
      <c r="E57" s="405" t="s">
        <v>609</v>
      </c>
      <c r="F57" s="452" t="s">
        <v>118</v>
      </c>
      <c r="G57" s="453"/>
      <c r="H57" s="453"/>
      <c r="I57" s="453"/>
      <c r="J57" s="453"/>
      <c r="K57" s="453"/>
      <c r="L57" s="453"/>
      <c r="M57" s="454"/>
      <c r="N57" s="404"/>
      <c r="O57" s="402"/>
      <c r="P57" s="455"/>
      <c r="Q57" s="456"/>
      <c r="R57" s="455"/>
      <c r="S57" s="457"/>
      <c r="T57" s="457"/>
      <c r="U57" s="456"/>
      <c r="V57" s="458"/>
      <c r="W57" s="458"/>
      <c r="X57" s="458"/>
      <c r="Y57" s="458"/>
      <c r="Z57" s="458"/>
      <c r="AA57" s="458"/>
      <c r="AB57" s="458"/>
      <c r="AC57" s="458"/>
      <c r="AD57" s="459"/>
    </row>
    <row r="58" spans="1:32" ht="27" customHeight="1">
      <c r="A58" s="450" t="s">
        <v>123</v>
      </c>
      <c r="B58" s="451"/>
      <c r="C58" s="405" t="s">
        <v>138</v>
      </c>
      <c r="D58" s="405"/>
      <c r="E58" s="405" t="s">
        <v>175</v>
      </c>
      <c r="F58" s="452" t="s">
        <v>118</v>
      </c>
      <c r="G58" s="453"/>
      <c r="H58" s="453"/>
      <c r="I58" s="453"/>
      <c r="J58" s="453"/>
      <c r="K58" s="453"/>
      <c r="L58" s="453"/>
      <c r="M58" s="454"/>
      <c r="N58" s="404"/>
      <c r="O58" s="402"/>
      <c r="P58" s="455"/>
      <c r="Q58" s="456"/>
      <c r="R58" s="451"/>
      <c r="S58" s="451"/>
      <c r="T58" s="451"/>
      <c r="U58" s="451"/>
      <c r="V58" s="458"/>
      <c r="W58" s="458"/>
      <c r="X58" s="458"/>
      <c r="Y58" s="458"/>
      <c r="Z58" s="458"/>
      <c r="AA58" s="458"/>
      <c r="AB58" s="458"/>
      <c r="AC58" s="458"/>
      <c r="AD58" s="459"/>
    </row>
    <row r="59" spans="1:32" ht="27" customHeight="1">
      <c r="A59" s="450" t="s">
        <v>112</v>
      </c>
      <c r="B59" s="451"/>
      <c r="C59" s="405" t="s">
        <v>148</v>
      </c>
      <c r="D59" s="405" t="s">
        <v>115</v>
      </c>
      <c r="E59" s="405" t="s">
        <v>608</v>
      </c>
      <c r="F59" s="452" t="s">
        <v>623</v>
      </c>
      <c r="G59" s="453"/>
      <c r="H59" s="453"/>
      <c r="I59" s="453"/>
      <c r="J59" s="453"/>
      <c r="K59" s="453"/>
      <c r="L59" s="453"/>
      <c r="M59" s="454"/>
      <c r="N59" s="404"/>
      <c r="O59" s="402"/>
      <c r="P59" s="455"/>
      <c r="Q59" s="456"/>
      <c r="R59" s="451"/>
      <c r="S59" s="451"/>
      <c r="T59" s="451"/>
      <c r="U59" s="451"/>
      <c r="V59" s="458"/>
      <c r="W59" s="458"/>
      <c r="X59" s="458"/>
      <c r="Y59" s="458"/>
      <c r="Z59" s="458"/>
      <c r="AA59" s="458"/>
      <c r="AB59" s="458"/>
      <c r="AC59" s="458"/>
      <c r="AD59" s="459"/>
    </row>
    <row r="60" spans="1:32" ht="27" customHeight="1">
      <c r="A60" s="450"/>
      <c r="B60" s="451"/>
      <c r="C60" s="405"/>
      <c r="D60" s="405"/>
      <c r="E60" s="405"/>
      <c r="F60" s="452"/>
      <c r="G60" s="453"/>
      <c r="H60" s="453"/>
      <c r="I60" s="453"/>
      <c r="J60" s="453"/>
      <c r="K60" s="453"/>
      <c r="L60" s="453"/>
      <c r="M60" s="454"/>
      <c r="N60" s="404"/>
      <c r="O60" s="402"/>
      <c r="P60" s="451"/>
      <c r="Q60" s="451"/>
      <c r="R60" s="451"/>
      <c r="S60" s="451"/>
      <c r="T60" s="451"/>
      <c r="U60" s="451"/>
      <c r="V60" s="458"/>
      <c r="W60" s="458"/>
      <c r="X60" s="458"/>
      <c r="Y60" s="458"/>
      <c r="Z60" s="458"/>
      <c r="AA60" s="458"/>
      <c r="AB60" s="458"/>
      <c r="AC60" s="458"/>
      <c r="AD60" s="459"/>
      <c r="AF60" s="84">
        <f>8*3000</f>
        <v>24000</v>
      </c>
    </row>
    <row r="61" spans="1:32" ht="27" customHeight="1" thickBot="1">
      <c r="A61" s="460"/>
      <c r="B61" s="461"/>
      <c r="C61" s="406"/>
      <c r="D61" s="407"/>
      <c r="E61" s="407"/>
      <c r="F61" s="462"/>
      <c r="G61" s="463"/>
      <c r="H61" s="463"/>
      <c r="I61" s="463"/>
      <c r="J61" s="463"/>
      <c r="K61" s="463"/>
      <c r="L61" s="463"/>
      <c r="M61" s="464"/>
      <c r="N61" s="112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625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403" t="s">
        <v>2</v>
      </c>
      <c r="D63" s="403" t="s">
        <v>37</v>
      </c>
      <c r="E63" s="403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403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5" t="s">
        <v>120</v>
      </c>
      <c r="D64" s="398"/>
      <c r="E64" s="401" t="s">
        <v>115</v>
      </c>
      <c r="F64" s="477" t="s">
        <v>626</v>
      </c>
      <c r="G64" s="478"/>
      <c r="H64" s="478"/>
      <c r="I64" s="478"/>
      <c r="J64" s="479"/>
      <c r="K64" s="480" t="s">
        <v>594</v>
      </c>
      <c r="L64" s="480"/>
      <c r="M64" s="51" t="s">
        <v>227</v>
      </c>
      <c r="N64" s="481" t="s">
        <v>145</v>
      </c>
      <c r="O64" s="481"/>
      <c r="P64" s="482">
        <v>200</v>
      </c>
      <c r="Q64" s="482"/>
      <c r="R64" s="458"/>
      <c r="S64" s="458"/>
      <c r="T64" s="458"/>
      <c r="U64" s="458"/>
      <c r="V64" s="458"/>
      <c r="W64" s="458"/>
      <c r="X64" s="458"/>
      <c r="Y64" s="458"/>
      <c r="Z64" s="458"/>
      <c r="AA64" s="458"/>
      <c r="AB64" s="483"/>
      <c r="AC64" s="484"/>
      <c r="AD64" s="485"/>
      <c r="AF64" s="50"/>
    </row>
    <row r="65" spans="1:32" ht="25.5" customHeight="1">
      <c r="A65" s="475">
        <v>2</v>
      </c>
      <c r="B65" s="476"/>
      <c r="C65" s="105" t="s">
        <v>112</v>
      </c>
      <c r="D65" s="398"/>
      <c r="E65" s="401" t="s">
        <v>183</v>
      </c>
      <c r="F65" s="477" t="s">
        <v>627</v>
      </c>
      <c r="G65" s="478"/>
      <c r="H65" s="478"/>
      <c r="I65" s="478"/>
      <c r="J65" s="479"/>
      <c r="K65" s="480" t="s">
        <v>136</v>
      </c>
      <c r="L65" s="480"/>
      <c r="M65" s="51" t="s">
        <v>230</v>
      </c>
      <c r="N65" s="481" t="s">
        <v>144</v>
      </c>
      <c r="O65" s="481"/>
      <c r="P65" s="482">
        <v>50</v>
      </c>
      <c r="Q65" s="482"/>
      <c r="R65" s="458"/>
      <c r="S65" s="458"/>
      <c r="T65" s="458"/>
      <c r="U65" s="458"/>
      <c r="V65" s="458"/>
      <c r="W65" s="458"/>
      <c r="X65" s="458"/>
      <c r="Y65" s="458"/>
      <c r="Z65" s="458"/>
      <c r="AA65" s="458"/>
      <c r="AB65" s="480"/>
      <c r="AC65" s="480"/>
      <c r="AD65" s="486"/>
      <c r="AF65" s="50"/>
    </row>
    <row r="66" spans="1:32" ht="25.5" customHeight="1">
      <c r="A66" s="475">
        <v>3</v>
      </c>
      <c r="B66" s="476"/>
      <c r="C66" s="105"/>
      <c r="D66" s="398"/>
      <c r="E66" s="401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8"/>
      <c r="S66" s="458"/>
      <c r="T66" s="458"/>
      <c r="U66" s="458"/>
      <c r="V66" s="458"/>
      <c r="W66" s="458"/>
      <c r="X66" s="458"/>
      <c r="Y66" s="458"/>
      <c r="Z66" s="458"/>
      <c r="AA66" s="458"/>
      <c r="AB66" s="480"/>
      <c r="AC66" s="480"/>
      <c r="AD66" s="486"/>
      <c r="AF66" s="50"/>
    </row>
    <row r="67" spans="1:32" ht="25.5" customHeight="1">
      <c r="A67" s="475">
        <v>4</v>
      </c>
      <c r="B67" s="476"/>
      <c r="C67" s="105"/>
      <c r="D67" s="398"/>
      <c r="E67" s="401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8"/>
      <c r="S67" s="458"/>
      <c r="T67" s="458"/>
      <c r="U67" s="458"/>
      <c r="V67" s="458"/>
      <c r="W67" s="458"/>
      <c r="X67" s="458"/>
      <c r="Y67" s="458"/>
      <c r="Z67" s="458"/>
      <c r="AA67" s="458"/>
      <c r="AB67" s="480"/>
      <c r="AC67" s="480"/>
      <c r="AD67" s="486"/>
      <c r="AF67" s="50"/>
    </row>
    <row r="68" spans="1:32" ht="25.5" customHeight="1">
      <c r="A68" s="475">
        <v>5</v>
      </c>
      <c r="B68" s="476"/>
      <c r="C68" s="105"/>
      <c r="D68" s="398"/>
      <c r="E68" s="401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8"/>
      <c r="S68" s="458"/>
      <c r="T68" s="458"/>
      <c r="U68" s="458"/>
      <c r="V68" s="458"/>
      <c r="W68" s="458"/>
      <c r="X68" s="458"/>
      <c r="Y68" s="458"/>
      <c r="Z68" s="458"/>
      <c r="AA68" s="458"/>
      <c r="AB68" s="480"/>
      <c r="AC68" s="480"/>
      <c r="AD68" s="486"/>
      <c r="AF68" s="50"/>
    </row>
    <row r="69" spans="1:32" ht="25.5" customHeight="1">
      <c r="A69" s="475">
        <v>6</v>
      </c>
      <c r="B69" s="476"/>
      <c r="C69" s="105"/>
      <c r="D69" s="398"/>
      <c r="E69" s="401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8"/>
      <c r="S69" s="458"/>
      <c r="T69" s="458"/>
      <c r="U69" s="458"/>
      <c r="V69" s="458"/>
      <c r="W69" s="458"/>
      <c r="X69" s="458"/>
      <c r="Y69" s="458"/>
      <c r="Z69" s="458"/>
      <c r="AA69" s="458"/>
      <c r="AB69" s="480"/>
      <c r="AC69" s="480"/>
      <c r="AD69" s="486"/>
      <c r="AF69" s="50"/>
    </row>
    <row r="70" spans="1:32" ht="25.5" customHeight="1">
      <c r="A70" s="475">
        <v>7</v>
      </c>
      <c r="B70" s="476"/>
      <c r="C70" s="105"/>
      <c r="D70" s="398"/>
      <c r="E70" s="401"/>
      <c r="F70" s="487"/>
      <c r="G70" s="480"/>
      <c r="H70" s="480"/>
      <c r="I70" s="480"/>
      <c r="J70" s="480"/>
      <c r="K70" s="480"/>
      <c r="L70" s="480"/>
      <c r="M70" s="51"/>
      <c r="N70" s="481"/>
      <c r="O70" s="481"/>
      <c r="P70" s="482"/>
      <c r="Q70" s="482"/>
      <c r="R70" s="458"/>
      <c r="S70" s="458"/>
      <c r="T70" s="458"/>
      <c r="U70" s="458"/>
      <c r="V70" s="458"/>
      <c r="W70" s="458"/>
      <c r="X70" s="458"/>
      <c r="Y70" s="458"/>
      <c r="Z70" s="458"/>
      <c r="AA70" s="458"/>
      <c r="AB70" s="480"/>
      <c r="AC70" s="480"/>
      <c r="AD70" s="486"/>
      <c r="AF70" s="50"/>
    </row>
    <row r="71" spans="1:32" ht="25.5" customHeight="1">
      <c r="A71" s="475">
        <v>8</v>
      </c>
      <c r="B71" s="476"/>
      <c r="C71" s="105"/>
      <c r="D71" s="398"/>
      <c r="E71" s="401"/>
      <c r="F71" s="487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8"/>
      <c r="S71" s="458"/>
      <c r="T71" s="458"/>
      <c r="U71" s="458"/>
      <c r="V71" s="458"/>
      <c r="W71" s="458"/>
      <c r="X71" s="458"/>
      <c r="Y71" s="458"/>
      <c r="Z71" s="458"/>
      <c r="AA71" s="458"/>
      <c r="AB71" s="480"/>
      <c r="AC71" s="480"/>
      <c r="AD71" s="486"/>
      <c r="AF71" s="50"/>
    </row>
    <row r="72" spans="1:32" ht="25.5" customHeight="1">
      <c r="A72" s="475">
        <v>9</v>
      </c>
      <c r="B72" s="476"/>
      <c r="C72" s="105"/>
      <c r="D72" s="398"/>
      <c r="E72" s="401"/>
      <c r="F72" s="487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8"/>
      <c r="S72" s="458"/>
      <c r="T72" s="458"/>
      <c r="U72" s="458"/>
      <c r="V72" s="458"/>
      <c r="W72" s="458"/>
      <c r="X72" s="458"/>
      <c r="Y72" s="458"/>
      <c r="Z72" s="458"/>
      <c r="AA72" s="458"/>
      <c r="AB72" s="480"/>
      <c r="AC72" s="480"/>
      <c r="AD72" s="486"/>
      <c r="AF72" s="50"/>
    </row>
    <row r="73" spans="1:32" ht="25.5" customHeight="1">
      <c r="A73" s="475">
        <v>10</v>
      </c>
      <c r="B73" s="476"/>
      <c r="C73" s="105"/>
      <c r="D73" s="398"/>
      <c r="E73" s="401"/>
      <c r="F73" s="487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8"/>
      <c r="S73" s="458"/>
      <c r="T73" s="458"/>
      <c r="U73" s="458"/>
      <c r="V73" s="458"/>
      <c r="W73" s="458"/>
      <c r="X73" s="458"/>
      <c r="Y73" s="458"/>
      <c r="Z73" s="458"/>
      <c r="AA73" s="458"/>
      <c r="AB73" s="480"/>
      <c r="AC73" s="480"/>
      <c r="AD73" s="486"/>
      <c r="AF73" s="50"/>
    </row>
    <row r="74" spans="1:32" ht="26.25" customHeight="1" thickBot="1">
      <c r="A74" s="488" t="s">
        <v>615</v>
      </c>
      <c r="B74" s="488"/>
      <c r="C74" s="488"/>
      <c r="D74" s="488"/>
      <c r="E74" s="48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9" t="s">
        <v>111</v>
      </c>
      <c r="B75" s="490"/>
      <c r="C75" s="400" t="s">
        <v>2</v>
      </c>
      <c r="D75" s="400" t="s">
        <v>37</v>
      </c>
      <c r="E75" s="400" t="s">
        <v>3</v>
      </c>
      <c r="F75" s="490" t="s">
        <v>38</v>
      </c>
      <c r="G75" s="490"/>
      <c r="H75" s="490"/>
      <c r="I75" s="490"/>
      <c r="J75" s="490"/>
      <c r="K75" s="491" t="s">
        <v>58</v>
      </c>
      <c r="L75" s="492"/>
      <c r="M75" s="492"/>
      <c r="N75" s="492"/>
      <c r="O75" s="492"/>
      <c r="P75" s="492"/>
      <c r="Q75" s="492"/>
      <c r="R75" s="492"/>
      <c r="S75" s="493"/>
      <c r="T75" s="490" t="s">
        <v>49</v>
      </c>
      <c r="U75" s="490"/>
      <c r="V75" s="491" t="s">
        <v>50</v>
      </c>
      <c r="W75" s="493"/>
      <c r="X75" s="492" t="s">
        <v>51</v>
      </c>
      <c r="Y75" s="492"/>
      <c r="Z75" s="492"/>
      <c r="AA75" s="492"/>
      <c r="AB75" s="492"/>
      <c r="AC75" s="492"/>
      <c r="AD75" s="494"/>
      <c r="AF75" s="50"/>
    </row>
    <row r="76" spans="1:32" ht="33.75" customHeight="1">
      <c r="A76" s="503">
        <v>1</v>
      </c>
      <c r="B76" s="504"/>
      <c r="C76" s="399" t="s">
        <v>112</v>
      </c>
      <c r="D76" s="399"/>
      <c r="E76" s="65" t="s">
        <v>117</v>
      </c>
      <c r="F76" s="505" t="s">
        <v>116</v>
      </c>
      <c r="G76" s="506"/>
      <c r="H76" s="506"/>
      <c r="I76" s="506"/>
      <c r="J76" s="507"/>
      <c r="K76" s="508" t="s">
        <v>122</v>
      </c>
      <c r="L76" s="509"/>
      <c r="M76" s="509"/>
      <c r="N76" s="509"/>
      <c r="O76" s="509"/>
      <c r="P76" s="509"/>
      <c r="Q76" s="509"/>
      <c r="R76" s="509"/>
      <c r="S76" s="510"/>
      <c r="T76" s="511">
        <v>43675</v>
      </c>
      <c r="U76" s="512"/>
      <c r="V76" s="513"/>
      <c r="W76" s="513"/>
      <c r="X76" s="514"/>
      <c r="Y76" s="514"/>
      <c r="Z76" s="514"/>
      <c r="AA76" s="514"/>
      <c r="AB76" s="514"/>
      <c r="AC76" s="514"/>
      <c r="AD76" s="515"/>
      <c r="AF76" s="50"/>
    </row>
    <row r="77" spans="1:32" ht="30" customHeight="1">
      <c r="A77" s="495">
        <f>A76+1</f>
        <v>2</v>
      </c>
      <c r="B77" s="496"/>
      <c r="C77" s="398"/>
      <c r="D77" s="398"/>
      <c r="E77" s="32"/>
      <c r="F77" s="496"/>
      <c r="G77" s="496"/>
      <c r="H77" s="496"/>
      <c r="I77" s="496"/>
      <c r="J77" s="496"/>
      <c r="K77" s="497"/>
      <c r="L77" s="498"/>
      <c r="M77" s="498"/>
      <c r="N77" s="498"/>
      <c r="O77" s="498"/>
      <c r="P77" s="498"/>
      <c r="Q77" s="498"/>
      <c r="R77" s="498"/>
      <c r="S77" s="499"/>
      <c r="T77" s="500"/>
      <c r="U77" s="500"/>
      <c r="V77" s="500"/>
      <c r="W77" s="500"/>
      <c r="X77" s="501"/>
      <c r="Y77" s="501"/>
      <c r="Z77" s="501"/>
      <c r="AA77" s="501"/>
      <c r="AB77" s="501"/>
      <c r="AC77" s="501"/>
      <c r="AD77" s="502"/>
      <c r="AF77" s="50"/>
    </row>
    <row r="78" spans="1:32" ht="30" customHeight="1">
      <c r="A78" s="495">
        <f t="shared" ref="A78:A82" si="10">A77+1</f>
        <v>3</v>
      </c>
      <c r="B78" s="496"/>
      <c r="C78" s="398"/>
      <c r="D78" s="398"/>
      <c r="E78" s="32"/>
      <c r="F78" s="496"/>
      <c r="G78" s="496"/>
      <c r="H78" s="496"/>
      <c r="I78" s="496"/>
      <c r="J78" s="496"/>
      <c r="K78" s="497"/>
      <c r="L78" s="498"/>
      <c r="M78" s="498"/>
      <c r="N78" s="498"/>
      <c r="O78" s="498"/>
      <c r="P78" s="498"/>
      <c r="Q78" s="498"/>
      <c r="R78" s="498"/>
      <c r="S78" s="499"/>
      <c r="T78" s="500"/>
      <c r="U78" s="500"/>
      <c r="V78" s="500"/>
      <c r="W78" s="500"/>
      <c r="X78" s="501"/>
      <c r="Y78" s="501"/>
      <c r="Z78" s="501"/>
      <c r="AA78" s="501"/>
      <c r="AB78" s="501"/>
      <c r="AC78" s="501"/>
      <c r="AD78" s="502"/>
      <c r="AF78" s="50"/>
    </row>
    <row r="79" spans="1:32" ht="30" customHeight="1">
      <c r="A79" s="495">
        <f t="shared" si="10"/>
        <v>4</v>
      </c>
      <c r="B79" s="496"/>
      <c r="C79" s="398"/>
      <c r="D79" s="398"/>
      <c r="E79" s="32"/>
      <c r="F79" s="496"/>
      <c r="G79" s="496"/>
      <c r="H79" s="496"/>
      <c r="I79" s="496"/>
      <c r="J79" s="496"/>
      <c r="K79" s="497"/>
      <c r="L79" s="498"/>
      <c r="M79" s="498"/>
      <c r="N79" s="498"/>
      <c r="O79" s="498"/>
      <c r="P79" s="498"/>
      <c r="Q79" s="498"/>
      <c r="R79" s="498"/>
      <c r="S79" s="499"/>
      <c r="T79" s="500"/>
      <c r="U79" s="500"/>
      <c r="V79" s="500"/>
      <c r="W79" s="500"/>
      <c r="X79" s="501"/>
      <c r="Y79" s="501"/>
      <c r="Z79" s="501"/>
      <c r="AA79" s="501"/>
      <c r="AB79" s="501"/>
      <c r="AC79" s="501"/>
      <c r="AD79" s="502"/>
      <c r="AF79" s="50"/>
    </row>
    <row r="80" spans="1:32" ht="30" customHeight="1">
      <c r="A80" s="495">
        <f t="shared" si="10"/>
        <v>5</v>
      </c>
      <c r="B80" s="496"/>
      <c r="C80" s="398"/>
      <c r="D80" s="398"/>
      <c r="E80" s="32"/>
      <c r="F80" s="496"/>
      <c r="G80" s="496"/>
      <c r="H80" s="496"/>
      <c r="I80" s="496"/>
      <c r="J80" s="496"/>
      <c r="K80" s="497"/>
      <c r="L80" s="498"/>
      <c r="M80" s="498"/>
      <c r="N80" s="498"/>
      <c r="O80" s="498"/>
      <c r="P80" s="498"/>
      <c r="Q80" s="498"/>
      <c r="R80" s="498"/>
      <c r="S80" s="499"/>
      <c r="T80" s="500"/>
      <c r="U80" s="500"/>
      <c r="V80" s="500"/>
      <c r="W80" s="500"/>
      <c r="X80" s="501"/>
      <c r="Y80" s="501"/>
      <c r="Z80" s="501"/>
      <c r="AA80" s="501"/>
      <c r="AB80" s="501"/>
      <c r="AC80" s="501"/>
      <c r="AD80" s="502"/>
      <c r="AF80" s="50"/>
    </row>
    <row r="81" spans="1:32" ht="30" customHeight="1">
      <c r="A81" s="495">
        <f t="shared" si="10"/>
        <v>6</v>
      </c>
      <c r="B81" s="496"/>
      <c r="C81" s="398"/>
      <c r="D81" s="398"/>
      <c r="E81" s="32"/>
      <c r="F81" s="496"/>
      <c r="G81" s="496"/>
      <c r="H81" s="496"/>
      <c r="I81" s="496"/>
      <c r="J81" s="496"/>
      <c r="K81" s="497"/>
      <c r="L81" s="498"/>
      <c r="M81" s="498"/>
      <c r="N81" s="498"/>
      <c r="O81" s="498"/>
      <c r="P81" s="498"/>
      <c r="Q81" s="498"/>
      <c r="R81" s="498"/>
      <c r="S81" s="499"/>
      <c r="T81" s="500"/>
      <c r="U81" s="500"/>
      <c r="V81" s="500"/>
      <c r="W81" s="500"/>
      <c r="X81" s="501"/>
      <c r="Y81" s="501"/>
      <c r="Z81" s="501"/>
      <c r="AA81" s="501"/>
      <c r="AB81" s="501"/>
      <c r="AC81" s="501"/>
      <c r="AD81" s="502"/>
      <c r="AF81" s="50"/>
    </row>
    <row r="82" spans="1:32" ht="30" customHeight="1">
      <c r="A82" s="495">
        <f t="shared" si="10"/>
        <v>7</v>
      </c>
      <c r="B82" s="496"/>
      <c r="C82" s="398"/>
      <c r="D82" s="398"/>
      <c r="E82" s="32"/>
      <c r="F82" s="496"/>
      <c r="G82" s="496"/>
      <c r="H82" s="496"/>
      <c r="I82" s="496"/>
      <c r="J82" s="496"/>
      <c r="K82" s="497"/>
      <c r="L82" s="498"/>
      <c r="M82" s="498"/>
      <c r="N82" s="498"/>
      <c r="O82" s="498"/>
      <c r="P82" s="498"/>
      <c r="Q82" s="498"/>
      <c r="R82" s="498"/>
      <c r="S82" s="499"/>
      <c r="T82" s="500"/>
      <c r="U82" s="500"/>
      <c r="V82" s="500"/>
      <c r="W82" s="500"/>
      <c r="X82" s="501"/>
      <c r="Y82" s="501"/>
      <c r="Z82" s="501"/>
      <c r="AA82" s="501"/>
      <c r="AB82" s="501"/>
      <c r="AC82" s="501"/>
      <c r="AD82" s="502"/>
      <c r="AF82" s="50"/>
    </row>
    <row r="83" spans="1:32" ht="36" thickBot="1">
      <c r="A83" s="488" t="s">
        <v>616</v>
      </c>
      <c r="B83" s="488"/>
      <c r="C83" s="488"/>
      <c r="D83" s="488"/>
      <c r="E83" s="48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9" t="s">
        <v>111</v>
      </c>
      <c r="B84" s="490"/>
      <c r="C84" s="516" t="s">
        <v>52</v>
      </c>
      <c r="D84" s="516"/>
      <c r="E84" s="516" t="s">
        <v>53</v>
      </c>
      <c r="F84" s="516"/>
      <c r="G84" s="516"/>
      <c r="H84" s="516"/>
      <c r="I84" s="516"/>
      <c r="J84" s="516"/>
      <c r="K84" s="516" t="s">
        <v>54</v>
      </c>
      <c r="L84" s="516"/>
      <c r="M84" s="516"/>
      <c r="N84" s="516"/>
      <c r="O84" s="516"/>
      <c r="P84" s="516"/>
      <c r="Q84" s="516"/>
      <c r="R84" s="516"/>
      <c r="S84" s="516"/>
      <c r="T84" s="516" t="s">
        <v>55</v>
      </c>
      <c r="U84" s="516"/>
      <c r="V84" s="516" t="s">
        <v>56</v>
      </c>
      <c r="W84" s="516"/>
      <c r="X84" s="516"/>
      <c r="Y84" s="516" t="s">
        <v>51</v>
      </c>
      <c r="Z84" s="516"/>
      <c r="AA84" s="516"/>
      <c r="AB84" s="516"/>
      <c r="AC84" s="516"/>
      <c r="AD84" s="517"/>
      <c r="AF84" s="50"/>
    </row>
    <row r="85" spans="1:32" ht="30.75" customHeight="1">
      <c r="A85" s="503">
        <v>1</v>
      </c>
      <c r="B85" s="504"/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8"/>
      <c r="S85" s="518"/>
      <c r="T85" s="518"/>
      <c r="U85" s="518"/>
      <c r="V85" s="519"/>
      <c r="W85" s="519"/>
      <c r="X85" s="519"/>
      <c r="Y85" s="520"/>
      <c r="Z85" s="520"/>
      <c r="AA85" s="520"/>
      <c r="AB85" s="520"/>
      <c r="AC85" s="520"/>
      <c r="AD85" s="521"/>
      <c r="AF85" s="50"/>
    </row>
    <row r="86" spans="1:32" ht="30.75" customHeight="1">
      <c r="A86" s="495">
        <v>2</v>
      </c>
      <c r="B86" s="49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30"/>
      <c r="U86" s="530"/>
      <c r="V86" s="531"/>
      <c r="W86" s="531"/>
      <c r="X86" s="531"/>
      <c r="Y86" s="522"/>
      <c r="Z86" s="522"/>
      <c r="AA86" s="522"/>
      <c r="AB86" s="522"/>
      <c r="AC86" s="522"/>
      <c r="AD86" s="523"/>
      <c r="AF86" s="50"/>
    </row>
    <row r="87" spans="1:32" ht="30.75" customHeight="1" thickBot="1">
      <c r="A87" s="524">
        <v>3</v>
      </c>
      <c r="B87" s="525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6"/>
      <c r="U87" s="526"/>
      <c r="V87" s="526"/>
      <c r="W87" s="526"/>
      <c r="X87" s="526"/>
      <c r="Y87" s="527"/>
      <c r="Z87" s="527"/>
      <c r="AA87" s="527"/>
      <c r="AB87" s="527"/>
      <c r="AC87" s="527"/>
      <c r="AD87" s="52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9" sqref="AJ9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32" t="s">
        <v>181</v>
      </c>
      <c r="B1" s="532"/>
      <c r="C1" s="532"/>
      <c r="D1" s="532"/>
      <c r="E1" s="532"/>
      <c r="F1" s="532"/>
      <c r="G1" s="532"/>
      <c r="H1" s="532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4" t="s">
        <v>60</v>
      </c>
      <c r="B3" s="115">
        <f>'01'!AD6</f>
        <v>0.20833333333333334</v>
      </c>
      <c r="C3" s="115">
        <f>'02'!AD6</f>
        <v>0.20833333333333334</v>
      </c>
      <c r="D3" s="116">
        <f>'03'!AD6</f>
        <v>0</v>
      </c>
      <c r="E3" s="116"/>
      <c r="F3" s="116"/>
      <c r="G3" s="116">
        <f>'06'!AD6</f>
        <v>0.79166666666666663</v>
      </c>
      <c r="H3" s="116">
        <f>'07'!AD6</f>
        <v>0.91666666666666663</v>
      </c>
      <c r="I3" s="116">
        <f>'08'!AD6</f>
        <v>0</v>
      </c>
      <c r="J3" s="116">
        <f>'09'!AD6</f>
        <v>0</v>
      </c>
      <c r="K3" s="116">
        <f>'10'!AD6</f>
        <v>0.75</v>
      </c>
      <c r="L3" s="116">
        <f>'11'!AD6</f>
        <v>1</v>
      </c>
      <c r="M3" s="116"/>
      <c r="N3" s="117">
        <f>'13'!AD6</f>
        <v>0.25</v>
      </c>
      <c r="O3" s="116">
        <f>'14'!AD6</f>
        <v>0</v>
      </c>
      <c r="P3" s="116">
        <f>'15'!AD6</f>
        <v>0</v>
      </c>
      <c r="Q3" s="116">
        <f>'16'!AD6</f>
        <v>0.75</v>
      </c>
      <c r="R3" s="116">
        <f>'17'!AD6</f>
        <v>0.91666666666666663</v>
      </c>
      <c r="S3" s="116">
        <f>'18'!AD6</f>
        <v>1</v>
      </c>
      <c r="T3" s="116">
        <f>'19'!AD6</f>
        <v>0.41666666666666669</v>
      </c>
      <c r="U3" s="116">
        <f>'20'!AD6</f>
        <v>1</v>
      </c>
      <c r="V3" s="116">
        <f>'21'!AD6</f>
        <v>0.79166666666666663</v>
      </c>
      <c r="W3" s="117">
        <f>'22'!AD6</f>
        <v>0.54166666666666663</v>
      </c>
      <c r="X3" s="116">
        <f>'23'!AD6</f>
        <v>1</v>
      </c>
      <c r="Y3" s="116">
        <f>'24'!AD6</f>
        <v>1</v>
      </c>
      <c r="Z3" s="116">
        <f>'25'!AD6</f>
        <v>0.875</v>
      </c>
      <c r="AA3" s="116">
        <f>'26'!AD6</f>
        <v>0.41666666666666669</v>
      </c>
      <c r="AB3" s="116">
        <f>'27'!AD6</f>
        <v>0.83333333333333337</v>
      </c>
      <c r="AC3" s="116">
        <f>'28'!AD6</f>
        <v>0.20833333333333334</v>
      </c>
      <c r="AD3" s="116">
        <f>'29'!AD6</f>
        <v>1</v>
      </c>
      <c r="AE3" s="116">
        <f>'30'!AD6</f>
        <v>0.29166666666666669</v>
      </c>
      <c r="AF3" s="118"/>
      <c r="AG3" s="119">
        <f>SUM(B3:AF3)/30</f>
        <v>0.50555555555555554</v>
      </c>
    </row>
    <row r="4" spans="1:33" ht="21.75" customHeight="1">
      <c r="A4" s="101" t="s">
        <v>61</v>
      </c>
      <c r="B4" s="98">
        <f>'01'!AD7</f>
        <v>0.79166666666666663</v>
      </c>
      <c r="C4" s="98">
        <f>'02'!AD7</f>
        <v>1</v>
      </c>
      <c r="D4" s="77">
        <f>'03'!AD7</f>
        <v>0.45833333333333331</v>
      </c>
      <c r="E4" s="77"/>
      <c r="F4" s="77"/>
      <c r="G4" s="77">
        <f>'06'!AD7</f>
        <v>0</v>
      </c>
      <c r="H4" s="77">
        <f>'07'!AD7</f>
        <v>0</v>
      </c>
      <c r="I4" s="77">
        <f>'08'!AD7</f>
        <v>0</v>
      </c>
      <c r="J4" s="77">
        <f>'09'!AD7</f>
        <v>0</v>
      </c>
      <c r="K4" s="77">
        <f>'10'!AD7</f>
        <v>0</v>
      </c>
      <c r="L4" s="77">
        <f>'11'!AD7</f>
        <v>0</v>
      </c>
      <c r="M4" s="77"/>
      <c r="N4" s="77">
        <f>'13'!AD7+'13'!AD8</f>
        <v>0.375</v>
      </c>
      <c r="O4" s="77">
        <f>'14'!AD7</f>
        <v>0.66666666666666663</v>
      </c>
      <c r="P4" s="77">
        <f>'15'!AD7</f>
        <v>1</v>
      </c>
      <c r="Q4" s="77">
        <f>'16'!AD7</f>
        <v>1</v>
      </c>
      <c r="R4" s="77">
        <f>'17'!AD7</f>
        <v>1</v>
      </c>
      <c r="S4" s="77">
        <f>'18'!AD7</f>
        <v>1</v>
      </c>
      <c r="T4" s="77">
        <f>'19'!AD7</f>
        <v>0</v>
      </c>
      <c r="U4" s="77">
        <f>'20'!AD7</f>
        <v>0</v>
      </c>
      <c r="V4" s="77">
        <f>'21'!AD7</f>
        <v>0</v>
      </c>
      <c r="W4" s="77">
        <f>'22'!AD7</f>
        <v>0</v>
      </c>
      <c r="X4" s="77">
        <f>'23'!AD7</f>
        <v>0.875</v>
      </c>
      <c r="Y4" s="77">
        <f>'24'!AD7</f>
        <v>0</v>
      </c>
      <c r="Z4" s="77">
        <f>'25'!AD7</f>
        <v>0</v>
      </c>
      <c r="AA4" s="77">
        <f>'26'!AD7</f>
        <v>0</v>
      </c>
      <c r="AB4" s="77">
        <f>'27'!AD7</f>
        <v>0</v>
      </c>
      <c r="AC4" s="77">
        <f>'28'!AD7</f>
        <v>0</v>
      </c>
      <c r="AD4" s="77">
        <f>'29'!AD7</f>
        <v>0</v>
      </c>
      <c r="AE4" s="77">
        <f>'30'!AD7</f>
        <v>0.25</v>
      </c>
      <c r="AF4" s="78"/>
      <c r="AG4" s="79">
        <f t="shared" ref="AG4:AG19" si="0">SUM(B4:AF4)/30</f>
        <v>0.28055555555555556</v>
      </c>
    </row>
    <row r="5" spans="1:33" ht="21.75" customHeight="1">
      <c r="A5" s="100" t="s">
        <v>62</v>
      </c>
      <c r="B5" s="97">
        <f>'01'!AD8</f>
        <v>1</v>
      </c>
      <c r="C5" s="97">
        <f>'02'!AD8</f>
        <v>1</v>
      </c>
      <c r="D5" s="74">
        <f>'03'!AD8</f>
        <v>1</v>
      </c>
      <c r="E5" s="74"/>
      <c r="F5" s="74"/>
      <c r="G5" s="74">
        <f>'06'!AD8</f>
        <v>0.95833333333333337</v>
      </c>
      <c r="H5" s="74">
        <f>'07'!AD8</f>
        <v>1</v>
      </c>
      <c r="I5" s="74">
        <f>'08'!AD8</f>
        <v>1</v>
      </c>
      <c r="J5" s="74">
        <f>'09'!AD8</f>
        <v>1</v>
      </c>
      <c r="K5" s="74">
        <f>'10'!AD8</f>
        <v>1</v>
      </c>
      <c r="L5" s="74">
        <f>'11'!AD8</f>
        <v>1</v>
      </c>
      <c r="M5" s="74"/>
      <c r="N5" s="74">
        <f>'13'!AD9</f>
        <v>1</v>
      </c>
      <c r="O5" s="74">
        <f>'14'!AD8</f>
        <v>1</v>
      </c>
      <c r="P5" s="74">
        <f>'15'!AD8</f>
        <v>1</v>
      </c>
      <c r="Q5" s="74">
        <f>'16'!AD8</f>
        <v>1</v>
      </c>
      <c r="R5" s="74">
        <f>'17'!AD8</f>
        <v>1</v>
      </c>
      <c r="S5" s="74">
        <f>'18'!AD8</f>
        <v>1</v>
      </c>
      <c r="T5" s="74">
        <f>'19'!AD8</f>
        <v>0.25</v>
      </c>
      <c r="U5" s="74">
        <f>'20'!AD8</f>
        <v>0.91666666666666663</v>
      </c>
      <c r="V5" s="74">
        <f>'21'!AD8</f>
        <v>1</v>
      </c>
      <c r="W5" s="104">
        <f>'22'!AD8</f>
        <v>1</v>
      </c>
      <c r="X5" s="74">
        <f>'23'!AD8</f>
        <v>1</v>
      </c>
      <c r="Y5" s="74">
        <f>'24'!AD8</f>
        <v>1</v>
      </c>
      <c r="Z5" s="74">
        <f>'25'!AD8</f>
        <v>1</v>
      </c>
      <c r="AA5" s="74">
        <f>'26'!AD8</f>
        <v>0.41666666666666669</v>
      </c>
      <c r="AB5" s="74">
        <f>'27'!AD8</f>
        <v>1</v>
      </c>
      <c r="AC5" s="74">
        <f>'28'!AD8</f>
        <v>1</v>
      </c>
      <c r="AD5" s="74">
        <f>'29'!AD8+'29'!AD9</f>
        <v>0.95833333333333337</v>
      </c>
      <c r="AE5" s="74">
        <f>'30'!AD8</f>
        <v>1</v>
      </c>
      <c r="AF5" s="75"/>
      <c r="AG5" s="76">
        <f t="shared" si="0"/>
        <v>0.85</v>
      </c>
    </row>
    <row r="6" spans="1:33" ht="21.75" customHeight="1">
      <c r="A6" s="101" t="s">
        <v>63</v>
      </c>
      <c r="B6" s="98">
        <f>'01'!AD9</f>
        <v>0.875</v>
      </c>
      <c r="C6" s="98">
        <f>'02'!AD9</f>
        <v>0.41666666666666669</v>
      </c>
      <c r="D6" s="77">
        <f>'03'!AD9</f>
        <v>0.75</v>
      </c>
      <c r="E6" s="77"/>
      <c r="F6" s="77"/>
      <c r="G6" s="77">
        <f>'06'!AD9</f>
        <v>0.79166666666666663</v>
      </c>
      <c r="H6" s="77">
        <f>'07'!AD9</f>
        <v>0.91666666666666663</v>
      </c>
      <c r="I6" s="77">
        <f>'08'!AD9</f>
        <v>1</v>
      </c>
      <c r="J6" s="77">
        <f>'09'!AD9</f>
        <v>0.91666666666666663</v>
      </c>
      <c r="K6" s="77">
        <f>'10'!AD9</f>
        <v>0.875</v>
      </c>
      <c r="L6" s="77">
        <f>'11'!AD9</f>
        <v>0.75</v>
      </c>
      <c r="M6" s="77"/>
      <c r="N6" s="77">
        <f>'13'!AD10</f>
        <v>0.875</v>
      </c>
      <c r="O6" s="77">
        <f>'14'!AD9</f>
        <v>0.75</v>
      </c>
      <c r="P6" s="77">
        <f>'15'!AD9</f>
        <v>0.375</v>
      </c>
      <c r="Q6" s="77">
        <f>'16'!AD9</f>
        <v>0.70833333333333337</v>
      </c>
      <c r="R6" s="77">
        <f>'17'!AD9</f>
        <v>1</v>
      </c>
      <c r="S6" s="77">
        <f>'18'!AD9</f>
        <v>1</v>
      </c>
      <c r="T6" s="77">
        <f>'19'!AD9</f>
        <v>0.375</v>
      </c>
      <c r="U6" s="77">
        <f>'20'!AD9</f>
        <v>1</v>
      </c>
      <c r="V6" s="77">
        <f>'21'!AD9+'21'!AD10</f>
        <v>0.5</v>
      </c>
      <c r="W6" s="77">
        <f>'22'!AD9</f>
        <v>0.875</v>
      </c>
      <c r="X6" s="77">
        <f>'23'!AD9</f>
        <v>0.41666666666666669</v>
      </c>
      <c r="Y6" s="77">
        <f>'24'!AD9</f>
        <v>0.83333333333333337</v>
      </c>
      <c r="Z6" s="77">
        <f>'25'!AD9</f>
        <v>0.79166666666666663</v>
      </c>
      <c r="AA6" s="77">
        <f>'26'!AD9</f>
        <v>0</v>
      </c>
      <c r="AB6" s="77">
        <f>'27'!AD9</f>
        <v>1</v>
      </c>
      <c r="AC6" s="77">
        <f>'28'!AD9</f>
        <v>1</v>
      </c>
      <c r="AD6" s="77">
        <f>'29'!AD10</f>
        <v>0.66666666666666663</v>
      </c>
      <c r="AE6" s="77">
        <f>'30'!AD9</f>
        <v>1</v>
      </c>
      <c r="AF6" s="78"/>
      <c r="AG6" s="79">
        <f t="shared" si="0"/>
        <v>0.68194444444444458</v>
      </c>
    </row>
    <row r="7" spans="1:33" ht="21.75" customHeight="1">
      <c r="A7" s="101" t="s">
        <v>64</v>
      </c>
      <c r="B7" s="98">
        <f>'01'!AD10</f>
        <v>0.75</v>
      </c>
      <c r="C7" s="98">
        <f>'02'!AD10</f>
        <v>1</v>
      </c>
      <c r="D7" s="77">
        <f>'03'!AD10</f>
        <v>0.91666666666666663</v>
      </c>
      <c r="E7" s="77"/>
      <c r="F7" s="77"/>
      <c r="G7" s="77">
        <f>'06'!AD10</f>
        <v>0</v>
      </c>
      <c r="H7" s="77">
        <f>'07'!AD10</f>
        <v>0</v>
      </c>
      <c r="I7" s="77">
        <f>'08'!AD10</f>
        <v>0.75</v>
      </c>
      <c r="J7" s="77">
        <f>'09'!AD10</f>
        <v>0</v>
      </c>
      <c r="K7" s="77">
        <f>'10'!AD10</f>
        <v>0.79166666666666663</v>
      </c>
      <c r="L7" s="77">
        <f>'11'!AD10</f>
        <v>0.79166666666666663</v>
      </c>
      <c r="M7" s="77"/>
      <c r="N7" s="77">
        <f>'13'!AD11</f>
        <v>0.45833333333333331</v>
      </c>
      <c r="O7" s="77">
        <f>'14'!AD10</f>
        <v>0.91666666666666663</v>
      </c>
      <c r="P7" s="77">
        <f>'15'!AD10</f>
        <v>0.41666666666666669</v>
      </c>
      <c r="Q7" s="77">
        <f>'16'!AD10</f>
        <v>0</v>
      </c>
      <c r="R7" s="77">
        <f>'17'!AD10</f>
        <v>0</v>
      </c>
      <c r="S7" s="77">
        <f>'18'!AD10</f>
        <v>0</v>
      </c>
      <c r="T7" s="77">
        <f>'19'!AD10</f>
        <v>0</v>
      </c>
      <c r="U7" s="77">
        <f>'20'!AD10</f>
        <v>0</v>
      </c>
      <c r="V7" s="77">
        <f>'21'!AD11</f>
        <v>0</v>
      </c>
      <c r="W7" s="77">
        <f>'22'!AD10</f>
        <v>0.41666666666666669</v>
      </c>
      <c r="X7" s="77">
        <f>'23'!AD10</f>
        <v>0.75</v>
      </c>
      <c r="Y7" s="77">
        <f>'24'!AD10</f>
        <v>0.45833333333333331</v>
      </c>
      <c r="Z7" s="77">
        <f>'25'!AD10</f>
        <v>0.5</v>
      </c>
      <c r="AA7" s="77">
        <f>'26'!AD10</f>
        <v>0</v>
      </c>
      <c r="AB7" s="77">
        <f>'27'!AD10</f>
        <v>0</v>
      </c>
      <c r="AC7" s="77">
        <f>'28'!AD10</f>
        <v>0</v>
      </c>
      <c r="AD7" s="77">
        <f>'29'!AD11</f>
        <v>0.79166666666666663</v>
      </c>
      <c r="AE7" s="77">
        <f>'30'!AD10</f>
        <v>1</v>
      </c>
      <c r="AF7" s="78"/>
      <c r="AG7" s="79">
        <f t="shared" si="0"/>
        <v>0.35694444444444445</v>
      </c>
    </row>
    <row r="8" spans="1:33" ht="21.75" customHeight="1">
      <c r="A8" s="101" t="s">
        <v>65</v>
      </c>
      <c r="B8" s="98">
        <f>'01'!AD11</f>
        <v>0.45833333333333331</v>
      </c>
      <c r="C8" s="98">
        <f>'02'!AD11</f>
        <v>0.91666666666666663</v>
      </c>
      <c r="D8" s="77">
        <f>'03'!AD11</f>
        <v>0.66666666666666663</v>
      </c>
      <c r="E8" s="77"/>
      <c r="F8" s="77"/>
      <c r="G8" s="77">
        <f>'06'!AD11</f>
        <v>0.91666666666666663</v>
      </c>
      <c r="H8" s="77">
        <f>'07'!AD11</f>
        <v>1</v>
      </c>
      <c r="I8" s="77">
        <f>'08'!AD11</f>
        <v>1</v>
      </c>
      <c r="J8" s="77">
        <f>'09'!AD11</f>
        <v>0.91666666666666663</v>
      </c>
      <c r="K8" s="77">
        <f>'10'!AD11</f>
        <v>0.17981683691440647</v>
      </c>
      <c r="L8" s="77">
        <f>'11'!AD11</f>
        <v>1</v>
      </c>
      <c r="M8" s="77"/>
      <c r="N8" s="77">
        <f>'13'!AD12+'13'!AD13</f>
        <v>0.41666666666666669</v>
      </c>
      <c r="O8" s="77">
        <f>'14'!AD11</f>
        <v>0.41666666666666669</v>
      </c>
      <c r="P8" s="77">
        <f>'15'!AD11</f>
        <v>0.625</v>
      </c>
      <c r="Q8" s="77">
        <f>'16'!AD11</f>
        <v>0.66666666666666663</v>
      </c>
      <c r="R8" s="77">
        <f>'17'!AD11</f>
        <v>0.79166666666666663</v>
      </c>
      <c r="S8" s="77">
        <f>'18'!AD11</f>
        <v>0.91666666666666663</v>
      </c>
      <c r="T8" s="77">
        <f>'19'!AD11</f>
        <v>0.41666666666666669</v>
      </c>
      <c r="U8" s="77">
        <f>'20'!AD11</f>
        <v>0.79166666666666663</v>
      </c>
      <c r="V8" s="77">
        <f>'21'!AD12</f>
        <v>0.625</v>
      </c>
      <c r="W8" s="77">
        <f>'22'!AD11</f>
        <v>1</v>
      </c>
      <c r="X8" s="77">
        <f>'23'!AD11</f>
        <v>1</v>
      </c>
      <c r="Y8" s="77">
        <f>'24'!AD11</f>
        <v>1</v>
      </c>
      <c r="Z8" s="77">
        <f>'25'!AD11</f>
        <v>1</v>
      </c>
      <c r="AA8" s="77">
        <f>'26'!AD11</f>
        <v>0.20833333333333334</v>
      </c>
      <c r="AB8" s="77">
        <f>'27'!AD11</f>
        <v>1</v>
      </c>
      <c r="AC8" s="77">
        <f>'28'!AD11</f>
        <v>0.70833333333333337</v>
      </c>
      <c r="AD8" s="77">
        <f>'29'!AD12</f>
        <v>0.875</v>
      </c>
      <c r="AE8" s="77">
        <f>'30'!AD11</f>
        <v>0.91666666666666663</v>
      </c>
      <c r="AF8" s="78"/>
      <c r="AG8" s="79">
        <f t="shared" si="0"/>
        <v>0.68099389456381343</v>
      </c>
    </row>
    <row r="9" spans="1:33" ht="21.75" customHeight="1">
      <c r="A9" s="101" t="s">
        <v>66</v>
      </c>
      <c r="B9" s="98">
        <f>'01'!AD12+'01'!AD13</f>
        <v>0.95833333333333337</v>
      </c>
      <c r="C9" s="98">
        <f>'02'!AD12</f>
        <v>0.91666666666666663</v>
      </c>
      <c r="D9" s="77">
        <f>'03'!AD12</f>
        <v>0.875</v>
      </c>
      <c r="E9" s="77"/>
      <c r="F9" s="77"/>
      <c r="G9" s="77">
        <f>'06'!AD12</f>
        <v>0.91666666666666663</v>
      </c>
      <c r="H9" s="77">
        <f>'07'!AD12</f>
        <v>1</v>
      </c>
      <c r="I9" s="77">
        <f>'08'!AD12+'08'!AD13</f>
        <v>0.625</v>
      </c>
      <c r="J9" s="77">
        <f>'09'!AD12</f>
        <v>0.95833333333333337</v>
      </c>
      <c r="K9" s="77">
        <f>'10'!AD12</f>
        <v>1</v>
      </c>
      <c r="L9" s="77">
        <f>'11'!AD12</f>
        <v>1</v>
      </c>
      <c r="M9" s="77"/>
      <c r="N9" s="77">
        <f>'13'!AD14</f>
        <v>1</v>
      </c>
      <c r="O9" s="77">
        <f>'14'!AD12</f>
        <v>1</v>
      </c>
      <c r="P9" s="77">
        <f>'15'!AD12</f>
        <v>0.70833333333333337</v>
      </c>
      <c r="Q9" s="77">
        <f>'16'!AD12</f>
        <v>1</v>
      </c>
      <c r="R9" s="77">
        <f>'17'!AD12</f>
        <v>1</v>
      </c>
      <c r="S9" s="77">
        <f>'18'!AD12</f>
        <v>1</v>
      </c>
      <c r="T9" s="77">
        <f>'19'!AD12</f>
        <v>0.41666666666666669</v>
      </c>
      <c r="U9" s="77">
        <f>'20'!AD12+'20'!AD13</f>
        <v>0.91666666666666674</v>
      </c>
      <c r="V9" s="77">
        <f>'21'!AD13</f>
        <v>1</v>
      </c>
      <c r="W9" s="77">
        <f>'22'!AD12</f>
        <v>1</v>
      </c>
      <c r="X9" s="77">
        <f>'23'!AD12</f>
        <v>1</v>
      </c>
      <c r="Y9" s="77">
        <f>'24'!AD12</f>
        <v>1</v>
      </c>
      <c r="Z9" s="77">
        <f>'25'!AD12</f>
        <v>1</v>
      </c>
      <c r="AA9" s="77">
        <f>'26'!AD12</f>
        <v>0.20833333333333334</v>
      </c>
      <c r="AB9" s="77">
        <f>'27'!AD12</f>
        <v>0.79166666666666663</v>
      </c>
      <c r="AC9" s="77">
        <f>'28'!AD12</f>
        <v>0.875</v>
      </c>
      <c r="AD9" s="77">
        <f>'29'!AD13</f>
        <v>0.70833333333333337</v>
      </c>
      <c r="AE9" s="77">
        <f>'30'!AD12</f>
        <v>0.5</v>
      </c>
      <c r="AF9" s="78"/>
      <c r="AG9" s="79">
        <f t="shared" si="0"/>
        <v>0.77916666666666656</v>
      </c>
    </row>
    <row r="10" spans="1:33" ht="21.75" customHeight="1">
      <c r="A10" s="101" t="s">
        <v>67</v>
      </c>
      <c r="B10" s="98">
        <f>'01'!AD14</f>
        <v>1</v>
      </c>
      <c r="C10" s="98">
        <f>'02'!AD13</f>
        <v>1</v>
      </c>
      <c r="D10" s="77">
        <f>'03'!AD13</f>
        <v>0.91666666666666663</v>
      </c>
      <c r="E10" s="77"/>
      <c r="F10" s="77"/>
      <c r="G10" s="77">
        <f>'06'!AD13</f>
        <v>1</v>
      </c>
      <c r="H10" s="77">
        <f>'07'!AD13</f>
        <v>0.625</v>
      </c>
      <c r="I10" s="77">
        <f>'08'!AD14</f>
        <v>1</v>
      </c>
      <c r="J10" s="77">
        <f>'09'!AD13</f>
        <v>0.79166666666666663</v>
      </c>
      <c r="K10" s="77">
        <f>'10'!AD13</f>
        <v>1</v>
      </c>
      <c r="L10" s="77">
        <f>'11'!AD13</f>
        <v>1</v>
      </c>
      <c r="M10" s="77"/>
      <c r="N10" s="77">
        <f>'13'!AD15</f>
        <v>0</v>
      </c>
      <c r="O10" s="77">
        <f>'14'!AD13</f>
        <v>0.70833333333333337</v>
      </c>
      <c r="P10" s="77">
        <f>'15'!AD13</f>
        <v>1</v>
      </c>
      <c r="Q10" s="77">
        <f>'16'!AD13</f>
        <v>0.375</v>
      </c>
      <c r="R10" s="77">
        <f>'17'!AD13</f>
        <v>0.95833333333333337</v>
      </c>
      <c r="S10" s="77">
        <f>'18'!AD13</f>
        <v>0.58333333333333337</v>
      </c>
      <c r="T10" s="77">
        <f>'19'!AD13</f>
        <v>0</v>
      </c>
      <c r="U10" s="77">
        <f>'20'!AD14</f>
        <v>0.70833333333333337</v>
      </c>
      <c r="V10" s="77">
        <f>'21'!AD14</f>
        <v>1</v>
      </c>
      <c r="W10" s="77">
        <f>'22'!AD13</f>
        <v>1</v>
      </c>
      <c r="X10" s="77">
        <f>'23'!AD13</f>
        <v>1</v>
      </c>
      <c r="Y10" s="77">
        <f>'24'!AD13</f>
        <v>0.79166666666666663</v>
      </c>
      <c r="Z10" s="77">
        <f>'25'!AD13</f>
        <v>0.875</v>
      </c>
      <c r="AA10" s="77">
        <f>'26'!AD13</f>
        <v>0.25</v>
      </c>
      <c r="AB10" s="77">
        <f>'27'!AD13+'27'!AD14</f>
        <v>0.95833333333333337</v>
      </c>
      <c r="AC10" s="77">
        <f>'28'!AD13+'28'!AD14</f>
        <v>0.56491751990898753</v>
      </c>
      <c r="AD10" s="77">
        <f>'29'!AD14</f>
        <v>0.95833333333333337</v>
      </c>
      <c r="AE10" s="77">
        <f>'30'!AD13</f>
        <v>1</v>
      </c>
      <c r="AF10" s="78"/>
      <c r="AG10" s="79">
        <f t="shared" si="0"/>
        <v>0.70216391733029959</v>
      </c>
    </row>
    <row r="11" spans="1:33" ht="21.75" customHeight="1">
      <c r="A11" s="107" t="s">
        <v>68</v>
      </c>
      <c r="B11" s="108">
        <f>'01'!AD15</f>
        <v>0.20833333333333334</v>
      </c>
      <c r="C11" s="108">
        <f>'02'!AD14</f>
        <v>0</v>
      </c>
      <c r="D11" s="109">
        <f>'03'!AD14</f>
        <v>0</v>
      </c>
      <c r="E11" s="109"/>
      <c r="F11" s="109"/>
      <c r="G11" s="109">
        <f>'06'!AD14</f>
        <v>0</v>
      </c>
      <c r="H11" s="109">
        <f>'07'!AD14</f>
        <v>0</v>
      </c>
      <c r="I11" s="109">
        <f>'08'!AD15</f>
        <v>0</v>
      </c>
      <c r="J11" s="109">
        <f>'09'!AD14</f>
        <v>0</v>
      </c>
      <c r="K11" s="109">
        <f>'10'!AD14</f>
        <v>0</v>
      </c>
      <c r="L11" s="109">
        <f>'11'!AD14</f>
        <v>0</v>
      </c>
      <c r="M11" s="109"/>
      <c r="N11" s="109">
        <f>'13'!AD16</f>
        <v>0</v>
      </c>
      <c r="O11" s="109">
        <f>'14'!AD14</f>
        <v>0</v>
      </c>
      <c r="P11" s="109">
        <f>'15'!AD14</f>
        <v>0</v>
      </c>
      <c r="Q11" s="109">
        <f>'16'!AD14</f>
        <v>0</v>
      </c>
      <c r="R11" s="109">
        <f>'17'!AD14</f>
        <v>0</v>
      </c>
      <c r="S11" s="109">
        <f>'18'!AD14</f>
        <v>0</v>
      </c>
      <c r="T11" s="109">
        <f>'19'!AD14</f>
        <v>0</v>
      </c>
      <c r="U11" s="109">
        <f>'20'!AD15</f>
        <v>0</v>
      </c>
      <c r="V11" s="109">
        <f>'21'!AD15</f>
        <v>0</v>
      </c>
      <c r="W11" s="109">
        <f>'22'!AD14</f>
        <v>0</v>
      </c>
      <c r="X11" s="109">
        <f>'23'!AD14</f>
        <v>0</v>
      </c>
      <c r="Y11" s="109">
        <f>'24'!AD14</f>
        <v>0</v>
      </c>
      <c r="Z11" s="109">
        <f>'25'!AD14</f>
        <v>0</v>
      </c>
      <c r="AA11" s="109">
        <f>'26'!AD14</f>
        <v>0</v>
      </c>
      <c r="AB11" s="109">
        <f>'27'!AD15</f>
        <v>0</v>
      </c>
      <c r="AC11" s="109">
        <f>'28'!AD15</f>
        <v>0</v>
      </c>
      <c r="AD11" s="109">
        <f>'29'!AD15</f>
        <v>0</v>
      </c>
      <c r="AE11" s="109">
        <f>'30'!AD14</f>
        <v>0</v>
      </c>
      <c r="AF11" s="110"/>
      <c r="AG11" s="111">
        <f t="shared" si="0"/>
        <v>6.9444444444444449E-3</v>
      </c>
    </row>
    <row r="12" spans="1:33" ht="21.75" customHeight="1">
      <c r="A12" s="100" t="s">
        <v>69</v>
      </c>
      <c r="B12" s="97">
        <f>'01'!AD16</f>
        <v>0</v>
      </c>
      <c r="C12" s="97">
        <f>'02'!AD15</f>
        <v>0.95833333333333337</v>
      </c>
      <c r="D12" s="74">
        <f>'03'!AD15</f>
        <v>1</v>
      </c>
      <c r="E12" s="74"/>
      <c r="F12" s="74"/>
      <c r="G12" s="74">
        <f>'06'!AD15</f>
        <v>1</v>
      </c>
      <c r="H12" s="74">
        <f>'07'!AD15</f>
        <v>0</v>
      </c>
      <c r="I12" s="74">
        <f>'08'!AD16</f>
        <v>0.91666666666666663</v>
      </c>
      <c r="J12" s="74">
        <f>'09'!AD15</f>
        <v>0.58333333333333337</v>
      </c>
      <c r="K12" s="74">
        <f>'10'!AD15</f>
        <v>0</v>
      </c>
      <c r="L12" s="74">
        <f>'11'!AD15</f>
        <v>0</v>
      </c>
      <c r="M12" s="74"/>
      <c r="N12" s="74">
        <f>'13'!AD17</f>
        <v>0</v>
      </c>
      <c r="O12" s="74">
        <f>'14'!AD15</f>
        <v>0</v>
      </c>
      <c r="P12" s="74">
        <f>'15'!AD15</f>
        <v>0</v>
      </c>
      <c r="Q12" s="74">
        <f>'16'!AD15</f>
        <v>0.54166666666666663</v>
      </c>
      <c r="R12" s="74">
        <f>'17'!AD15</f>
        <v>1</v>
      </c>
      <c r="S12" s="74">
        <f>'18'!AD15</f>
        <v>0</v>
      </c>
      <c r="T12" s="74">
        <f>'19'!AD15</f>
        <v>0</v>
      </c>
      <c r="U12" s="74">
        <f>'20'!AD16</f>
        <v>0</v>
      </c>
      <c r="V12" s="74">
        <f>'21'!AD16</f>
        <v>0</v>
      </c>
      <c r="W12" s="74">
        <f>'22'!AD15</f>
        <v>0</v>
      </c>
      <c r="X12" s="74">
        <f>'23'!AD15</f>
        <v>0</v>
      </c>
      <c r="Y12" s="74">
        <f>'24'!AD15</f>
        <v>0</v>
      </c>
      <c r="Z12" s="74">
        <f>'25'!AD15</f>
        <v>0</v>
      </c>
      <c r="AA12" s="74">
        <f>'26'!AD15</f>
        <v>0</v>
      </c>
      <c r="AB12" s="74">
        <f>'27'!AD16</f>
        <v>0.91666666666666663</v>
      </c>
      <c r="AC12" s="74">
        <f>'28'!AD16+'28'!AD17</f>
        <v>0.91666666666666663</v>
      </c>
      <c r="AD12" s="74">
        <f>'29'!AD16</f>
        <v>0.70833333333333337</v>
      </c>
      <c r="AE12" s="74">
        <f>'30'!AD15</f>
        <v>0</v>
      </c>
      <c r="AF12" s="75"/>
      <c r="AG12" s="76">
        <f t="shared" si="0"/>
        <v>0.28472222222222227</v>
      </c>
    </row>
    <row r="13" spans="1:33" ht="21.75" customHeight="1">
      <c r="A13" s="100" t="s">
        <v>70</v>
      </c>
      <c r="B13" s="97">
        <f>'01'!AD17</f>
        <v>0</v>
      </c>
      <c r="C13" s="97">
        <f>'02'!AD16</f>
        <v>0</v>
      </c>
      <c r="D13" s="74">
        <f>'03'!AD16</f>
        <v>0</v>
      </c>
      <c r="E13" s="74"/>
      <c r="F13" s="74"/>
      <c r="G13" s="74">
        <f>'06'!AD16</f>
        <v>0</v>
      </c>
      <c r="H13" s="74">
        <f>'07'!AD16</f>
        <v>0</v>
      </c>
      <c r="I13" s="74">
        <f>'08'!AD17</f>
        <v>0</v>
      </c>
      <c r="J13" s="74">
        <f>'09'!AD16</f>
        <v>0</v>
      </c>
      <c r="K13" s="74">
        <f>'10'!AD16</f>
        <v>0</v>
      </c>
      <c r="L13" s="74">
        <f>'11'!AD16</f>
        <v>0</v>
      </c>
      <c r="M13" s="74"/>
      <c r="N13" s="74">
        <f>'13'!AD18</f>
        <v>0</v>
      </c>
      <c r="O13" s="74">
        <f>'14'!AD16</f>
        <v>0</v>
      </c>
      <c r="P13" s="74">
        <f>'15'!AD16</f>
        <v>0</v>
      </c>
      <c r="Q13" s="74">
        <f>'16'!AD16</f>
        <v>0</v>
      </c>
      <c r="R13" s="74">
        <f>'17'!AD16</f>
        <v>0</v>
      </c>
      <c r="S13" s="74">
        <f>'18'!AD16</f>
        <v>0</v>
      </c>
      <c r="T13" s="74">
        <f>'19'!AD16</f>
        <v>0</v>
      </c>
      <c r="U13" s="74">
        <f>'20'!AD17</f>
        <v>0</v>
      </c>
      <c r="V13" s="74">
        <f>'21'!AD17</f>
        <v>0</v>
      </c>
      <c r="W13" s="74">
        <f>'22'!AD16</f>
        <v>0.66666666666666663</v>
      </c>
      <c r="X13" s="74">
        <f>'23'!AD16</f>
        <v>0</v>
      </c>
      <c r="Y13" s="74">
        <f>'24'!AD16</f>
        <v>0.41666666666666669</v>
      </c>
      <c r="Z13" s="74">
        <f>'25'!AD16</f>
        <v>0.375</v>
      </c>
      <c r="AA13" s="74">
        <f>'26'!AD16</f>
        <v>0.375</v>
      </c>
      <c r="AB13" s="74">
        <f>'27'!AD17</f>
        <v>1</v>
      </c>
      <c r="AC13" s="74">
        <f>'28'!AD18</f>
        <v>0.875</v>
      </c>
      <c r="AD13" s="74">
        <f>'29'!AD17</f>
        <v>0</v>
      </c>
      <c r="AE13" s="74">
        <f>'30'!AD16</f>
        <v>0.79166666666666663</v>
      </c>
      <c r="AF13" s="75"/>
      <c r="AG13" s="76">
        <f t="shared" si="0"/>
        <v>0.15</v>
      </c>
    </row>
    <row r="14" spans="1:33" ht="21.75" customHeight="1">
      <c r="A14" s="100" t="s">
        <v>71</v>
      </c>
      <c r="B14" s="97">
        <f>'01'!AD18</f>
        <v>1</v>
      </c>
      <c r="C14" s="97">
        <f>'02'!AD17</f>
        <v>1</v>
      </c>
      <c r="D14" s="74">
        <f>'03'!AD17</f>
        <v>1</v>
      </c>
      <c r="E14" s="74"/>
      <c r="F14" s="74"/>
      <c r="G14" s="74">
        <f>'06'!AD17</f>
        <v>1</v>
      </c>
      <c r="H14" s="74">
        <f>'07'!AD17</f>
        <v>1</v>
      </c>
      <c r="I14" s="74">
        <f>'08'!AD18</f>
        <v>1</v>
      </c>
      <c r="J14" s="74">
        <f>'09'!AD17</f>
        <v>0.91666666666666663</v>
      </c>
      <c r="K14" s="74">
        <f>'10'!AD17</f>
        <v>1</v>
      </c>
      <c r="L14" s="74">
        <f>'11'!AD17</f>
        <v>0.45833333333333331</v>
      </c>
      <c r="M14" s="74"/>
      <c r="N14" s="74">
        <f>'13'!AD19</f>
        <v>0</v>
      </c>
      <c r="O14" s="74">
        <f>'14'!AD17</f>
        <v>0</v>
      </c>
      <c r="P14" s="74">
        <f>'15'!AD17</f>
        <v>0.58333333333333337</v>
      </c>
      <c r="Q14" s="74">
        <f>'16'!AD17</f>
        <v>1</v>
      </c>
      <c r="R14" s="74">
        <f>'17'!AD17</f>
        <v>1</v>
      </c>
      <c r="S14" s="74">
        <f>'18'!AD17</f>
        <v>1</v>
      </c>
      <c r="T14" s="74">
        <f>'19'!AD17</f>
        <v>0.41666666666666669</v>
      </c>
      <c r="U14" s="74">
        <f>'20'!AD18</f>
        <v>0.66666666666666663</v>
      </c>
      <c r="V14" s="74">
        <f>'21'!AD18</f>
        <v>0.83333333333333337</v>
      </c>
      <c r="W14" s="74">
        <f>'22'!AD17</f>
        <v>1</v>
      </c>
      <c r="X14" s="74">
        <f>'23'!AD17</f>
        <v>0.41666666666666669</v>
      </c>
      <c r="Y14" s="74">
        <f>'24'!AD17</f>
        <v>0</v>
      </c>
      <c r="Z14" s="74">
        <f>'25'!AD17</f>
        <v>0.45833333333333331</v>
      </c>
      <c r="AA14" s="74">
        <f>'26'!AD17</f>
        <v>0</v>
      </c>
      <c r="AB14" s="74">
        <f>'27'!AD18</f>
        <v>0</v>
      </c>
      <c r="AC14" s="74">
        <f>'28'!AD19</f>
        <v>0</v>
      </c>
      <c r="AD14" s="74">
        <f>'29'!AD18</f>
        <v>1</v>
      </c>
      <c r="AE14" s="74">
        <f>'30'!AD17</f>
        <v>0.70833333333333337</v>
      </c>
      <c r="AF14" s="75"/>
      <c r="AG14" s="76">
        <f t="shared" si="0"/>
        <v>0.58194444444444438</v>
      </c>
    </row>
    <row r="15" spans="1:33" ht="21.75" customHeight="1">
      <c r="A15" s="101" t="s">
        <v>72</v>
      </c>
      <c r="B15" s="98">
        <f>'01'!AD19+'01'!AD20</f>
        <v>0.375</v>
      </c>
      <c r="C15" s="98">
        <f>'02'!AD18</f>
        <v>0.33333333333333331</v>
      </c>
      <c r="D15" s="77">
        <f>'03'!AD18</f>
        <v>0.125</v>
      </c>
      <c r="E15" s="77"/>
      <c r="F15" s="77"/>
      <c r="G15" s="77">
        <f>'06'!AD18</f>
        <v>0.25</v>
      </c>
      <c r="H15" s="77">
        <f>'07'!AD18</f>
        <v>0.625</v>
      </c>
      <c r="I15" s="77">
        <f>'08'!AD19</f>
        <v>0</v>
      </c>
      <c r="J15" s="77">
        <f>'09'!AD18</f>
        <v>0</v>
      </c>
      <c r="K15" s="77">
        <f>'10'!AD18+'10'!AD19</f>
        <v>0.5</v>
      </c>
      <c r="L15" s="77">
        <f>'11'!AD18</f>
        <v>0</v>
      </c>
      <c r="M15" s="77"/>
      <c r="N15" s="77">
        <f>'13'!AD20</f>
        <v>0.125</v>
      </c>
      <c r="O15" s="77">
        <f>'14'!AD18</f>
        <v>0.95833333333333337</v>
      </c>
      <c r="P15" s="77">
        <f>'15'!AD18</f>
        <v>0.625</v>
      </c>
      <c r="Q15" s="77">
        <f>'16'!AD18</f>
        <v>0</v>
      </c>
      <c r="R15" s="77">
        <f>'17'!AD18</f>
        <v>1</v>
      </c>
      <c r="S15" s="77">
        <f>'18'!AD18</f>
        <v>1</v>
      </c>
      <c r="T15" s="77">
        <f>'19'!AD18</f>
        <v>0.41666666666666669</v>
      </c>
      <c r="U15" s="77">
        <f>'20'!AD19</f>
        <v>1</v>
      </c>
      <c r="V15" s="77">
        <f>'21'!AD19</f>
        <v>0.16666666666666666</v>
      </c>
      <c r="W15" s="77">
        <f>'22'!AD18</f>
        <v>8.3333333333333329E-2</v>
      </c>
      <c r="X15" s="77">
        <f>'23'!AD18</f>
        <v>0.16666666666666666</v>
      </c>
      <c r="Y15" s="77">
        <f>'24'!AD18</f>
        <v>0.91666666666666663</v>
      </c>
      <c r="Z15" s="77">
        <f>'25'!AD18</f>
        <v>1</v>
      </c>
      <c r="AA15" s="77">
        <f>'26'!AD18</f>
        <v>0.41666666666666669</v>
      </c>
      <c r="AB15" s="77">
        <f>'27'!AD19</f>
        <v>0.75</v>
      </c>
      <c r="AC15" s="77">
        <f>'28'!AD20</f>
        <v>1</v>
      </c>
      <c r="AD15" s="77">
        <f>'29'!AD19</f>
        <v>0.91666666666666663</v>
      </c>
      <c r="AE15" s="77">
        <f>'30'!AD18</f>
        <v>1</v>
      </c>
      <c r="AF15" s="78"/>
      <c r="AG15" s="79">
        <f t="shared" si="0"/>
        <v>0.45833333333333326</v>
      </c>
    </row>
    <row r="16" spans="1:33" ht="21.75" customHeight="1">
      <c r="A16" s="101" t="s">
        <v>132</v>
      </c>
      <c r="B16" s="98">
        <f>'01'!AD21</f>
        <v>1</v>
      </c>
      <c r="C16" s="98">
        <f>'02'!AD19+'02'!AD20</f>
        <v>0.83333333333333326</v>
      </c>
      <c r="D16" s="77">
        <f>'03'!AD19</f>
        <v>1</v>
      </c>
      <c r="E16" s="77"/>
      <c r="F16" s="77"/>
      <c r="G16" s="77">
        <f>'06'!AD19</f>
        <v>1</v>
      </c>
      <c r="H16" s="77">
        <f>'07'!AD19</f>
        <v>0</v>
      </c>
      <c r="I16" s="77">
        <f>'08'!AD20+'08'!AD21</f>
        <v>0.58333333333333337</v>
      </c>
      <c r="J16" s="77">
        <f>'09'!AD19</f>
        <v>0</v>
      </c>
      <c r="K16" s="77">
        <f>'10'!AD20</f>
        <v>0.41666666666666669</v>
      </c>
      <c r="L16" s="77">
        <f>'11'!AD19</f>
        <v>0.625</v>
      </c>
      <c r="M16" s="77"/>
      <c r="N16" s="77">
        <f>'13'!AD21</f>
        <v>0.29166666666666669</v>
      </c>
      <c r="O16" s="77">
        <f>'14'!AD19+'14'!AD20</f>
        <v>0.91666666666666663</v>
      </c>
      <c r="P16" s="77">
        <f>'15'!AD19</f>
        <v>0.625</v>
      </c>
      <c r="Q16" s="77">
        <f>'16'!AD19</f>
        <v>0.20833333333333334</v>
      </c>
      <c r="R16" s="77">
        <f>'17'!AD19</f>
        <v>0.66666666666666663</v>
      </c>
      <c r="S16" s="77">
        <f>'18'!AD19</f>
        <v>0.875</v>
      </c>
      <c r="T16" s="77">
        <f>'19'!AD19</f>
        <v>0.41666666666666669</v>
      </c>
      <c r="U16" s="77">
        <f>'20'!AD20</f>
        <v>1</v>
      </c>
      <c r="V16" s="77">
        <f>'21'!AD20</f>
        <v>1</v>
      </c>
      <c r="W16" s="77">
        <f>'22'!AD19</f>
        <v>0.625</v>
      </c>
      <c r="X16" s="77">
        <f>'23'!AD19</f>
        <v>1</v>
      </c>
      <c r="Y16" s="77">
        <f>'24'!AD19</f>
        <v>1</v>
      </c>
      <c r="Z16" s="77">
        <f>'25'!AD19</f>
        <v>1</v>
      </c>
      <c r="AA16" s="77">
        <f>'26'!AD19</f>
        <v>0.41666666666666669</v>
      </c>
      <c r="AB16" s="77">
        <f>'27'!AD20</f>
        <v>1</v>
      </c>
      <c r="AC16" s="77">
        <f>'28'!AD21</f>
        <v>1</v>
      </c>
      <c r="AD16" s="77">
        <f>'29'!AD20</f>
        <v>1</v>
      </c>
      <c r="AE16" s="77">
        <f>'30'!AD19</f>
        <v>1</v>
      </c>
      <c r="AF16" s="78"/>
      <c r="AG16" s="79">
        <f t="shared" si="0"/>
        <v>0.65</v>
      </c>
    </row>
    <row r="17" spans="1:33" ht="21.75" customHeight="1">
      <c r="A17" s="101" t="s">
        <v>133</v>
      </c>
      <c r="B17" s="98">
        <f>'01'!AD22</f>
        <v>1</v>
      </c>
      <c r="C17" s="98">
        <f>'02'!AD21</f>
        <v>0.66666666666666663</v>
      </c>
      <c r="D17" s="77">
        <f>'03'!AD20</f>
        <v>0.66666666666666663</v>
      </c>
      <c r="E17" s="77"/>
      <c r="F17" s="77"/>
      <c r="G17" s="77">
        <f>'06'!AD20</f>
        <v>1</v>
      </c>
      <c r="H17" s="77">
        <f>'07'!AD20</f>
        <v>1</v>
      </c>
      <c r="I17" s="77">
        <f>'08'!AD22</f>
        <v>1</v>
      </c>
      <c r="J17" s="77">
        <f>'09'!AD20</f>
        <v>0.20833333333333334</v>
      </c>
      <c r="K17" s="77">
        <f>'10'!AD21</f>
        <v>0.83333333333333337</v>
      </c>
      <c r="L17" s="77">
        <f>'11'!AD20</f>
        <v>0.91666666666666663</v>
      </c>
      <c r="M17" s="77"/>
      <c r="N17" s="77">
        <f>'13'!AD22</f>
        <v>0.41666666666666669</v>
      </c>
      <c r="O17" s="77">
        <f>'14'!AD21</f>
        <v>0</v>
      </c>
      <c r="P17" s="77">
        <f>'15'!AD20</f>
        <v>0.83333333333333337</v>
      </c>
      <c r="Q17" s="77">
        <f>'16'!AD20</f>
        <v>0.83333333333333337</v>
      </c>
      <c r="R17" s="77">
        <f>'17'!AD20</f>
        <v>0.29166666666666669</v>
      </c>
      <c r="S17" s="77">
        <f>'18'!AD20</f>
        <v>0</v>
      </c>
      <c r="T17" s="77">
        <f>'19'!AD20</f>
        <v>0.16666666666666666</v>
      </c>
      <c r="U17" s="77">
        <f>'20'!AD21</f>
        <v>0.33333333333333331</v>
      </c>
      <c r="V17" s="77">
        <f>'21'!AD21</f>
        <v>0.66666666666666663</v>
      </c>
      <c r="W17" s="77">
        <f>'22'!AD20</f>
        <v>0.91666666666666663</v>
      </c>
      <c r="X17" s="77">
        <f>'23'!AD20</f>
        <v>0.79166666666666663</v>
      </c>
      <c r="Y17" s="77">
        <f>'24'!AD20</f>
        <v>0.45833333333333331</v>
      </c>
      <c r="Z17" s="77">
        <f>'25'!AD20</f>
        <v>0.41666666666666669</v>
      </c>
      <c r="AA17" s="77">
        <f>'26'!AD20</f>
        <v>0.125</v>
      </c>
      <c r="AB17" s="77">
        <f>'27'!AD21</f>
        <v>0.41666666666666669</v>
      </c>
      <c r="AC17" s="77">
        <f>'28'!AD22</f>
        <v>0.58333333333333337</v>
      </c>
      <c r="AD17" s="77">
        <f>'29'!AD21</f>
        <v>0.54166666666666663</v>
      </c>
      <c r="AE17" s="77">
        <f>'30'!AD20</f>
        <v>0.375</v>
      </c>
      <c r="AF17" s="78"/>
      <c r="AG17" s="79">
        <f t="shared" si="0"/>
        <v>0.51527777777777772</v>
      </c>
    </row>
    <row r="18" spans="1:33" ht="21.75" customHeight="1" thickBot="1">
      <c r="A18" s="102" t="s">
        <v>134</v>
      </c>
      <c r="B18" s="99">
        <f>'01'!AD23</f>
        <v>0.41666666666666669</v>
      </c>
      <c r="C18" s="99">
        <f>'02'!AD22</f>
        <v>0.41666666666666669</v>
      </c>
      <c r="D18" s="80">
        <f>'03'!AD21</f>
        <v>0.41666666666666669</v>
      </c>
      <c r="E18" s="80"/>
      <c r="F18" s="80"/>
      <c r="G18" s="80">
        <f>'06'!AD21</f>
        <v>0</v>
      </c>
      <c r="H18" s="80">
        <f>'07'!AD21</f>
        <v>0.45833333333333331</v>
      </c>
      <c r="I18" s="80">
        <f>'08'!AD23</f>
        <v>0.5</v>
      </c>
      <c r="J18" s="80">
        <f>'09'!AD21</f>
        <v>1</v>
      </c>
      <c r="K18" s="80">
        <f>'10'!AD22</f>
        <v>0.625</v>
      </c>
      <c r="L18" s="80">
        <f>'11'!AD21</f>
        <v>0</v>
      </c>
      <c r="M18" s="80"/>
      <c r="N18" s="80">
        <f>'13'!AD23</f>
        <v>0.58333333333333337</v>
      </c>
      <c r="O18" s="80">
        <f>'14'!AD22</f>
        <v>0.58333333333333337</v>
      </c>
      <c r="P18" s="80">
        <f>'15'!AD21</f>
        <v>0.58333333333333337</v>
      </c>
      <c r="Q18" s="80">
        <f>'16'!AD21</f>
        <v>0.58333333333333337</v>
      </c>
      <c r="R18" s="80">
        <f>'17'!AD21</f>
        <v>0.58333333333333337</v>
      </c>
      <c r="S18" s="80">
        <f>'18'!AD21</f>
        <v>0</v>
      </c>
      <c r="T18" s="80">
        <f>'19'!AD21</f>
        <v>0.33333333333333331</v>
      </c>
      <c r="U18" s="80">
        <f>'20'!AD22</f>
        <v>0.41666666666666669</v>
      </c>
      <c r="V18" s="80">
        <f>'21'!AD22</f>
        <v>0.50029325513196488</v>
      </c>
      <c r="W18" s="80">
        <f>'22'!AD21</f>
        <v>0.45833333333333331</v>
      </c>
      <c r="X18" s="80">
        <f>'23'!AD21</f>
        <v>0.45833333333333331</v>
      </c>
      <c r="Y18" s="80">
        <f>'24'!AD21</f>
        <v>0</v>
      </c>
      <c r="Z18" s="80">
        <f>'25'!AD21</f>
        <v>0</v>
      </c>
      <c r="AA18" s="80">
        <f>'26'!AD21</f>
        <v>0.41666666666666669</v>
      </c>
      <c r="AB18" s="80">
        <f>'27'!AD22</f>
        <v>0.41666666666666669</v>
      </c>
      <c r="AC18" s="80">
        <f>'28'!AD23</f>
        <v>0.41666666666666669</v>
      </c>
      <c r="AD18" s="80">
        <f>'29'!AD22</f>
        <v>0.41666666666666669</v>
      </c>
      <c r="AE18" s="80">
        <f>'30'!AD21</f>
        <v>0.41666666666666669</v>
      </c>
      <c r="AF18" s="81"/>
      <c r="AG18" s="82">
        <f t="shared" si="0"/>
        <v>0.36667644183773201</v>
      </c>
    </row>
    <row r="19" spans="1:33" s="83" customFormat="1" ht="21.75" customHeight="1">
      <c r="A19" s="87" t="s">
        <v>104</v>
      </c>
      <c r="B19" s="91">
        <f>'01'!AD24</f>
        <v>0.55787037037037035</v>
      </c>
      <c r="C19" s="91">
        <f>'02'!AD23</f>
        <v>0.62745098039215674</v>
      </c>
      <c r="D19" s="92">
        <f>'03'!AD22</f>
        <v>0.61197916666666652</v>
      </c>
      <c r="E19" s="92"/>
      <c r="F19" s="92"/>
      <c r="G19" s="92">
        <f>'06'!AD22</f>
        <v>0.6015625</v>
      </c>
      <c r="H19" s="92">
        <f>'07'!AD22</f>
        <v>0.53385416666666663</v>
      </c>
      <c r="I19" s="92">
        <f>'08'!AD24</f>
        <v>0.52083333333333337</v>
      </c>
      <c r="J19" s="92">
        <f>'09'!AD22</f>
        <v>0.45572916666666663</v>
      </c>
      <c r="K19" s="92">
        <f>'10'!AD23</f>
        <v>0.52773432374006313</v>
      </c>
      <c r="L19" s="92">
        <f>'11'!AD22</f>
        <v>0.53385416666666663</v>
      </c>
      <c r="M19" s="92"/>
      <c r="N19" s="92">
        <f>'13'!AD24</f>
        <v>0.3217592592592593</v>
      </c>
      <c r="O19" s="92">
        <f>'14'!AD23</f>
        <v>0.46568627450980388</v>
      </c>
      <c r="P19" s="92">
        <f>'15'!AD22</f>
        <v>0.5234375</v>
      </c>
      <c r="Q19" s="92">
        <f>'16'!AD22</f>
        <v>0.54166666666666674</v>
      </c>
      <c r="R19" s="92">
        <f>'17'!AD22</f>
        <v>0.70052083333333326</v>
      </c>
      <c r="S19" s="92">
        <f>'18'!AD22</f>
        <v>0.5859375</v>
      </c>
      <c r="T19" s="92">
        <f>'19'!AD22</f>
        <v>0.2265625</v>
      </c>
      <c r="U19" s="92">
        <f>'20'!AD23</f>
        <v>0.51470588235294112</v>
      </c>
      <c r="V19" s="92">
        <f>'21'!AD23</f>
        <v>0.47550744638031167</v>
      </c>
      <c r="W19" s="92">
        <f>'22'!AD22</f>
        <v>0.59895833333333326</v>
      </c>
      <c r="X19" s="92">
        <f>'23'!AD22</f>
        <v>0.6171875</v>
      </c>
      <c r="Y19" s="92">
        <f>'24'!AD22</f>
        <v>0.55468750000000011</v>
      </c>
      <c r="Z19" s="92">
        <f>'25'!AD22</f>
        <v>0.58072916666666663</v>
      </c>
      <c r="AA19" s="92">
        <f>'26'!AD22</f>
        <v>0.20312499999999997</v>
      </c>
      <c r="AB19" s="92">
        <f>'27'!AD23</f>
        <v>0.59313725490196068</v>
      </c>
      <c r="AC19" s="92">
        <f>'28'!AD24</f>
        <v>0.50823615851346227</v>
      </c>
      <c r="AD19" s="92">
        <f>'29'!AD23</f>
        <v>0.62009803921568618</v>
      </c>
      <c r="AE19" s="92">
        <f>'30'!AD22</f>
        <v>0.640625</v>
      </c>
      <c r="AF19" s="93"/>
      <c r="AG19" s="94">
        <f t="shared" si="0"/>
        <v>0.47478119965453386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 지정된 범위</vt:lpstr>
      </vt:variant>
      <vt:variant>
        <vt:i4>54</vt:i4>
      </vt:variant>
    </vt:vector>
  </HeadingPairs>
  <TitlesOfParts>
    <vt:vector size="82" baseType="lpstr">
      <vt:lpstr>01</vt:lpstr>
      <vt:lpstr>02</vt:lpstr>
      <vt:lpstr>03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총괄</vt:lpstr>
      <vt:lpstr>'01'!Print_Area</vt:lpstr>
      <vt:lpstr>'02'!Print_Area</vt:lpstr>
      <vt:lpstr>'03'!Print_Area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'01'!ㅁ1</vt:lpstr>
      <vt:lpstr>'02'!ㅁ1</vt:lpstr>
      <vt:lpstr>'03'!ㅁ1</vt:lpstr>
      <vt:lpstr>'06'!ㅁ1</vt:lpstr>
      <vt:lpstr>'07'!ㅁ1</vt:lpstr>
      <vt:lpstr>'08'!ㅁ1</vt:lpstr>
      <vt:lpstr>'09'!ㅁ1</vt:lpstr>
      <vt:lpstr>'10'!ㅁ1</vt:lpstr>
      <vt:lpstr>'11'!ㅁ1</vt:lpstr>
      <vt:lpstr>'13'!ㅁ1</vt:lpstr>
      <vt:lpstr>'14'!ㅁ1</vt:lpstr>
      <vt:lpstr>'15'!ㅁ1</vt:lpstr>
      <vt:lpstr>'16'!ㅁ1</vt:lpstr>
      <vt:lpstr>'17'!ㅁ1</vt:lpstr>
      <vt:lpstr>'18'!ㅁ1</vt:lpstr>
      <vt:lpstr>'19'!ㅁ1</vt:lpstr>
      <vt:lpstr>'20'!ㅁ1</vt:lpstr>
      <vt:lpstr>'21'!ㅁ1</vt:lpstr>
      <vt:lpstr>'22'!ㅁ1</vt:lpstr>
      <vt:lpstr>'23'!ㅁ1</vt:lpstr>
      <vt:lpstr>'24'!ㅁ1</vt:lpstr>
      <vt:lpstr>'25'!ㅁ1</vt:lpstr>
      <vt:lpstr>'26'!ㅁ1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2020-05-01T04:24:32Z</dcterms:modified>
</cp:coreProperties>
</file>