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0년도\일일업무\생산일보\"/>
    </mc:Choice>
  </mc:AlternateContent>
  <xr:revisionPtr revIDLastSave="0" documentId="13_ncr:1_{25977D82-5848-4F1A-A056-BC21854F0762}" xr6:coauthVersionLast="45" xr6:coauthVersionMax="45" xr10:uidLastSave="{00000000-0000-0000-0000-000000000000}"/>
  <bookViews>
    <workbookView xWindow="-120" yWindow="-120" windowWidth="29040" windowHeight="15840" firstSheet="2" activeTab="24" xr2:uid="{00000000-000D-0000-FFFF-FFFF00000000}"/>
  </bookViews>
  <sheets>
    <sheet name="01" sheetId="1724" r:id="rId1"/>
    <sheet name="02" sheetId="1725" r:id="rId2"/>
    <sheet name="04" sheetId="1726" r:id="rId3"/>
    <sheet name="05" sheetId="1727" r:id="rId4"/>
    <sheet name="06" sheetId="1728" r:id="rId5"/>
    <sheet name="07" sheetId="1729" r:id="rId6"/>
    <sheet name="08" sheetId="1730" r:id="rId7"/>
    <sheet name="09" sheetId="1731" r:id="rId8"/>
    <sheet name="10" sheetId="1732" r:id="rId9"/>
    <sheet name="11" sheetId="1733" r:id="rId10"/>
    <sheet name="12" sheetId="1734" r:id="rId11"/>
    <sheet name="13" sheetId="1735" r:id="rId12"/>
    <sheet name="14" sheetId="1736" r:id="rId13"/>
    <sheet name="15" sheetId="1737" r:id="rId14"/>
    <sheet name="16" sheetId="1738" r:id="rId15"/>
    <sheet name="18" sheetId="1739" r:id="rId16"/>
    <sheet name="19" sheetId="1740" r:id="rId17"/>
    <sheet name="20" sheetId="1741" r:id="rId18"/>
    <sheet name="21" sheetId="1742" r:id="rId19"/>
    <sheet name="22" sheetId="1743" r:id="rId20"/>
    <sheet name="25" sheetId="1744" r:id="rId21"/>
    <sheet name="26" sheetId="1745" r:id="rId22"/>
    <sheet name="27" sheetId="1746" r:id="rId23"/>
    <sheet name="28" sheetId="1747" r:id="rId24"/>
    <sheet name="29" sheetId="1748" r:id="rId25"/>
    <sheet name="총괄" sheetId="16" r:id="rId26"/>
  </sheets>
  <definedNames>
    <definedName name="_xlnm.Print_Area" localSheetId="0">'01'!$A$1:$AD$89</definedName>
    <definedName name="_xlnm.Print_Area" localSheetId="1">'02'!$A$1:$AD$87</definedName>
    <definedName name="_xlnm.Print_Area" localSheetId="2">'04'!$A$1:$AD$88</definedName>
    <definedName name="_xlnm.Print_Area" localSheetId="3">'05'!$A$1:$AD$87</definedName>
    <definedName name="_xlnm.Print_Area" localSheetId="4">'06'!$A$1:$AD$87</definedName>
    <definedName name="_xlnm.Print_Area" localSheetId="5">'07'!$A$1:$AD$88</definedName>
    <definedName name="_xlnm.Print_Area" localSheetId="6">'08'!$A$1:$AD$89</definedName>
    <definedName name="_xlnm.Print_Area" localSheetId="7">'09'!$A$1:$AD$87</definedName>
    <definedName name="_xlnm.Print_Area" localSheetId="8">'10'!$A$1:$AD$87</definedName>
    <definedName name="_xlnm.Print_Area" localSheetId="9">'11'!$A$1:$AD$88</definedName>
    <definedName name="_xlnm.Print_Area" localSheetId="10">'12'!$A$1:$AD$90</definedName>
    <definedName name="_xlnm.Print_Area" localSheetId="11">'13'!$A$1:$AD$88</definedName>
    <definedName name="_xlnm.Print_Area" localSheetId="12">'14'!$A$1:$AD$91</definedName>
    <definedName name="_xlnm.Print_Area" localSheetId="13">'15'!$A$1:$AD$90</definedName>
    <definedName name="_xlnm.Print_Area" localSheetId="14">'16'!$A$1:$AD$88</definedName>
    <definedName name="_xlnm.Print_Area" localSheetId="15">'18'!$A$1:$AD$87</definedName>
    <definedName name="_xlnm.Print_Area" localSheetId="16">'19'!$A$1:$AD$88</definedName>
    <definedName name="_xlnm.Print_Area" localSheetId="17">'20'!$A$1:$AD$87</definedName>
    <definedName name="_xlnm.Print_Area" localSheetId="18">'21'!$A$1:$AD$88</definedName>
    <definedName name="_xlnm.Print_Area" localSheetId="19">'22'!$A$1:$AD$88</definedName>
    <definedName name="_xlnm.Print_Area" localSheetId="20">'25'!$A$1:$AD$88</definedName>
    <definedName name="_xlnm.Print_Area" localSheetId="21">'26'!$A$1:$AD$88</definedName>
    <definedName name="_xlnm.Print_Area" localSheetId="22">'27'!$A$1:$AD$88</definedName>
    <definedName name="_xlnm.Print_Area" localSheetId="23">'28'!$A$1:$AD$87</definedName>
    <definedName name="_xlnm.Print_Area" localSheetId="24">'29'!$A$1:$AD$88</definedName>
    <definedName name="ㅁ1" localSheetId="0">'01'!$M$1048524:$M$1048576</definedName>
    <definedName name="ㅁ1" localSheetId="1">'02'!$M$1048522:$M$1048576</definedName>
    <definedName name="ㅁ1" localSheetId="2">'04'!$M$1048523:$M$1048576</definedName>
    <definedName name="ㅁ1" localSheetId="3">'05'!$M$1048522:$M$1048576</definedName>
    <definedName name="ㅁ1" localSheetId="4">'06'!$M$1048522:$M$1048576</definedName>
    <definedName name="ㅁ1" localSheetId="5">'07'!$M$1048523:$M$1048576</definedName>
    <definedName name="ㅁ1" localSheetId="6">'08'!$M$1048524:$M$1048576</definedName>
    <definedName name="ㅁ1" localSheetId="7">'09'!$M$1048522:$M$1048576</definedName>
    <definedName name="ㅁ1" localSheetId="8">'10'!$M$1048522:$M$1048576</definedName>
    <definedName name="ㅁ1" localSheetId="9">'11'!$M$1048523:$M$1048576</definedName>
    <definedName name="ㅁ1" localSheetId="10">'12'!$M$1048525:$M$1048576</definedName>
    <definedName name="ㅁ1" localSheetId="11">'13'!$M$1048523:$M$1048576</definedName>
    <definedName name="ㅁ1" localSheetId="12">'14'!$M$1048526:$M$1048576</definedName>
    <definedName name="ㅁ1" localSheetId="13">'15'!$M$1048525:$M$1048576</definedName>
    <definedName name="ㅁ1" localSheetId="14">'16'!$M$1048523:$M$1048576</definedName>
    <definedName name="ㅁ1" localSheetId="15">'18'!$M$1048522:$M$1048576</definedName>
    <definedName name="ㅁ1" localSheetId="16">'19'!$M$1048523:$M$1048576</definedName>
    <definedName name="ㅁ1" localSheetId="17">'20'!$M$1048522:$M$1048576</definedName>
    <definedName name="ㅁ1" localSheetId="18">'21'!$M$1048523:$M$1048576</definedName>
    <definedName name="ㅁ1" localSheetId="19">'22'!$M$1048523:$M$1048576</definedName>
    <definedName name="ㅁ1" localSheetId="20">'25'!$M$1048523:$M$1048576</definedName>
    <definedName name="ㅁ1" localSheetId="21">'26'!$M$1048523:$M$1048576</definedName>
    <definedName name="ㅁ1" localSheetId="22">'27'!$M$1048523:$M$1048576</definedName>
    <definedName name="ㅁ1" localSheetId="23">'28'!$M$1048522:$M$1048576</definedName>
    <definedName name="ㅁ1" localSheetId="24">'29'!$M$1048523:$M$1048576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19" i="16" l="1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2" i="1748"/>
  <c r="L20" i="1748"/>
  <c r="M20" i="1748" s="1"/>
  <c r="AF20" i="1748"/>
  <c r="AB20" i="1748"/>
  <c r="Q20" i="1748"/>
  <c r="P20" i="1748" s="1"/>
  <c r="AC20" i="1748" s="1"/>
  <c r="O20" i="1748"/>
  <c r="K20" i="1748"/>
  <c r="K19" i="1748"/>
  <c r="AF19" i="1748"/>
  <c r="AB19" i="1748"/>
  <c r="Q19" i="1748"/>
  <c r="P19" i="1748" s="1"/>
  <c r="AC19" i="1748" s="1"/>
  <c r="O19" i="1748"/>
  <c r="M19" i="1748"/>
  <c r="L18" i="1748"/>
  <c r="L15" i="1748"/>
  <c r="K15" i="1748"/>
  <c r="L13" i="1748"/>
  <c r="L12" i="1748"/>
  <c r="K12" i="1748" s="1"/>
  <c r="L11" i="1748"/>
  <c r="L9" i="1748"/>
  <c r="AD20" i="1748" l="1"/>
  <c r="AD19" i="1748"/>
  <c r="L6" i="1748"/>
  <c r="K6" i="1748" s="1"/>
  <c r="K22" i="1748" l="1"/>
  <c r="K21" i="1748"/>
  <c r="K18" i="1748"/>
  <c r="K13" i="1748"/>
  <c r="K11" i="1748"/>
  <c r="A81" i="1748"/>
  <c r="A82" i="1748" s="1"/>
  <c r="A83" i="1748" s="1"/>
  <c r="A80" i="1748"/>
  <c r="A79" i="1748"/>
  <c r="A78" i="1748"/>
  <c r="AF64" i="1748"/>
  <c r="AF62" i="1748"/>
  <c r="AF61" i="1748"/>
  <c r="AA23" i="1748"/>
  <c r="Z23" i="1748"/>
  <c r="Y23" i="1748"/>
  <c r="X23" i="1748"/>
  <c r="W23" i="1748"/>
  <c r="V23" i="1748"/>
  <c r="U23" i="1748"/>
  <c r="T23" i="1748"/>
  <c r="S23" i="1748"/>
  <c r="R23" i="1748"/>
  <c r="N23" i="1748"/>
  <c r="J23" i="1748"/>
  <c r="I23" i="1748"/>
  <c r="AF22" i="1748"/>
  <c r="AB22" i="1748"/>
  <c r="Q22" i="1748"/>
  <c r="O22" i="1748"/>
  <c r="M22" i="1748"/>
  <c r="P22" i="1748"/>
  <c r="AC22" i="1748" s="1"/>
  <c r="AF21" i="1748"/>
  <c r="Q21" i="1748"/>
  <c r="P21" i="1748"/>
  <c r="AC21" i="1748" s="1"/>
  <c r="AF18" i="1748"/>
  <c r="AB18" i="1748"/>
  <c r="Q18" i="1748"/>
  <c r="P18" i="1748" s="1"/>
  <c r="AC18" i="1748" s="1"/>
  <c r="O18" i="1748"/>
  <c r="M18" i="1748"/>
  <c r="AF17" i="1748"/>
  <c r="AC17" i="1748"/>
  <c r="AB17" i="1748"/>
  <c r="Q17" i="1748"/>
  <c r="P17" i="1748"/>
  <c r="O17" i="1748"/>
  <c r="M17" i="1748"/>
  <c r="K17" i="1748"/>
  <c r="AF16" i="1748"/>
  <c r="AB16" i="1748"/>
  <c r="Q16" i="1748"/>
  <c r="P16" i="1748"/>
  <c r="AC16" i="1748" s="1"/>
  <c r="O16" i="1748"/>
  <c r="M16" i="1748"/>
  <c r="K16" i="1748"/>
  <c r="AF15" i="1748"/>
  <c r="AB15" i="1748"/>
  <c r="Q15" i="1748"/>
  <c r="P15" i="1748"/>
  <c r="AC15" i="1748" s="1"/>
  <c r="O15" i="1748"/>
  <c r="M15" i="1748"/>
  <c r="AF14" i="1748"/>
  <c r="AB14" i="1748"/>
  <c r="Q14" i="1748"/>
  <c r="P14" i="1748"/>
  <c r="AC14" i="1748" s="1"/>
  <c r="O14" i="1748"/>
  <c r="M14" i="1748"/>
  <c r="K14" i="1748"/>
  <c r="AF13" i="1748"/>
  <c r="AB13" i="1748"/>
  <c r="Q13" i="1748"/>
  <c r="P13" i="1748" s="1"/>
  <c r="AC13" i="1748" s="1"/>
  <c r="O13" i="1748"/>
  <c r="M13" i="1748"/>
  <c r="AF12" i="1748"/>
  <c r="AB12" i="1748"/>
  <c r="Q12" i="1748"/>
  <c r="P12" i="1748"/>
  <c r="AC12" i="1748" s="1"/>
  <c r="O12" i="1748"/>
  <c r="M12" i="1748"/>
  <c r="AF11" i="1748"/>
  <c r="Q11" i="1748"/>
  <c r="P11" i="1748"/>
  <c r="AC11" i="1748" s="1"/>
  <c r="O11" i="1748"/>
  <c r="AB11" i="1748"/>
  <c r="AF10" i="1748"/>
  <c r="AC10" i="1748"/>
  <c r="AB10" i="1748"/>
  <c r="Q10" i="1748"/>
  <c r="P10" i="1748"/>
  <c r="O10" i="1748"/>
  <c r="M10" i="1748"/>
  <c r="K10" i="1748"/>
  <c r="AF9" i="1748"/>
  <c r="AB9" i="1748"/>
  <c r="Q9" i="1748"/>
  <c r="P9" i="1748" s="1"/>
  <c r="AC9" i="1748" s="1"/>
  <c r="O9" i="1748"/>
  <c r="M9" i="1748"/>
  <c r="K9" i="1748"/>
  <c r="AF8" i="1748"/>
  <c r="AC8" i="1748"/>
  <c r="AB8" i="1748"/>
  <c r="Q8" i="1748"/>
  <c r="P8" i="1748"/>
  <c r="O8" i="1748"/>
  <c r="M8" i="1748"/>
  <c r="K8" i="1748"/>
  <c r="AF7" i="1748"/>
  <c r="AB7" i="1748"/>
  <c r="Q7" i="1748"/>
  <c r="P7" i="1748"/>
  <c r="AC7" i="1748" s="1"/>
  <c r="AD7" i="1748" s="1"/>
  <c r="O7" i="1748"/>
  <c r="M7" i="1748"/>
  <c r="K7" i="1748"/>
  <c r="AF6" i="1748"/>
  <c r="AB6" i="1748"/>
  <c r="Q6" i="1748"/>
  <c r="P6" i="1748"/>
  <c r="AC6" i="1748" s="1"/>
  <c r="O6" i="1748"/>
  <c r="M6" i="1748"/>
  <c r="AD22" i="1748" l="1"/>
  <c r="AD6" i="1748"/>
  <c r="AD10" i="1748"/>
  <c r="AD8" i="1748"/>
  <c r="AD18" i="1748"/>
  <c r="AD15" i="1748"/>
  <c r="Q23" i="1748"/>
  <c r="AD9" i="1748"/>
  <c r="AD17" i="1748"/>
  <c r="AD12" i="1748"/>
  <c r="AD13" i="1748"/>
  <c r="AD16" i="1748"/>
  <c r="AD14" i="1748"/>
  <c r="AD11" i="1748"/>
  <c r="L23" i="1748"/>
  <c r="O23" i="1748" s="1"/>
  <c r="P23" i="1748"/>
  <c r="M21" i="1748"/>
  <c r="AC23" i="1748"/>
  <c r="O21" i="1748"/>
  <c r="AB21" i="1748"/>
  <c r="M11" i="1748"/>
  <c r="K23" i="1748"/>
  <c r="AD21" i="1748" l="1"/>
  <c r="AD23" i="1748" s="1"/>
  <c r="AE20" i="1748" s="1"/>
  <c r="M23" i="1748"/>
  <c r="AB23" i="1748"/>
  <c r="AE15" i="1748" l="1"/>
  <c r="AE19" i="1748"/>
  <c r="AE12" i="1748"/>
  <c r="AE9" i="1748"/>
  <c r="AE11" i="1748"/>
  <c r="AE16" i="1748"/>
  <c r="AE14" i="1748"/>
  <c r="AE22" i="1748"/>
  <c r="AE8" i="1748"/>
  <c r="AE18" i="1748"/>
  <c r="AE10" i="1748"/>
  <c r="AE17" i="1748"/>
  <c r="AE13" i="1748"/>
  <c r="AE21" i="1748"/>
  <c r="AE7" i="1748"/>
  <c r="AE6" i="1748"/>
  <c r="AC19" i="16" l="1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1" i="1747"/>
  <c r="AB21" i="1747" s="1"/>
  <c r="L20" i="1747"/>
  <c r="L19" i="1747"/>
  <c r="L18" i="1747"/>
  <c r="O18" i="1747" s="1"/>
  <c r="L13" i="1747"/>
  <c r="L11" i="1747"/>
  <c r="K20" i="1747"/>
  <c r="K19" i="1747"/>
  <c r="K18" i="1747"/>
  <c r="K17" i="1747"/>
  <c r="K12" i="1747"/>
  <c r="K10" i="1747"/>
  <c r="K6" i="1747"/>
  <c r="A78" i="1747"/>
  <c r="A79" i="1747" s="1"/>
  <c r="A80" i="1747" s="1"/>
  <c r="A81" i="1747" s="1"/>
  <c r="A82" i="1747" s="1"/>
  <c r="A77" i="1747"/>
  <c r="AF61" i="1747"/>
  <c r="AF60" i="1747"/>
  <c r="AF63" i="1747" s="1"/>
  <c r="AA22" i="1747"/>
  <c r="Z22" i="1747"/>
  <c r="Y22" i="1747"/>
  <c r="X22" i="1747"/>
  <c r="W22" i="1747"/>
  <c r="V22" i="1747"/>
  <c r="U22" i="1747"/>
  <c r="T22" i="1747"/>
  <c r="S22" i="1747"/>
  <c r="R22" i="1747"/>
  <c r="N22" i="1747"/>
  <c r="J22" i="1747"/>
  <c r="I22" i="1747"/>
  <c r="AF21" i="1747"/>
  <c r="Q21" i="1747"/>
  <c r="AF20" i="1747"/>
  <c r="Q20" i="1747"/>
  <c r="P20" i="1747"/>
  <c r="AC20" i="1747" s="1"/>
  <c r="AF19" i="1747"/>
  <c r="Q19" i="1747"/>
  <c r="P19" i="1747"/>
  <c r="AC19" i="1747" s="1"/>
  <c r="O19" i="1747"/>
  <c r="AB19" i="1747"/>
  <c r="AF18" i="1747"/>
  <c r="AB18" i="1747"/>
  <c r="Q18" i="1747"/>
  <c r="P18" i="1747" s="1"/>
  <c r="AC18" i="1747" s="1"/>
  <c r="M18" i="1747"/>
  <c r="AF17" i="1747"/>
  <c r="Q17" i="1747"/>
  <c r="P17" i="1747"/>
  <c r="AC17" i="1747" s="1"/>
  <c r="AF16" i="1747"/>
  <c r="AB16" i="1747"/>
  <c r="Q16" i="1747"/>
  <c r="P16" i="1747"/>
  <c r="AC16" i="1747" s="1"/>
  <c r="O16" i="1747"/>
  <c r="M16" i="1747"/>
  <c r="K16" i="1747"/>
  <c r="AF15" i="1747"/>
  <c r="AB15" i="1747"/>
  <c r="Q15" i="1747"/>
  <c r="P15" i="1747"/>
  <c r="AC15" i="1747" s="1"/>
  <c r="O15" i="1747"/>
  <c r="M15" i="1747"/>
  <c r="K15" i="1747"/>
  <c r="AF14" i="1747"/>
  <c r="AB14" i="1747"/>
  <c r="Q14" i="1747"/>
  <c r="P14" i="1747"/>
  <c r="AC14" i="1747" s="1"/>
  <c r="O14" i="1747"/>
  <c r="M14" i="1747"/>
  <c r="K14" i="1747"/>
  <c r="AF13" i="1747"/>
  <c r="AB13" i="1747"/>
  <c r="Q13" i="1747"/>
  <c r="O13" i="1747"/>
  <c r="M13" i="1747"/>
  <c r="K13" i="1747"/>
  <c r="AF12" i="1747"/>
  <c r="AB12" i="1747"/>
  <c r="Q12" i="1747"/>
  <c r="O12" i="1747"/>
  <c r="M12" i="1747"/>
  <c r="P12" i="1747"/>
  <c r="AC12" i="1747" s="1"/>
  <c r="AF11" i="1747"/>
  <c r="Q11" i="1747"/>
  <c r="M11" i="1747"/>
  <c r="AF10" i="1747"/>
  <c r="Q10" i="1747"/>
  <c r="P10" i="1747"/>
  <c r="AC10" i="1747" s="1"/>
  <c r="AF9" i="1747"/>
  <c r="AB9" i="1747"/>
  <c r="Q9" i="1747"/>
  <c r="P9" i="1747"/>
  <c r="AC9" i="1747" s="1"/>
  <c r="O9" i="1747"/>
  <c r="M9" i="1747"/>
  <c r="K9" i="1747"/>
  <c r="AF8" i="1747"/>
  <c r="AB8" i="1747"/>
  <c r="Q8" i="1747"/>
  <c r="P8" i="1747"/>
  <c r="AC8" i="1747" s="1"/>
  <c r="O8" i="1747"/>
  <c r="M8" i="1747"/>
  <c r="K8" i="1747"/>
  <c r="AF7" i="1747"/>
  <c r="AB7" i="1747"/>
  <c r="Q7" i="1747"/>
  <c r="P7" i="1747"/>
  <c r="AC7" i="1747" s="1"/>
  <c r="O7" i="1747"/>
  <c r="M7" i="1747"/>
  <c r="K7" i="1747"/>
  <c r="AF6" i="1747"/>
  <c r="AB6" i="1747"/>
  <c r="Q6" i="1747"/>
  <c r="P6" i="1747" s="1"/>
  <c r="O6" i="1747"/>
  <c r="M6" i="1747"/>
  <c r="P21" i="1747" l="1"/>
  <c r="AC21" i="1747" s="1"/>
  <c r="M21" i="1747"/>
  <c r="K21" i="1747"/>
  <c r="P13" i="1747"/>
  <c r="AC13" i="1747" s="1"/>
  <c r="AD9" i="1747"/>
  <c r="AD16" i="1747"/>
  <c r="AD12" i="1747"/>
  <c r="P11" i="1747"/>
  <c r="AC11" i="1747" s="1"/>
  <c r="K11" i="1747"/>
  <c r="K22" i="1747" s="1"/>
  <c r="AB11" i="1747"/>
  <c r="AD18" i="1747"/>
  <c r="AD8" i="1747"/>
  <c r="AD15" i="1747"/>
  <c r="AD7" i="1747"/>
  <c r="AD14" i="1747"/>
  <c r="AD13" i="1747"/>
  <c r="AC6" i="1747"/>
  <c r="AD19" i="1747"/>
  <c r="L22" i="1747"/>
  <c r="O22" i="1747" s="1"/>
  <c r="M10" i="1747"/>
  <c r="AB10" i="1747"/>
  <c r="O11" i="1747"/>
  <c r="M17" i="1747"/>
  <c r="AB17" i="1747"/>
  <c r="M20" i="1747"/>
  <c r="AB20" i="1747"/>
  <c r="O21" i="1747"/>
  <c r="Q22" i="1747"/>
  <c r="O10" i="1747"/>
  <c r="O17" i="1747"/>
  <c r="M19" i="1747"/>
  <c r="O20" i="1747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2" i="1746"/>
  <c r="P22" i="1746" s="1"/>
  <c r="AC22" i="1746" s="1"/>
  <c r="L21" i="1746"/>
  <c r="L20" i="1746"/>
  <c r="K20" i="1746" s="1"/>
  <c r="L18" i="1746"/>
  <c r="K18" i="1746" s="1"/>
  <c r="K14" i="1746"/>
  <c r="L13" i="1746"/>
  <c r="K13" i="1746" s="1"/>
  <c r="AF13" i="1746"/>
  <c r="Q13" i="1746"/>
  <c r="O13" i="1746"/>
  <c r="AB13" i="1746"/>
  <c r="L12" i="1746"/>
  <c r="O12" i="1746" s="1"/>
  <c r="L11" i="1746"/>
  <c r="L10" i="1746"/>
  <c r="K10" i="1746" s="1"/>
  <c r="K9" i="1746"/>
  <c r="K6" i="1746"/>
  <c r="K21" i="1746"/>
  <c r="K19" i="1746"/>
  <c r="K15" i="1746"/>
  <c r="K11" i="1746"/>
  <c r="K8" i="1746"/>
  <c r="K7" i="1746"/>
  <c r="A78" i="1746"/>
  <c r="A79" i="1746" s="1"/>
  <c r="A80" i="1746" s="1"/>
  <c r="A81" i="1746" s="1"/>
  <c r="A82" i="1746" s="1"/>
  <c r="A83" i="1746" s="1"/>
  <c r="AF62" i="1746"/>
  <c r="AF61" i="1746"/>
  <c r="AA23" i="1746"/>
  <c r="Z23" i="1746"/>
  <c r="Y23" i="1746"/>
  <c r="X23" i="1746"/>
  <c r="W23" i="1746"/>
  <c r="V23" i="1746"/>
  <c r="U23" i="1746"/>
  <c r="T23" i="1746"/>
  <c r="S23" i="1746"/>
  <c r="R23" i="1746"/>
  <c r="N23" i="1746"/>
  <c r="J23" i="1746"/>
  <c r="I23" i="1746"/>
  <c r="AF22" i="1746"/>
  <c r="Q22" i="1746"/>
  <c r="AF21" i="1746"/>
  <c r="Q21" i="1746"/>
  <c r="P21" i="1746"/>
  <c r="AC21" i="1746" s="1"/>
  <c r="AF20" i="1746"/>
  <c r="AB20" i="1746"/>
  <c r="Q20" i="1746"/>
  <c r="P20" i="1746" s="1"/>
  <c r="AC20" i="1746" s="1"/>
  <c r="O20" i="1746"/>
  <c r="M20" i="1746"/>
  <c r="AF19" i="1746"/>
  <c r="Q19" i="1746"/>
  <c r="P19" i="1746" s="1"/>
  <c r="AC19" i="1746" s="1"/>
  <c r="AF18" i="1746"/>
  <c r="AB18" i="1746"/>
  <c r="Q18" i="1746"/>
  <c r="P18" i="1746"/>
  <c r="AC18" i="1746" s="1"/>
  <c r="M18" i="1746"/>
  <c r="AF17" i="1746"/>
  <c r="AB17" i="1746"/>
  <c r="Q17" i="1746"/>
  <c r="P17" i="1746"/>
  <c r="AC17" i="1746" s="1"/>
  <c r="O17" i="1746"/>
  <c r="M17" i="1746"/>
  <c r="K17" i="1746"/>
  <c r="AF16" i="1746"/>
  <c r="AB16" i="1746"/>
  <c r="Q16" i="1746"/>
  <c r="P16" i="1746"/>
  <c r="AC16" i="1746" s="1"/>
  <c r="O16" i="1746"/>
  <c r="M16" i="1746"/>
  <c r="K16" i="1746"/>
  <c r="AF15" i="1746"/>
  <c r="AB15" i="1746"/>
  <c r="Q15" i="1746"/>
  <c r="P15" i="1746"/>
  <c r="AC15" i="1746" s="1"/>
  <c r="M15" i="1746"/>
  <c r="O15" i="1746"/>
  <c r="AF14" i="1746"/>
  <c r="AB14" i="1746"/>
  <c r="Q14" i="1746"/>
  <c r="P14" i="1746" s="1"/>
  <c r="AC14" i="1746" s="1"/>
  <c r="O14" i="1746"/>
  <c r="M14" i="1746"/>
  <c r="AF12" i="1746"/>
  <c r="Q12" i="1746"/>
  <c r="P12" i="1746" s="1"/>
  <c r="AC12" i="1746" s="1"/>
  <c r="M12" i="1746"/>
  <c r="AF11" i="1746"/>
  <c r="Q11" i="1746"/>
  <c r="P11" i="1746" s="1"/>
  <c r="AC11" i="1746" s="1"/>
  <c r="AF10" i="1746"/>
  <c r="AB10" i="1746"/>
  <c r="Q10" i="1746"/>
  <c r="P10" i="1746" s="1"/>
  <c r="AC10" i="1746" s="1"/>
  <c r="O10" i="1746"/>
  <c r="M10" i="1746"/>
  <c r="AF9" i="1746"/>
  <c r="AB9" i="1746"/>
  <c r="Q9" i="1746"/>
  <c r="P9" i="1746"/>
  <c r="AC9" i="1746" s="1"/>
  <c r="O9" i="1746"/>
  <c r="M9" i="1746"/>
  <c r="AF8" i="1746"/>
  <c r="AB8" i="1746"/>
  <c r="Q8" i="1746"/>
  <c r="P8" i="1746"/>
  <c r="AC8" i="1746" s="1"/>
  <c r="O8" i="1746"/>
  <c r="M8" i="1746"/>
  <c r="AF7" i="1746"/>
  <c r="AB7" i="1746"/>
  <c r="Q7" i="1746"/>
  <c r="P7" i="1746"/>
  <c r="AC7" i="1746" s="1"/>
  <c r="M7" i="1746"/>
  <c r="O7" i="1746"/>
  <c r="AF6" i="1746"/>
  <c r="AB6" i="1746"/>
  <c r="Q6" i="1746"/>
  <c r="P6" i="1746" s="1"/>
  <c r="AC6" i="1746" s="1"/>
  <c r="O6" i="1746"/>
  <c r="M6" i="1746"/>
  <c r="AD21" i="1747" l="1"/>
  <c r="P22" i="1747"/>
  <c r="AD11" i="1747"/>
  <c r="AD10" i="1747"/>
  <c r="AD20" i="1747"/>
  <c r="AD17" i="1747"/>
  <c r="M22" i="1747"/>
  <c r="AB22" i="1747"/>
  <c r="AD6" i="1747"/>
  <c r="AC22" i="1747"/>
  <c r="O22" i="1746"/>
  <c r="AB22" i="1746"/>
  <c r="AD22" i="1746" s="1"/>
  <c r="K22" i="1746"/>
  <c r="M22" i="1746"/>
  <c r="AB12" i="1746"/>
  <c r="AD14" i="1746"/>
  <c r="AD16" i="1746"/>
  <c r="O18" i="1746"/>
  <c r="K12" i="1746"/>
  <c r="P13" i="1746"/>
  <c r="AC13" i="1746" s="1"/>
  <c r="AD9" i="1746"/>
  <c r="AF64" i="1746"/>
  <c r="AD13" i="1746"/>
  <c r="AD8" i="1746"/>
  <c r="AD17" i="1746"/>
  <c r="M13" i="1746"/>
  <c r="Q23" i="1746"/>
  <c r="AD6" i="1746"/>
  <c r="AD10" i="1746"/>
  <c r="AD18" i="1746"/>
  <c r="AD12" i="1746"/>
  <c r="AD20" i="1746"/>
  <c r="AD15" i="1746"/>
  <c r="P23" i="1746"/>
  <c r="AD7" i="1746"/>
  <c r="L23" i="1746"/>
  <c r="O23" i="1746" s="1"/>
  <c r="M11" i="1746"/>
  <c r="AB11" i="1746"/>
  <c r="M19" i="1746"/>
  <c r="AB19" i="1746"/>
  <c r="M21" i="1746"/>
  <c r="AB21" i="1746"/>
  <c r="AC23" i="1746"/>
  <c r="O11" i="1746"/>
  <c r="O19" i="1746"/>
  <c r="O21" i="1746"/>
  <c r="AE10" i="1734"/>
  <c r="AE11" i="1734"/>
  <c r="AE12" i="1734"/>
  <c r="AE13" i="1734"/>
  <c r="AE14" i="1734"/>
  <c r="AE15" i="1734"/>
  <c r="AE10" i="1735"/>
  <c r="AE11" i="1735"/>
  <c r="AE12" i="1735"/>
  <c r="AE13" i="1735"/>
  <c r="AE14" i="1735"/>
  <c r="AE11" i="1736"/>
  <c r="AE12" i="1736"/>
  <c r="AE13" i="1736"/>
  <c r="AE14" i="1736"/>
  <c r="AE12" i="1737"/>
  <c r="AE13" i="1737"/>
  <c r="AE14" i="1737"/>
  <c r="AE10" i="1738"/>
  <c r="AE11" i="1738"/>
  <c r="AE12" i="1738"/>
  <c r="AE13" i="1738"/>
  <c r="AE14" i="1738"/>
  <c r="AE10" i="1739"/>
  <c r="AE11" i="1739"/>
  <c r="AE12" i="1739"/>
  <c r="AE13" i="1739"/>
  <c r="AE10" i="1740"/>
  <c r="AE11" i="1740"/>
  <c r="AE12" i="1740"/>
  <c r="AE13" i="1740"/>
  <c r="AE10" i="1741"/>
  <c r="AE11" i="1741"/>
  <c r="AE12" i="1741"/>
  <c r="AE13" i="1741"/>
  <c r="AE14" i="1741"/>
  <c r="AE11" i="1742"/>
  <c r="AE12" i="1742"/>
  <c r="AE13" i="1742"/>
  <c r="AE11" i="1743"/>
  <c r="AE12" i="1743"/>
  <c r="AE13" i="1743"/>
  <c r="AE14" i="1743"/>
  <c r="AE15" i="1743"/>
  <c r="AE16" i="1743"/>
  <c r="AE10" i="1744"/>
  <c r="AE11" i="1744"/>
  <c r="AE12" i="1744"/>
  <c r="AE13" i="1744"/>
  <c r="AE14" i="1744"/>
  <c r="AE15" i="1744"/>
  <c r="AE16" i="1744"/>
  <c r="AE10" i="1745"/>
  <c r="AE11" i="1745"/>
  <c r="AE12" i="1745"/>
  <c r="AE13" i="1745"/>
  <c r="AE14" i="1745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2" i="1745"/>
  <c r="L21" i="1745"/>
  <c r="L20" i="1745"/>
  <c r="K20" i="1745" s="1"/>
  <c r="AF19" i="1745"/>
  <c r="AB19" i="1745"/>
  <c r="Q19" i="1745"/>
  <c r="P19" i="1745" s="1"/>
  <c r="AC19" i="1745" s="1"/>
  <c r="AD19" i="1745" s="1"/>
  <c r="O19" i="1745"/>
  <c r="M19" i="1745"/>
  <c r="K19" i="1745"/>
  <c r="L18" i="1745"/>
  <c r="AD22" i="1747" l="1"/>
  <c r="AE15" i="1747" s="1"/>
  <c r="K23" i="1746"/>
  <c r="AD21" i="1746"/>
  <c r="AB23" i="1746"/>
  <c r="M23" i="1746"/>
  <c r="AD19" i="1746"/>
  <c r="AD11" i="1746"/>
  <c r="L14" i="1745"/>
  <c r="K13" i="1745"/>
  <c r="K12" i="1745"/>
  <c r="L11" i="1745"/>
  <c r="K11" i="1745" s="1"/>
  <c r="L7" i="1745"/>
  <c r="K7" i="1745" s="1"/>
  <c r="K22" i="1745"/>
  <c r="K21" i="1745"/>
  <c r="K18" i="1745"/>
  <c r="K17" i="1745"/>
  <c r="K14" i="1745"/>
  <c r="K9" i="1745"/>
  <c r="K8" i="1745"/>
  <c r="K6" i="1745"/>
  <c r="A78" i="1745"/>
  <c r="A79" i="1745" s="1"/>
  <c r="A80" i="1745" s="1"/>
  <c r="A81" i="1745" s="1"/>
  <c r="A82" i="1745" s="1"/>
  <c r="A83" i="1745" s="1"/>
  <c r="AF62" i="1745"/>
  <c r="AF64" i="1745" s="1"/>
  <c r="AF61" i="1745"/>
  <c r="AA23" i="1745"/>
  <c r="Z23" i="1745"/>
  <c r="Y23" i="1745"/>
  <c r="X23" i="1745"/>
  <c r="W23" i="1745"/>
  <c r="V23" i="1745"/>
  <c r="U23" i="1745"/>
  <c r="T23" i="1745"/>
  <c r="S23" i="1745"/>
  <c r="R23" i="1745"/>
  <c r="N23" i="1745"/>
  <c r="J23" i="1745"/>
  <c r="I23" i="1745"/>
  <c r="AF22" i="1745"/>
  <c r="AB22" i="1745"/>
  <c r="Q22" i="1745"/>
  <c r="P22" i="1745"/>
  <c r="AC22" i="1745" s="1"/>
  <c r="O22" i="1745"/>
  <c r="M22" i="1745"/>
  <c r="AF21" i="1745"/>
  <c r="Q21" i="1745"/>
  <c r="P21" i="1745"/>
  <c r="AC21" i="1745" s="1"/>
  <c r="AF20" i="1745"/>
  <c r="Q20" i="1745"/>
  <c r="P20" i="1745" s="1"/>
  <c r="AC20" i="1745" s="1"/>
  <c r="O20" i="1745"/>
  <c r="AF18" i="1745"/>
  <c r="Q18" i="1745"/>
  <c r="P18" i="1745" s="1"/>
  <c r="AC18" i="1745" s="1"/>
  <c r="O18" i="1745"/>
  <c r="AB18" i="1745"/>
  <c r="AF17" i="1745"/>
  <c r="AB17" i="1745"/>
  <c r="Q17" i="1745"/>
  <c r="P17" i="1745"/>
  <c r="AC17" i="1745" s="1"/>
  <c r="O17" i="1745"/>
  <c r="M17" i="1745"/>
  <c r="AF16" i="1745"/>
  <c r="AB16" i="1745"/>
  <c r="Q16" i="1745"/>
  <c r="P16" i="1745"/>
  <c r="AC16" i="1745" s="1"/>
  <c r="O16" i="1745"/>
  <c r="M16" i="1745"/>
  <c r="K16" i="1745"/>
  <c r="AF15" i="1745"/>
  <c r="AB15" i="1745"/>
  <c r="Q15" i="1745"/>
  <c r="P15" i="1745"/>
  <c r="AC15" i="1745" s="1"/>
  <c r="O15" i="1745"/>
  <c r="M15" i="1745"/>
  <c r="K15" i="1745"/>
  <c r="AF14" i="1745"/>
  <c r="Q14" i="1745"/>
  <c r="P14" i="1745" s="1"/>
  <c r="AC14" i="1745" s="1"/>
  <c r="AF13" i="1745"/>
  <c r="AB13" i="1745"/>
  <c r="Q13" i="1745"/>
  <c r="P13" i="1745" s="1"/>
  <c r="AC13" i="1745" s="1"/>
  <c r="O13" i="1745"/>
  <c r="M13" i="1745"/>
  <c r="AF12" i="1745"/>
  <c r="AB12" i="1745"/>
  <c r="Q12" i="1745"/>
  <c r="P12" i="1745" s="1"/>
  <c r="AC12" i="1745" s="1"/>
  <c r="M12" i="1745"/>
  <c r="AF11" i="1745"/>
  <c r="Q11" i="1745"/>
  <c r="P11" i="1745" s="1"/>
  <c r="AC11" i="1745" s="1"/>
  <c r="AF10" i="1745"/>
  <c r="AB10" i="1745"/>
  <c r="Q10" i="1745"/>
  <c r="P10" i="1745"/>
  <c r="AC10" i="1745" s="1"/>
  <c r="O10" i="1745"/>
  <c r="M10" i="1745"/>
  <c r="K10" i="1745"/>
  <c r="AF9" i="1745"/>
  <c r="AB9" i="1745"/>
  <c r="Q9" i="1745"/>
  <c r="M9" i="1745"/>
  <c r="P9" i="1745"/>
  <c r="AC9" i="1745" s="1"/>
  <c r="AF8" i="1745"/>
  <c r="Q8" i="1745"/>
  <c r="P8" i="1745" s="1"/>
  <c r="AC8" i="1745" s="1"/>
  <c r="AF7" i="1745"/>
  <c r="Q7" i="1745"/>
  <c r="P7" i="1745" s="1"/>
  <c r="AC7" i="1745" s="1"/>
  <c r="AF6" i="1745"/>
  <c r="AB6" i="1745"/>
  <c r="Q6" i="1745"/>
  <c r="O6" i="1745"/>
  <c r="M6" i="1745"/>
  <c r="AE17" i="1747" l="1"/>
  <c r="AE16" i="1747"/>
  <c r="AE19" i="1747"/>
  <c r="AE11" i="1747"/>
  <c r="AE9" i="1747"/>
  <c r="AE8" i="1747"/>
  <c r="AE7" i="1747"/>
  <c r="AE10" i="1747"/>
  <c r="AE21" i="1747"/>
  <c r="AE12" i="1747"/>
  <c r="AE20" i="1747"/>
  <c r="AE13" i="1747"/>
  <c r="AE14" i="1747"/>
  <c r="AE18" i="1747"/>
  <c r="AE6" i="1747"/>
  <c r="AD23" i="1746"/>
  <c r="AE13" i="1746" s="1"/>
  <c r="AD17" i="1745"/>
  <c r="M7" i="1745"/>
  <c r="AD16" i="1745"/>
  <c r="AB7" i="1745"/>
  <c r="O7" i="1745"/>
  <c r="AD10" i="1745"/>
  <c r="AD15" i="1745"/>
  <c r="Q23" i="1745"/>
  <c r="AD13" i="1745"/>
  <c r="AD22" i="1745"/>
  <c r="AD18" i="1745"/>
  <c r="L23" i="1745"/>
  <c r="O23" i="1745" s="1"/>
  <c r="P6" i="1745"/>
  <c r="M8" i="1745"/>
  <c r="AB8" i="1745"/>
  <c r="O9" i="1745"/>
  <c r="AD9" i="1745" s="1"/>
  <c r="M11" i="1745"/>
  <c r="AB11" i="1745"/>
  <c r="O12" i="1745"/>
  <c r="AD12" i="1745" s="1"/>
  <c r="M14" i="1745"/>
  <c r="AB14" i="1745"/>
  <c r="M21" i="1745"/>
  <c r="AB21" i="1745"/>
  <c r="O8" i="1745"/>
  <c r="O11" i="1745"/>
  <c r="O14" i="1745"/>
  <c r="M20" i="1745"/>
  <c r="AB20" i="1745"/>
  <c r="O21" i="1745"/>
  <c r="K23" i="1745"/>
  <c r="M18" i="1745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2" i="1744"/>
  <c r="K22" i="1744" s="1"/>
  <c r="L21" i="1744"/>
  <c r="K21" i="1744" s="1"/>
  <c r="L20" i="1744"/>
  <c r="O20" i="1744" s="1"/>
  <c r="L19" i="1744"/>
  <c r="M19" i="1744" s="1"/>
  <c r="L18" i="1744"/>
  <c r="L15" i="1744"/>
  <c r="K15" i="1744" s="1"/>
  <c r="L14" i="1744"/>
  <c r="K14" i="1744"/>
  <c r="L13" i="1744"/>
  <c r="K13" i="1744"/>
  <c r="L12" i="1744"/>
  <c r="K12" i="1744"/>
  <c r="L11" i="1744"/>
  <c r="AB11" i="1744" s="1"/>
  <c r="L9" i="1744"/>
  <c r="AB9" i="1744" s="1"/>
  <c r="L8" i="1744"/>
  <c r="K8" i="1744" s="1"/>
  <c r="L7" i="1744"/>
  <c r="K7" i="1744" s="1"/>
  <c r="K20" i="1744"/>
  <c r="K19" i="1744"/>
  <c r="K11" i="1744"/>
  <c r="K6" i="1744"/>
  <c r="A78" i="1744"/>
  <c r="A79" i="1744" s="1"/>
  <c r="A80" i="1744" s="1"/>
  <c r="A81" i="1744" s="1"/>
  <c r="A82" i="1744" s="1"/>
  <c r="A83" i="1744" s="1"/>
  <c r="AF62" i="1744"/>
  <c r="AF64" i="1744" s="1"/>
  <c r="AF61" i="1744"/>
  <c r="AA23" i="1744"/>
  <c r="Z23" i="1744"/>
  <c r="Y23" i="1744"/>
  <c r="X23" i="1744"/>
  <c r="W23" i="1744"/>
  <c r="V23" i="1744"/>
  <c r="U23" i="1744"/>
  <c r="T23" i="1744"/>
  <c r="S23" i="1744"/>
  <c r="R23" i="1744"/>
  <c r="N23" i="1744"/>
  <c r="J23" i="1744"/>
  <c r="I23" i="1744"/>
  <c r="AF22" i="1744"/>
  <c r="AB22" i="1744"/>
  <c r="Q22" i="1744"/>
  <c r="P22" i="1744" s="1"/>
  <c r="AC22" i="1744" s="1"/>
  <c r="O22" i="1744"/>
  <c r="M22" i="1744"/>
  <c r="AF21" i="1744"/>
  <c r="Q21" i="1744"/>
  <c r="P21" i="1744" s="1"/>
  <c r="AC21" i="1744" s="1"/>
  <c r="AF20" i="1744"/>
  <c r="Q20" i="1744"/>
  <c r="AF19" i="1744"/>
  <c r="AB19" i="1744"/>
  <c r="Q19" i="1744"/>
  <c r="P19" i="1744"/>
  <c r="AC19" i="1744" s="1"/>
  <c r="O19" i="1744"/>
  <c r="AF18" i="1744"/>
  <c r="AB18" i="1744"/>
  <c r="Q18" i="1744"/>
  <c r="O18" i="1744"/>
  <c r="M18" i="1744"/>
  <c r="AF17" i="1744"/>
  <c r="AB17" i="1744"/>
  <c r="Q17" i="1744"/>
  <c r="P17" i="1744"/>
  <c r="AC17" i="1744" s="1"/>
  <c r="O17" i="1744"/>
  <c r="M17" i="1744"/>
  <c r="K17" i="1744"/>
  <c r="AF16" i="1744"/>
  <c r="AB16" i="1744"/>
  <c r="Q16" i="1744"/>
  <c r="P16" i="1744"/>
  <c r="AC16" i="1744" s="1"/>
  <c r="AD16" i="1744" s="1"/>
  <c r="O16" i="1744"/>
  <c r="M16" i="1744"/>
  <c r="K16" i="1744"/>
  <c r="AF15" i="1744"/>
  <c r="Q15" i="1744"/>
  <c r="AB15" i="1744"/>
  <c r="AF14" i="1744"/>
  <c r="AB14" i="1744"/>
  <c r="Q14" i="1744"/>
  <c r="M14" i="1744"/>
  <c r="O14" i="1744"/>
  <c r="AF13" i="1744"/>
  <c r="Q13" i="1744"/>
  <c r="AF12" i="1744"/>
  <c r="AB12" i="1744"/>
  <c r="Q12" i="1744"/>
  <c r="O12" i="1744"/>
  <c r="M12" i="1744"/>
  <c r="AF11" i="1744"/>
  <c r="Q11" i="1744"/>
  <c r="P11" i="1744"/>
  <c r="AC11" i="1744" s="1"/>
  <c r="M11" i="1744"/>
  <c r="AF10" i="1744"/>
  <c r="AC10" i="1744"/>
  <c r="AD10" i="1744" s="1"/>
  <c r="AB10" i="1744"/>
  <c r="Q10" i="1744"/>
  <c r="P10" i="1744"/>
  <c r="O10" i="1744"/>
  <c r="M10" i="1744"/>
  <c r="K10" i="1744"/>
  <c r="AF9" i="1744"/>
  <c r="Q9" i="1744"/>
  <c r="O9" i="1744"/>
  <c r="AF8" i="1744"/>
  <c r="Q8" i="1744"/>
  <c r="P8" i="1744" s="1"/>
  <c r="AC8" i="1744" s="1"/>
  <c r="AF7" i="1744"/>
  <c r="Q7" i="1744"/>
  <c r="P7" i="1744"/>
  <c r="AC7" i="1744" s="1"/>
  <c r="O7" i="1744"/>
  <c r="AF6" i="1744"/>
  <c r="Q6" i="1744"/>
  <c r="O6" i="1744"/>
  <c r="AB6" i="1744"/>
  <c r="AE10" i="1746" l="1"/>
  <c r="AE15" i="1746"/>
  <c r="AE19" i="1746"/>
  <c r="AE16" i="1746"/>
  <c r="AE20" i="1746"/>
  <c r="AE17" i="1746"/>
  <c r="AE11" i="1746"/>
  <c r="AE8" i="1746"/>
  <c r="AE9" i="1746"/>
  <c r="AE14" i="1746"/>
  <c r="AE12" i="1746"/>
  <c r="AE6" i="1746"/>
  <c r="AE21" i="1746"/>
  <c r="AE18" i="1746"/>
  <c r="AE7" i="1746"/>
  <c r="AE22" i="1746"/>
  <c r="AD7" i="1745"/>
  <c r="AD14" i="1745"/>
  <c r="AB23" i="1745"/>
  <c r="AD21" i="1745"/>
  <c r="AD8" i="1745"/>
  <c r="AD11" i="1745"/>
  <c r="M23" i="1745"/>
  <c r="AD20" i="1745"/>
  <c r="AC6" i="1745"/>
  <c r="P23" i="1745"/>
  <c r="AD22" i="1744"/>
  <c r="P18" i="1744"/>
  <c r="AC18" i="1744" s="1"/>
  <c r="K18" i="1744"/>
  <c r="O15" i="1744"/>
  <c r="P14" i="1744"/>
  <c r="AC14" i="1744" s="1"/>
  <c r="AD14" i="1744" s="1"/>
  <c r="P13" i="1744"/>
  <c r="AC13" i="1744" s="1"/>
  <c r="P12" i="1744"/>
  <c r="AC12" i="1744" s="1"/>
  <c r="O11" i="1744"/>
  <c r="K9" i="1744"/>
  <c r="P9" i="1744"/>
  <c r="AC9" i="1744" s="1"/>
  <c r="AD9" i="1744" s="1"/>
  <c r="M9" i="1744"/>
  <c r="Q23" i="1744"/>
  <c r="M7" i="1744"/>
  <c r="AB7" i="1744"/>
  <c r="AD7" i="1744" s="1"/>
  <c r="AD18" i="1744"/>
  <c r="AD12" i="1744"/>
  <c r="AD17" i="1744"/>
  <c r="AD19" i="1744"/>
  <c r="AD11" i="1744"/>
  <c r="P6" i="1744"/>
  <c r="M8" i="1744"/>
  <c r="AB8" i="1744"/>
  <c r="M13" i="1744"/>
  <c r="AB13" i="1744"/>
  <c r="P15" i="1744"/>
  <c r="AC15" i="1744" s="1"/>
  <c r="AD15" i="1744" s="1"/>
  <c r="P20" i="1744"/>
  <c r="AC20" i="1744" s="1"/>
  <c r="L23" i="1744"/>
  <c r="O23" i="1744" s="1"/>
  <c r="O13" i="1744"/>
  <c r="M21" i="1744"/>
  <c r="AB21" i="1744"/>
  <c r="O8" i="1744"/>
  <c r="M6" i="1744"/>
  <c r="M15" i="1744"/>
  <c r="M20" i="1744"/>
  <c r="AB20" i="1744"/>
  <c r="O21" i="1744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2" i="1743"/>
  <c r="K22" i="1743" s="1"/>
  <c r="L21" i="1743"/>
  <c r="K21" i="1743"/>
  <c r="L20" i="1743"/>
  <c r="K20" i="1743" s="1"/>
  <c r="L19" i="1743"/>
  <c r="L15" i="1743"/>
  <c r="K15" i="1743" s="1"/>
  <c r="L14" i="1743"/>
  <c r="O14" i="1743" s="1"/>
  <c r="K14" i="1743"/>
  <c r="AF14" i="1743"/>
  <c r="Q14" i="1743"/>
  <c r="AB14" i="1743"/>
  <c r="L13" i="1743"/>
  <c r="K13" i="1743" s="1"/>
  <c r="L11" i="1743"/>
  <c r="AB11" i="1743" s="1"/>
  <c r="L8" i="1743"/>
  <c r="O8" i="1743" s="1"/>
  <c r="L7" i="1743"/>
  <c r="K7" i="1743" s="1"/>
  <c r="L6" i="1743"/>
  <c r="K6" i="1743"/>
  <c r="K19" i="1743"/>
  <c r="K18" i="1743"/>
  <c r="K12" i="1743"/>
  <c r="K10" i="1743"/>
  <c r="K9" i="1743"/>
  <c r="K8" i="1743"/>
  <c r="A78" i="1743"/>
  <c r="A79" i="1743" s="1"/>
  <c r="A80" i="1743" s="1"/>
  <c r="A81" i="1743" s="1"/>
  <c r="A82" i="1743" s="1"/>
  <c r="A83" i="1743" s="1"/>
  <c r="AF62" i="1743"/>
  <c r="AF61" i="1743"/>
  <c r="AA23" i="1743"/>
  <c r="Z23" i="1743"/>
  <c r="Y23" i="1743"/>
  <c r="X23" i="1743"/>
  <c r="W23" i="1743"/>
  <c r="V23" i="1743"/>
  <c r="U23" i="1743"/>
  <c r="T23" i="1743"/>
  <c r="S23" i="1743"/>
  <c r="R23" i="1743"/>
  <c r="N23" i="1743"/>
  <c r="J23" i="1743"/>
  <c r="I23" i="1743"/>
  <c r="AF22" i="1743"/>
  <c r="Q22" i="1743"/>
  <c r="AF21" i="1743"/>
  <c r="Q21" i="1743"/>
  <c r="P21" i="1743" s="1"/>
  <c r="AC21" i="1743" s="1"/>
  <c r="AF20" i="1743"/>
  <c r="Q20" i="1743"/>
  <c r="P20" i="1743" s="1"/>
  <c r="AC20" i="1743" s="1"/>
  <c r="AF19" i="1743"/>
  <c r="Q19" i="1743"/>
  <c r="P19" i="1743"/>
  <c r="AC19" i="1743" s="1"/>
  <c r="O19" i="1743"/>
  <c r="AF18" i="1743"/>
  <c r="AB18" i="1743"/>
  <c r="Q18" i="1743"/>
  <c r="P18" i="1743"/>
  <c r="AC18" i="1743" s="1"/>
  <c r="O18" i="1743"/>
  <c r="M18" i="1743"/>
  <c r="AF17" i="1743"/>
  <c r="AB17" i="1743"/>
  <c r="Q17" i="1743"/>
  <c r="P17" i="1743"/>
  <c r="AC17" i="1743" s="1"/>
  <c r="O17" i="1743"/>
  <c r="M17" i="1743"/>
  <c r="K17" i="1743"/>
  <c r="AF16" i="1743"/>
  <c r="AC16" i="1743"/>
  <c r="AB16" i="1743"/>
  <c r="Q16" i="1743"/>
  <c r="P16" i="1743"/>
  <c r="O16" i="1743"/>
  <c r="M16" i="1743"/>
  <c r="K16" i="1743"/>
  <c r="AF15" i="1743"/>
  <c r="Q15" i="1743"/>
  <c r="AF13" i="1743"/>
  <c r="Q13" i="1743"/>
  <c r="P13" i="1743" s="1"/>
  <c r="AC13" i="1743" s="1"/>
  <c r="O13" i="1743"/>
  <c r="AF12" i="1743"/>
  <c r="Q12" i="1743"/>
  <c r="P12" i="1743" s="1"/>
  <c r="AC12" i="1743" s="1"/>
  <c r="O12" i="1743"/>
  <c r="M12" i="1743"/>
  <c r="AB12" i="1743"/>
  <c r="AF11" i="1743"/>
  <c r="Q11" i="1743"/>
  <c r="M11" i="1743"/>
  <c r="AF10" i="1743"/>
  <c r="Q10" i="1743"/>
  <c r="P10" i="1743"/>
  <c r="AC10" i="1743" s="1"/>
  <c r="AF9" i="1743"/>
  <c r="Q9" i="1743"/>
  <c r="P9" i="1743"/>
  <c r="AC9" i="1743" s="1"/>
  <c r="O9" i="1743"/>
  <c r="AF8" i="1743"/>
  <c r="Q8" i="1743"/>
  <c r="P8" i="1743" s="1"/>
  <c r="AC8" i="1743" s="1"/>
  <c r="M8" i="1743"/>
  <c r="AF7" i="1743"/>
  <c r="AB7" i="1743"/>
  <c r="Q7" i="1743"/>
  <c r="P7" i="1743"/>
  <c r="AC7" i="1743" s="1"/>
  <c r="O7" i="1743"/>
  <c r="M7" i="1743"/>
  <c r="AF6" i="1743"/>
  <c r="AB6" i="1743"/>
  <c r="Q6" i="1743"/>
  <c r="O6" i="1743"/>
  <c r="M6" i="1743"/>
  <c r="AC23" i="1745" l="1"/>
  <c r="AD6" i="1745"/>
  <c r="AD23" i="1745" s="1"/>
  <c r="AE19" i="1745" s="1"/>
  <c r="AD13" i="1744"/>
  <c r="AD21" i="1744"/>
  <c r="AB23" i="1744"/>
  <c r="K23" i="1744"/>
  <c r="AD8" i="1744"/>
  <c r="M23" i="1744"/>
  <c r="AD20" i="1744"/>
  <c r="AC6" i="1744"/>
  <c r="P23" i="1744"/>
  <c r="M22" i="1743"/>
  <c r="P22" i="1743"/>
  <c r="AC22" i="1743" s="1"/>
  <c r="AB22" i="1743"/>
  <c r="AB8" i="1743"/>
  <c r="P15" i="1743"/>
  <c r="AC15" i="1743" s="1"/>
  <c r="AF64" i="1743"/>
  <c r="P14" i="1743"/>
  <c r="AC14" i="1743" s="1"/>
  <c r="AD14" i="1743" s="1"/>
  <c r="M14" i="1743"/>
  <c r="K11" i="1743"/>
  <c r="O11" i="1743"/>
  <c r="P11" i="1743"/>
  <c r="AC11" i="1743" s="1"/>
  <c r="AD11" i="1743" s="1"/>
  <c r="Q23" i="1743"/>
  <c r="AD8" i="1743"/>
  <c r="AD7" i="1743"/>
  <c r="P6" i="1743"/>
  <c r="AC6" i="1743" s="1"/>
  <c r="AC23" i="1743" s="1"/>
  <c r="AD16" i="1743"/>
  <c r="AD17" i="1743"/>
  <c r="AD18" i="1743"/>
  <c r="AD12" i="1743"/>
  <c r="AB10" i="1743"/>
  <c r="M20" i="1743"/>
  <c r="M9" i="1743"/>
  <c r="AB9" i="1743"/>
  <c r="O10" i="1743"/>
  <c r="M13" i="1743"/>
  <c r="AB13" i="1743"/>
  <c r="AD13" i="1743" s="1"/>
  <c r="O15" i="1743"/>
  <c r="M19" i="1743"/>
  <c r="AB19" i="1743"/>
  <c r="AD19" i="1743" s="1"/>
  <c r="O20" i="1743"/>
  <c r="M21" i="1743"/>
  <c r="AB21" i="1743"/>
  <c r="O22" i="1743"/>
  <c r="M10" i="1743"/>
  <c r="M15" i="1743"/>
  <c r="AB15" i="1743"/>
  <c r="AD15" i="1743" s="1"/>
  <c r="AB20" i="1743"/>
  <c r="L23" i="1743"/>
  <c r="O23" i="1743" s="1"/>
  <c r="K23" i="1743"/>
  <c r="O21" i="1743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2" i="1742"/>
  <c r="K22" i="1742"/>
  <c r="L21" i="1742"/>
  <c r="K21" i="1742"/>
  <c r="AF20" i="1742"/>
  <c r="Q20" i="1742"/>
  <c r="AB20" i="1742"/>
  <c r="L19" i="1742"/>
  <c r="K19" i="1742"/>
  <c r="L18" i="1742"/>
  <c r="M18" i="1742" s="1"/>
  <c r="K17" i="1742"/>
  <c r="L14" i="1742"/>
  <c r="K14" i="1742" s="1"/>
  <c r="L13" i="1742"/>
  <c r="K13" i="1742" s="1"/>
  <c r="L12" i="1742"/>
  <c r="L11" i="1742"/>
  <c r="K11" i="1742" s="1"/>
  <c r="L10" i="1742"/>
  <c r="K10" i="1742" s="1"/>
  <c r="L9" i="1742"/>
  <c r="K9" i="1742" s="1"/>
  <c r="K12" i="1742"/>
  <c r="K8" i="1742"/>
  <c r="A78" i="1742"/>
  <c r="A79" i="1742" s="1"/>
  <c r="A80" i="1742" s="1"/>
  <c r="A81" i="1742" s="1"/>
  <c r="A82" i="1742" s="1"/>
  <c r="A83" i="1742" s="1"/>
  <c r="AF64" i="1742"/>
  <c r="AF62" i="1742"/>
  <c r="AF61" i="1742"/>
  <c r="AA23" i="1742"/>
  <c r="Z23" i="1742"/>
  <c r="Y23" i="1742"/>
  <c r="X23" i="1742"/>
  <c r="W23" i="1742"/>
  <c r="V23" i="1742"/>
  <c r="U23" i="1742"/>
  <c r="T23" i="1742"/>
  <c r="S23" i="1742"/>
  <c r="R23" i="1742"/>
  <c r="N23" i="1742"/>
  <c r="J23" i="1742"/>
  <c r="I23" i="1742"/>
  <c r="AF22" i="1742"/>
  <c r="Q22" i="1742"/>
  <c r="AF21" i="1742"/>
  <c r="AB21" i="1742"/>
  <c r="Q21" i="1742"/>
  <c r="P21" i="1742" s="1"/>
  <c r="AC21" i="1742" s="1"/>
  <c r="O21" i="1742"/>
  <c r="M21" i="1742"/>
  <c r="AF19" i="1742"/>
  <c r="Q19" i="1742"/>
  <c r="O19" i="1742"/>
  <c r="AF18" i="1742"/>
  <c r="Q18" i="1742"/>
  <c r="P18" i="1742"/>
  <c r="AC18" i="1742" s="1"/>
  <c r="AF17" i="1742"/>
  <c r="AB17" i="1742"/>
  <c r="Q17" i="1742"/>
  <c r="P17" i="1742" s="1"/>
  <c r="AC17" i="1742" s="1"/>
  <c r="O17" i="1742"/>
  <c r="M17" i="1742"/>
  <c r="AF16" i="1742"/>
  <c r="AB16" i="1742"/>
  <c r="Q16" i="1742"/>
  <c r="P16" i="1742"/>
  <c r="AC16" i="1742" s="1"/>
  <c r="O16" i="1742"/>
  <c r="M16" i="1742"/>
  <c r="K16" i="1742"/>
  <c r="AF15" i="1742"/>
  <c r="AB15" i="1742"/>
  <c r="Q15" i="1742"/>
  <c r="P15" i="1742"/>
  <c r="AC15" i="1742" s="1"/>
  <c r="O15" i="1742"/>
  <c r="M15" i="1742"/>
  <c r="K15" i="1742"/>
  <c r="AF14" i="1742"/>
  <c r="AB14" i="1742"/>
  <c r="Q14" i="1742"/>
  <c r="P14" i="1742" s="1"/>
  <c r="AC14" i="1742" s="1"/>
  <c r="O14" i="1742"/>
  <c r="M14" i="1742"/>
  <c r="AF13" i="1742"/>
  <c r="Q13" i="1742"/>
  <c r="AB13" i="1742"/>
  <c r="AF12" i="1742"/>
  <c r="AB12" i="1742"/>
  <c r="Q12" i="1742"/>
  <c r="P12" i="1742"/>
  <c r="AC12" i="1742" s="1"/>
  <c r="O12" i="1742"/>
  <c r="M12" i="1742"/>
  <c r="AF11" i="1742"/>
  <c r="Q11" i="1742"/>
  <c r="O11" i="1742"/>
  <c r="AF10" i="1742"/>
  <c r="Q10" i="1742"/>
  <c r="AF9" i="1742"/>
  <c r="AB9" i="1742"/>
  <c r="Q9" i="1742"/>
  <c r="P9" i="1742"/>
  <c r="AC9" i="1742" s="1"/>
  <c r="O9" i="1742"/>
  <c r="M9" i="1742"/>
  <c r="AF8" i="1742"/>
  <c r="Q8" i="1742"/>
  <c r="AB8" i="1742"/>
  <c r="AF7" i="1742"/>
  <c r="AB7" i="1742"/>
  <c r="Q7" i="1742"/>
  <c r="P7" i="1742"/>
  <c r="AC7" i="1742" s="1"/>
  <c r="O7" i="1742"/>
  <c r="M7" i="1742"/>
  <c r="K7" i="1742"/>
  <c r="AF6" i="1742"/>
  <c r="AC6" i="1742"/>
  <c r="AB6" i="1742"/>
  <c r="Q6" i="1742"/>
  <c r="P6" i="1742"/>
  <c r="O6" i="1742"/>
  <c r="M6" i="1742"/>
  <c r="K6" i="1742"/>
  <c r="AE22" i="1745" l="1"/>
  <c r="AE17" i="1745"/>
  <c r="AE9" i="1745"/>
  <c r="AE21" i="1745"/>
  <c r="AE16" i="1745"/>
  <c r="AE18" i="1745"/>
  <c r="AE15" i="1745"/>
  <c r="AE6" i="1745"/>
  <c r="AE8" i="1745"/>
  <c r="AE20" i="1745"/>
  <c r="AE7" i="1745"/>
  <c r="AC23" i="1744"/>
  <c r="AD6" i="1744"/>
  <c r="AD23" i="1744" s="1"/>
  <c r="AD22" i="1743"/>
  <c r="P23" i="1743"/>
  <c r="M23" i="1743"/>
  <c r="AD10" i="1743"/>
  <c r="AD6" i="1743"/>
  <c r="AB23" i="1743"/>
  <c r="AD21" i="1743"/>
  <c r="AD20" i="1743"/>
  <c r="AD9" i="1743"/>
  <c r="P22" i="1742"/>
  <c r="AC22" i="1742" s="1"/>
  <c r="O22" i="1742"/>
  <c r="AB22" i="1742"/>
  <c r="AD15" i="1742"/>
  <c r="O20" i="1742"/>
  <c r="AD7" i="1742"/>
  <c r="K20" i="1742"/>
  <c r="K23" i="1742" s="1"/>
  <c r="P20" i="1742"/>
  <c r="AC20" i="1742" s="1"/>
  <c r="AD20" i="1742" s="1"/>
  <c r="AD16" i="1742"/>
  <c r="AD21" i="1742"/>
  <c r="M20" i="1742"/>
  <c r="K18" i="1742"/>
  <c r="AD17" i="1742"/>
  <c r="AD14" i="1742"/>
  <c r="O13" i="1742"/>
  <c r="P13" i="1742"/>
  <c r="AC13" i="1742" s="1"/>
  <c r="AD12" i="1742"/>
  <c r="AB10" i="1742"/>
  <c r="P10" i="1742"/>
  <c r="AC10" i="1742" s="1"/>
  <c r="Q23" i="1742"/>
  <c r="AD9" i="1742"/>
  <c r="M8" i="1742"/>
  <c r="M11" i="1742"/>
  <c r="AD6" i="1742"/>
  <c r="O8" i="1742"/>
  <c r="M10" i="1742"/>
  <c r="AB18" i="1742"/>
  <c r="P8" i="1742"/>
  <c r="AC8" i="1742" s="1"/>
  <c r="AD8" i="1742" s="1"/>
  <c r="O10" i="1742"/>
  <c r="P11" i="1742"/>
  <c r="AC11" i="1742" s="1"/>
  <c r="M13" i="1742"/>
  <c r="O18" i="1742"/>
  <c r="P19" i="1742"/>
  <c r="AC19" i="1742" s="1"/>
  <c r="M22" i="1742"/>
  <c r="L23" i="1742"/>
  <c r="O23" i="1742" s="1"/>
  <c r="AB19" i="1742"/>
  <c r="AB11" i="1742"/>
  <c r="M19" i="1742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AE22" i="1744" l="1"/>
  <c r="AE18" i="1744"/>
  <c r="AE19" i="1744"/>
  <c r="AE9" i="1744"/>
  <c r="AE6" i="1744"/>
  <c r="AE8" i="1744"/>
  <c r="AE20" i="1744"/>
  <c r="AE17" i="1744"/>
  <c r="AE21" i="1744"/>
  <c r="AE7" i="1744"/>
  <c r="AD23" i="1743"/>
  <c r="AE21" i="1743"/>
  <c r="AD22" i="1742"/>
  <c r="AD13" i="1742"/>
  <c r="AB23" i="1742"/>
  <c r="AD10" i="1742"/>
  <c r="M23" i="1742"/>
  <c r="P23" i="1742"/>
  <c r="AD18" i="1742"/>
  <c r="AD19" i="1742"/>
  <c r="AD11" i="1742"/>
  <c r="AC23" i="1742"/>
  <c r="L21" i="1741"/>
  <c r="L20" i="1741"/>
  <c r="K20" i="1741"/>
  <c r="L19" i="1741"/>
  <c r="L18" i="1741"/>
  <c r="L13" i="1741"/>
  <c r="L12" i="1741"/>
  <c r="L11" i="1741"/>
  <c r="K11" i="1741" s="1"/>
  <c r="L10" i="1741"/>
  <c r="AE18" i="1743" l="1"/>
  <c r="AE19" i="1743"/>
  <c r="AE10" i="1743"/>
  <c r="AE22" i="1743"/>
  <c r="AE9" i="1743"/>
  <c r="AE6" i="1743"/>
  <c r="AE17" i="1743"/>
  <c r="AE8" i="1743"/>
  <c r="AE7" i="1743"/>
  <c r="AE20" i="1743"/>
  <c r="AD23" i="1742"/>
  <c r="AE20" i="1742" s="1"/>
  <c r="L8" i="1741"/>
  <c r="K21" i="1741"/>
  <c r="K19" i="1741"/>
  <c r="K18" i="1741"/>
  <c r="K13" i="1741"/>
  <c r="K12" i="1741"/>
  <c r="K10" i="1741"/>
  <c r="K8" i="1741"/>
  <c r="K7" i="1741"/>
  <c r="A77" i="1741"/>
  <c r="A78" i="1741" s="1"/>
  <c r="A79" i="1741" s="1"/>
  <c r="A80" i="1741" s="1"/>
  <c r="A81" i="1741" s="1"/>
  <c r="A82" i="1741" s="1"/>
  <c r="AF61" i="1741"/>
  <c r="AF60" i="1741"/>
  <c r="AF63" i="1741" s="1"/>
  <c r="AA22" i="1741"/>
  <c r="Z22" i="1741"/>
  <c r="Y22" i="1741"/>
  <c r="X22" i="1741"/>
  <c r="W22" i="1741"/>
  <c r="V22" i="1741"/>
  <c r="U22" i="1741"/>
  <c r="T22" i="1741"/>
  <c r="S22" i="1741"/>
  <c r="R22" i="1741"/>
  <c r="N22" i="1741"/>
  <c r="J22" i="1741"/>
  <c r="I22" i="1741"/>
  <c r="AF21" i="1741"/>
  <c r="AB21" i="1741"/>
  <c r="Q21" i="1741"/>
  <c r="P21" i="1741" s="1"/>
  <c r="AC21" i="1741" s="1"/>
  <c r="M21" i="1741"/>
  <c r="AF20" i="1741"/>
  <c r="AB20" i="1741"/>
  <c r="Q20" i="1741"/>
  <c r="P20" i="1741" s="1"/>
  <c r="AC20" i="1741" s="1"/>
  <c r="O20" i="1741"/>
  <c r="M20" i="1741"/>
  <c r="AF19" i="1741"/>
  <c r="AB19" i="1741"/>
  <c r="Q19" i="1741"/>
  <c r="O19" i="1741"/>
  <c r="M19" i="1741"/>
  <c r="P19" i="1741"/>
  <c r="AC19" i="1741" s="1"/>
  <c r="AF18" i="1741"/>
  <c r="AB18" i="1741"/>
  <c r="Q18" i="1741"/>
  <c r="P18" i="1741" s="1"/>
  <c r="AC18" i="1741" s="1"/>
  <c r="M18" i="1741"/>
  <c r="AF17" i="1741"/>
  <c r="AB17" i="1741"/>
  <c r="Q17" i="1741"/>
  <c r="P17" i="1741"/>
  <c r="AC17" i="1741" s="1"/>
  <c r="O17" i="1741"/>
  <c r="M17" i="1741"/>
  <c r="K17" i="1741"/>
  <c r="AF16" i="1741"/>
  <c r="AB16" i="1741"/>
  <c r="Q16" i="1741"/>
  <c r="P16" i="1741"/>
  <c r="AC16" i="1741" s="1"/>
  <c r="O16" i="1741"/>
  <c r="M16" i="1741"/>
  <c r="K16" i="1741"/>
  <c r="AF15" i="1741"/>
  <c r="AB15" i="1741"/>
  <c r="Q15" i="1741"/>
  <c r="P15" i="1741"/>
  <c r="AC15" i="1741" s="1"/>
  <c r="O15" i="1741"/>
  <c r="M15" i="1741"/>
  <c r="K15" i="1741"/>
  <c r="AF14" i="1741"/>
  <c r="AB14" i="1741"/>
  <c r="Q14" i="1741"/>
  <c r="P14" i="1741"/>
  <c r="AC14" i="1741" s="1"/>
  <c r="O14" i="1741"/>
  <c r="M14" i="1741"/>
  <c r="K14" i="1741"/>
  <c r="AF13" i="1741"/>
  <c r="Q13" i="1741"/>
  <c r="P13" i="1741"/>
  <c r="AC13" i="1741" s="1"/>
  <c r="AF12" i="1741"/>
  <c r="AB12" i="1741"/>
  <c r="Q12" i="1741"/>
  <c r="P12" i="1741" s="1"/>
  <c r="AC12" i="1741" s="1"/>
  <c r="M12" i="1741"/>
  <c r="AF11" i="1741"/>
  <c r="Q11" i="1741"/>
  <c r="P11" i="1741" s="1"/>
  <c r="AC11" i="1741" s="1"/>
  <c r="AF10" i="1741"/>
  <c r="AB10" i="1741"/>
  <c r="Q10" i="1741"/>
  <c r="P10" i="1741" s="1"/>
  <c r="AC10" i="1741" s="1"/>
  <c r="O10" i="1741"/>
  <c r="M10" i="1741"/>
  <c r="AF9" i="1741"/>
  <c r="AB9" i="1741"/>
  <c r="Q9" i="1741"/>
  <c r="P9" i="1741"/>
  <c r="AC9" i="1741" s="1"/>
  <c r="O9" i="1741"/>
  <c r="M9" i="1741"/>
  <c r="K9" i="1741"/>
  <c r="AF8" i="1741"/>
  <c r="Q8" i="1741"/>
  <c r="P8" i="1741"/>
  <c r="AC8" i="1741" s="1"/>
  <c r="AF7" i="1741"/>
  <c r="AB7" i="1741"/>
  <c r="Q7" i="1741"/>
  <c r="P7" i="1741"/>
  <c r="AC7" i="1741" s="1"/>
  <c r="AD7" i="1741" s="1"/>
  <c r="O7" i="1741"/>
  <c r="M7" i="1741"/>
  <c r="AF6" i="1741"/>
  <c r="AC6" i="1741"/>
  <c r="AB6" i="1741"/>
  <c r="Q6" i="1741"/>
  <c r="P6" i="1741"/>
  <c r="O6" i="1741"/>
  <c r="M6" i="1741"/>
  <c r="K6" i="1741"/>
  <c r="AE8" i="1742" l="1"/>
  <c r="AE17" i="1742"/>
  <c r="AE14" i="1742"/>
  <c r="AE10" i="1742"/>
  <c r="AE6" i="1742"/>
  <c r="AE18" i="1742"/>
  <c r="AE9" i="1742"/>
  <c r="AE21" i="1742"/>
  <c r="AE7" i="1742"/>
  <c r="AE15" i="1742"/>
  <c r="AE19" i="1742"/>
  <c r="AE16" i="1742"/>
  <c r="AE22" i="1742"/>
  <c r="AD14" i="1741"/>
  <c r="AD20" i="1741"/>
  <c r="Q22" i="1741"/>
  <c r="AD9" i="1741"/>
  <c r="AD17" i="1741"/>
  <c r="AD10" i="1741"/>
  <c r="AD16" i="1741"/>
  <c r="AD15" i="1741"/>
  <c r="AD19" i="1741"/>
  <c r="AC22" i="1741"/>
  <c r="L22" i="1741"/>
  <c r="O22" i="1741" s="1"/>
  <c r="AD6" i="1741"/>
  <c r="U3" i="16" s="1"/>
  <c r="M8" i="1741"/>
  <c r="AB8" i="1741"/>
  <c r="M11" i="1741"/>
  <c r="AB11" i="1741"/>
  <c r="O12" i="1741"/>
  <c r="AD12" i="1741" s="1"/>
  <c r="M13" i="1741"/>
  <c r="AB13" i="1741"/>
  <c r="O18" i="1741"/>
  <c r="AD18" i="1741" s="1"/>
  <c r="O21" i="1741"/>
  <c r="AD21" i="1741" s="1"/>
  <c r="P22" i="1741"/>
  <c r="O8" i="1741"/>
  <c r="O11" i="1741"/>
  <c r="O13" i="1741"/>
  <c r="K22" i="1741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2" i="1740"/>
  <c r="L20" i="1740"/>
  <c r="K20" i="1740" s="1"/>
  <c r="L19" i="1740"/>
  <c r="K19" i="1740" s="1"/>
  <c r="K13" i="1740"/>
  <c r="AF13" i="1740"/>
  <c r="Q13" i="1740"/>
  <c r="O13" i="1740"/>
  <c r="AB13" i="1740"/>
  <c r="L14" i="1740"/>
  <c r="K14" i="1740"/>
  <c r="L12" i="1740"/>
  <c r="K12" i="1740"/>
  <c r="L11" i="1740"/>
  <c r="L10" i="1740"/>
  <c r="K10" i="1740" s="1"/>
  <c r="L8" i="1740"/>
  <c r="L7" i="1740"/>
  <c r="K22" i="1740"/>
  <c r="K21" i="1740"/>
  <c r="K9" i="1740"/>
  <c r="K8" i="1740"/>
  <c r="K7" i="1740"/>
  <c r="K6" i="1740"/>
  <c r="A78" i="1740"/>
  <c r="A79" i="1740" s="1"/>
  <c r="A80" i="1740" s="1"/>
  <c r="A81" i="1740" s="1"/>
  <c r="A82" i="1740" s="1"/>
  <c r="A83" i="1740" s="1"/>
  <c r="AF64" i="1740"/>
  <c r="AF62" i="1740"/>
  <c r="AF61" i="1740"/>
  <c r="AA23" i="1740"/>
  <c r="Z23" i="1740"/>
  <c r="Y23" i="1740"/>
  <c r="X23" i="1740"/>
  <c r="W23" i="1740"/>
  <c r="V23" i="1740"/>
  <c r="U23" i="1740"/>
  <c r="T23" i="1740"/>
  <c r="S23" i="1740"/>
  <c r="R23" i="1740"/>
  <c r="N23" i="1740"/>
  <c r="J23" i="1740"/>
  <c r="I23" i="1740"/>
  <c r="AF22" i="1740"/>
  <c r="Q22" i="1740"/>
  <c r="P22" i="1740" s="1"/>
  <c r="AC22" i="1740" s="1"/>
  <c r="O22" i="1740"/>
  <c r="AB22" i="1740"/>
  <c r="AF21" i="1740"/>
  <c r="AB21" i="1740"/>
  <c r="Q21" i="1740"/>
  <c r="P21" i="1740"/>
  <c r="AC21" i="1740" s="1"/>
  <c r="O21" i="1740"/>
  <c r="M21" i="1740"/>
  <c r="AF20" i="1740"/>
  <c r="Q20" i="1740"/>
  <c r="M20" i="1740"/>
  <c r="AF19" i="1740"/>
  <c r="Q19" i="1740"/>
  <c r="P19" i="1740" s="1"/>
  <c r="AC19" i="1740" s="1"/>
  <c r="O19" i="1740"/>
  <c r="AB19" i="1740"/>
  <c r="AF18" i="1740"/>
  <c r="AB18" i="1740"/>
  <c r="Q18" i="1740"/>
  <c r="P18" i="1740"/>
  <c r="AC18" i="1740" s="1"/>
  <c r="O18" i="1740"/>
  <c r="M18" i="1740"/>
  <c r="K18" i="1740"/>
  <c r="AF17" i="1740"/>
  <c r="AB17" i="1740"/>
  <c r="Q17" i="1740"/>
  <c r="P17" i="1740"/>
  <c r="AC17" i="1740" s="1"/>
  <c r="O17" i="1740"/>
  <c r="M17" i="1740"/>
  <c r="K17" i="1740"/>
  <c r="AF16" i="1740"/>
  <c r="AC16" i="1740"/>
  <c r="AB16" i="1740"/>
  <c r="Q16" i="1740"/>
  <c r="P16" i="1740"/>
  <c r="O16" i="1740"/>
  <c r="M16" i="1740"/>
  <c r="K16" i="1740"/>
  <c r="AF15" i="1740"/>
  <c r="AB15" i="1740"/>
  <c r="Q15" i="1740"/>
  <c r="P15" i="1740"/>
  <c r="AC15" i="1740" s="1"/>
  <c r="O15" i="1740"/>
  <c r="M15" i="1740"/>
  <c r="K15" i="1740"/>
  <c r="AF14" i="1740"/>
  <c r="AB14" i="1740"/>
  <c r="Q14" i="1740"/>
  <c r="P14" i="1740" s="1"/>
  <c r="AC14" i="1740" s="1"/>
  <c r="O14" i="1740"/>
  <c r="M14" i="1740"/>
  <c r="AF12" i="1740"/>
  <c r="AB12" i="1740"/>
  <c r="Q12" i="1740"/>
  <c r="P12" i="1740" s="1"/>
  <c r="AC12" i="1740" s="1"/>
  <c r="O12" i="1740"/>
  <c r="M12" i="1740"/>
  <c r="AF11" i="1740"/>
  <c r="Q11" i="1740"/>
  <c r="P11" i="1740"/>
  <c r="AC11" i="1740" s="1"/>
  <c r="O11" i="1740"/>
  <c r="AB11" i="1740"/>
  <c r="K11" i="1740"/>
  <c r="AF10" i="1740"/>
  <c r="AB10" i="1740"/>
  <c r="Q10" i="1740"/>
  <c r="P10" i="1740"/>
  <c r="AC10" i="1740" s="1"/>
  <c r="O10" i="1740"/>
  <c r="M10" i="1740"/>
  <c r="AF9" i="1740"/>
  <c r="AB9" i="1740"/>
  <c r="Q9" i="1740"/>
  <c r="P9" i="1740" s="1"/>
  <c r="AC9" i="1740" s="1"/>
  <c r="O9" i="1740"/>
  <c r="M9" i="1740"/>
  <c r="AF8" i="1740"/>
  <c r="Q8" i="1740"/>
  <c r="P8" i="1740" s="1"/>
  <c r="AC8" i="1740" s="1"/>
  <c r="O8" i="1740"/>
  <c r="AB8" i="1740"/>
  <c r="AF7" i="1740"/>
  <c r="AB7" i="1740"/>
  <c r="Q7" i="1740"/>
  <c r="P7" i="1740" s="1"/>
  <c r="AC7" i="1740" s="1"/>
  <c r="O7" i="1740"/>
  <c r="M7" i="1740"/>
  <c r="AF6" i="1740"/>
  <c r="AB6" i="1740"/>
  <c r="Q6" i="1740"/>
  <c r="M6" i="1740"/>
  <c r="O6" i="1740"/>
  <c r="AD11" i="1741" l="1"/>
  <c r="AB22" i="1741"/>
  <c r="M22" i="1741"/>
  <c r="AD13" i="1741"/>
  <c r="AD8" i="1741"/>
  <c r="O20" i="1740"/>
  <c r="P20" i="1740"/>
  <c r="AC20" i="1740" s="1"/>
  <c r="AB20" i="1740"/>
  <c r="AB23" i="1740" s="1"/>
  <c r="P13" i="1740"/>
  <c r="AC13" i="1740" s="1"/>
  <c r="AD13" i="1740" s="1"/>
  <c r="M13" i="1740"/>
  <c r="AD14" i="1740"/>
  <c r="AD10" i="1740"/>
  <c r="Q23" i="1740"/>
  <c r="AD18" i="1740"/>
  <c r="AD7" i="1740"/>
  <c r="AD8" i="1740"/>
  <c r="AD12" i="1740"/>
  <c r="AD16" i="1740"/>
  <c r="AD21" i="1740"/>
  <c r="AD22" i="1740"/>
  <c r="AD9" i="1740"/>
  <c r="AD17" i="1740"/>
  <c r="AD15" i="1740"/>
  <c r="AD11" i="1740"/>
  <c r="AD19" i="1740"/>
  <c r="K23" i="1740"/>
  <c r="P6" i="1740"/>
  <c r="M8" i="1740"/>
  <c r="M11" i="1740"/>
  <c r="M19" i="1740"/>
  <c r="M22" i="1740"/>
  <c r="L23" i="1740"/>
  <c r="O23" i="1740" s="1"/>
  <c r="AD22" i="1741" l="1"/>
  <c r="AE21" i="1741" s="1"/>
  <c r="AD20" i="1740"/>
  <c r="M23" i="1740"/>
  <c r="AC6" i="1740"/>
  <c r="P23" i="1740"/>
  <c r="AE7" i="1741" l="1"/>
  <c r="AE6" i="1741"/>
  <c r="AE19" i="1741"/>
  <c r="AE17" i="1741"/>
  <c r="AE9" i="1741"/>
  <c r="AE8" i="1741"/>
  <c r="AE15" i="1741"/>
  <c r="AE20" i="1741"/>
  <c r="AE16" i="1741"/>
  <c r="AE18" i="1741"/>
  <c r="AC23" i="1740"/>
  <c r="AD6" i="1740"/>
  <c r="AD23" i="1740" s="1"/>
  <c r="AE22" i="1740" l="1"/>
  <c r="AE19" i="1740"/>
  <c r="AE8" i="1740"/>
  <c r="AE17" i="1740"/>
  <c r="AE15" i="1740"/>
  <c r="AE20" i="1740"/>
  <c r="AE9" i="1740"/>
  <c r="AE6" i="1740"/>
  <c r="AE21" i="1740"/>
  <c r="AE18" i="1740"/>
  <c r="AE16" i="1740"/>
  <c r="AE14" i="1740"/>
  <c r="AE7" i="1740"/>
  <c r="S19" i="16" l="1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1" i="1739"/>
  <c r="L20" i="1739"/>
  <c r="K20" i="1739"/>
  <c r="K19" i="1739"/>
  <c r="L18" i="1739"/>
  <c r="L13" i="1739"/>
  <c r="K13" i="1739" s="1"/>
  <c r="K12" i="1739"/>
  <c r="L11" i="1739"/>
  <c r="K11" i="1739"/>
  <c r="L10" i="1739"/>
  <c r="K9" i="1739"/>
  <c r="L8" i="1739"/>
  <c r="M8" i="1739" s="1"/>
  <c r="L7" i="1739"/>
  <c r="K7" i="1739"/>
  <c r="L6" i="1739"/>
  <c r="K6" i="1739"/>
  <c r="K18" i="1739"/>
  <c r="K15" i="1739"/>
  <c r="K10" i="1739"/>
  <c r="A77" i="1739"/>
  <c r="A78" i="1739" s="1"/>
  <c r="A79" i="1739" s="1"/>
  <c r="A80" i="1739" s="1"/>
  <c r="A81" i="1739" s="1"/>
  <c r="A82" i="1739" s="1"/>
  <c r="AF61" i="1739"/>
  <c r="AF60" i="1739"/>
  <c r="AF63" i="1739" s="1"/>
  <c r="AA22" i="1739"/>
  <c r="Z22" i="1739"/>
  <c r="Y22" i="1739"/>
  <c r="X22" i="1739"/>
  <c r="W22" i="1739"/>
  <c r="V22" i="1739"/>
  <c r="U22" i="1739"/>
  <c r="T22" i="1739"/>
  <c r="S22" i="1739"/>
  <c r="R22" i="1739"/>
  <c r="N22" i="1739"/>
  <c r="J22" i="1739"/>
  <c r="I22" i="1739"/>
  <c r="AF21" i="1739"/>
  <c r="AB21" i="1739"/>
  <c r="Q21" i="1739"/>
  <c r="P21" i="1739" s="1"/>
  <c r="AC21" i="1739" s="1"/>
  <c r="O21" i="1739"/>
  <c r="M21" i="1739"/>
  <c r="K21" i="1739"/>
  <c r="AF20" i="1739"/>
  <c r="AB20" i="1739"/>
  <c r="Q20" i="1739"/>
  <c r="P20" i="1739" s="1"/>
  <c r="AC20" i="1739" s="1"/>
  <c r="O20" i="1739"/>
  <c r="M20" i="1739"/>
  <c r="AF19" i="1739"/>
  <c r="Q19" i="1739"/>
  <c r="AB19" i="1739"/>
  <c r="AF18" i="1739"/>
  <c r="Q18" i="1739"/>
  <c r="P18" i="1739"/>
  <c r="AC18" i="1739" s="1"/>
  <c r="O18" i="1739"/>
  <c r="AF17" i="1739"/>
  <c r="AB17" i="1739"/>
  <c r="Q17" i="1739"/>
  <c r="P17" i="1739"/>
  <c r="AC17" i="1739" s="1"/>
  <c r="O17" i="1739"/>
  <c r="M17" i="1739"/>
  <c r="K17" i="1739"/>
  <c r="AF16" i="1739"/>
  <c r="AB16" i="1739"/>
  <c r="Q16" i="1739"/>
  <c r="P16" i="1739"/>
  <c r="AC16" i="1739" s="1"/>
  <c r="O16" i="1739"/>
  <c r="M16" i="1739"/>
  <c r="K16" i="1739"/>
  <c r="AF15" i="1739"/>
  <c r="AB15" i="1739"/>
  <c r="Q15" i="1739"/>
  <c r="P15" i="1739"/>
  <c r="AC15" i="1739" s="1"/>
  <c r="O15" i="1739"/>
  <c r="M15" i="1739"/>
  <c r="AF14" i="1739"/>
  <c r="AC14" i="1739"/>
  <c r="AB14" i="1739"/>
  <c r="Q14" i="1739"/>
  <c r="P14" i="1739"/>
  <c r="O14" i="1739"/>
  <c r="M14" i="1739"/>
  <c r="K14" i="1739"/>
  <c r="AF13" i="1739"/>
  <c r="Q13" i="1739"/>
  <c r="P13" i="1739"/>
  <c r="AC13" i="1739" s="1"/>
  <c r="O13" i="1739"/>
  <c r="AF12" i="1739"/>
  <c r="AB12" i="1739"/>
  <c r="Q12" i="1739"/>
  <c r="P12" i="1739" s="1"/>
  <c r="AC12" i="1739" s="1"/>
  <c r="O12" i="1739"/>
  <c r="M12" i="1739"/>
  <c r="AF11" i="1739"/>
  <c r="AB11" i="1739"/>
  <c r="Q11" i="1739"/>
  <c r="O11" i="1739"/>
  <c r="M11" i="1739"/>
  <c r="P11" i="1739"/>
  <c r="AC11" i="1739" s="1"/>
  <c r="AD11" i="1739" s="1"/>
  <c r="AF10" i="1739"/>
  <c r="Q10" i="1739"/>
  <c r="P10" i="1739"/>
  <c r="AC10" i="1739" s="1"/>
  <c r="AF9" i="1739"/>
  <c r="AB9" i="1739"/>
  <c r="Q9" i="1739"/>
  <c r="P9" i="1739" s="1"/>
  <c r="AC9" i="1739" s="1"/>
  <c r="O9" i="1739"/>
  <c r="M9" i="1739"/>
  <c r="AF8" i="1739"/>
  <c r="Q8" i="1739"/>
  <c r="O8" i="1739"/>
  <c r="AF7" i="1739"/>
  <c r="AB7" i="1739"/>
  <c r="Q7" i="1739"/>
  <c r="P7" i="1739" s="1"/>
  <c r="AC7" i="1739" s="1"/>
  <c r="O7" i="1739"/>
  <c r="M7" i="1739"/>
  <c r="AF6" i="1739"/>
  <c r="AB6" i="1739"/>
  <c r="Q6" i="1739"/>
  <c r="O6" i="1739"/>
  <c r="M6" i="1739"/>
  <c r="AD12" i="1739" l="1"/>
  <c r="AD15" i="1739"/>
  <c r="AD17" i="1739"/>
  <c r="AD21" i="1739"/>
  <c r="AD9" i="1739"/>
  <c r="Q22" i="1739"/>
  <c r="AB8" i="1739"/>
  <c r="K8" i="1739"/>
  <c r="K22" i="1739" s="1"/>
  <c r="L22" i="1739"/>
  <c r="O22" i="1739" s="1"/>
  <c r="AD7" i="1739"/>
  <c r="P6" i="1739"/>
  <c r="AC6" i="1739" s="1"/>
  <c r="AD14" i="1739"/>
  <c r="AD16" i="1739"/>
  <c r="AD20" i="1739"/>
  <c r="AD6" i="1739"/>
  <c r="AB10" i="1739"/>
  <c r="P8" i="1739"/>
  <c r="AC8" i="1739" s="1"/>
  <c r="AD8" i="1739" s="1"/>
  <c r="O10" i="1739"/>
  <c r="M13" i="1739"/>
  <c r="AB13" i="1739"/>
  <c r="AD13" i="1739" s="1"/>
  <c r="M18" i="1739"/>
  <c r="AB18" i="1739"/>
  <c r="AD18" i="1739" s="1"/>
  <c r="O19" i="1739"/>
  <c r="M10" i="1739"/>
  <c r="P19" i="1739"/>
  <c r="AC19" i="1739" s="1"/>
  <c r="M19" i="1739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L21" i="1738"/>
  <c r="K21" i="1738"/>
  <c r="L20" i="1738"/>
  <c r="K20" i="1738" s="1"/>
  <c r="L19" i="1738"/>
  <c r="P19" i="1738" s="1"/>
  <c r="AC19" i="1738" s="1"/>
  <c r="L16" i="1738"/>
  <c r="O16" i="1738" s="1"/>
  <c r="K16" i="1738"/>
  <c r="L14" i="1738"/>
  <c r="K14" i="1738"/>
  <c r="L13" i="1738"/>
  <c r="O13" i="1738" s="1"/>
  <c r="L12" i="1738"/>
  <c r="O12" i="1738" s="1"/>
  <c r="L11" i="1738"/>
  <c r="O11" i="1738" s="1"/>
  <c r="L9" i="1738"/>
  <c r="AB9" i="1738" s="1"/>
  <c r="L10" i="1738"/>
  <c r="O10" i="1738" s="1"/>
  <c r="L8" i="1738"/>
  <c r="M8" i="1738" s="1"/>
  <c r="K8" i="1738"/>
  <c r="K22" i="1738"/>
  <c r="K11" i="1738"/>
  <c r="K6" i="1738"/>
  <c r="A78" i="1738"/>
  <c r="A79" i="1738" s="1"/>
  <c r="A80" i="1738" s="1"/>
  <c r="A81" i="1738" s="1"/>
  <c r="A82" i="1738" s="1"/>
  <c r="A83" i="1738" s="1"/>
  <c r="AF62" i="1738"/>
  <c r="AF61" i="1738"/>
  <c r="AA23" i="1738"/>
  <c r="Z23" i="1738"/>
  <c r="Y23" i="1738"/>
  <c r="X23" i="1738"/>
  <c r="W23" i="1738"/>
  <c r="V23" i="1738"/>
  <c r="U23" i="1738"/>
  <c r="T23" i="1738"/>
  <c r="S23" i="1738"/>
  <c r="R23" i="1738"/>
  <c r="N23" i="1738"/>
  <c r="J23" i="1738"/>
  <c r="I23" i="1738"/>
  <c r="AF22" i="1738"/>
  <c r="AB22" i="1738"/>
  <c r="Q22" i="1738"/>
  <c r="P22" i="1738"/>
  <c r="AC22" i="1738" s="1"/>
  <c r="M22" i="1738"/>
  <c r="O22" i="1738"/>
  <c r="AF21" i="1738"/>
  <c r="AB21" i="1738"/>
  <c r="Q21" i="1738"/>
  <c r="O21" i="1738"/>
  <c r="M21" i="1738"/>
  <c r="AF20" i="1738"/>
  <c r="Q20" i="1738"/>
  <c r="AB20" i="1738"/>
  <c r="AF19" i="1738"/>
  <c r="Q19" i="1738"/>
  <c r="AF18" i="1738"/>
  <c r="AB18" i="1738"/>
  <c r="Q18" i="1738"/>
  <c r="P18" i="1738"/>
  <c r="AC18" i="1738" s="1"/>
  <c r="O18" i="1738"/>
  <c r="M18" i="1738"/>
  <c r="K18" i="1738"/>
  <c r="AF17" i="1738"/>
  <c r="AB17" i="1738"/>
  <c r="Q17" i="1738"/>
  <c r="P17" i="1738"/>
  <c r="AC17" i="1738" s="1"/>
  <c r="O17" i="1738"/>
  <c r="M17" i="1738"/>
  <c r="K17" i="1738"/>
  <c r="AF16" i="1738"/>
  <c r="AB16" i="1738"/>
  <c r="Q16" i="1738"/>
  <c r="P16" i="1738" s="1"/>
  <c r="AC16" i="1738" s="1"/>
  <c r="AF15" i="1738"/>
  <c r="AB15" i="1738"/>
  <c r="Q15" i="1738"/>
  <c r="P15" i="1738"/>
  <c r="AC15" i="1738" s="1"/>
  <c r="O15" i="1738"/>
  <c r="M15" i="1738"/>
  <c r="K15" i="1738"/>
  <c r="AF14" i="1738"/>
  <c r="Q14" i="1738"/>
  <c r="AF13" i="1738"/>
  <c r="Q13" i="1738"/>
  <c r="P13" i="1738" s="1"/>
  <c r="AC13" i="1738" s="1"/>
  <c r="AF12" i="1738"/>
  <c r="Q12" i="1738"/>
  <c r="AF11" i="1738"/>
  <c r="Q11" i="1738"/>
  <c r="M11" i="1738"/>
  <c r="AF10" i="1738"/>
  <c r="AB10" i="1738"/>
  <c r="Q10" i="1738"/>
  <c r="AF9" i="1738"/>
  <c r="Q9" i="1738"/>
  <c r="AF8" i="1738"/>
  <c r="AB8" i="1738"/>
  <c r="Q8" i="1738"/>
  <c r="O8" i="1738"/>
  <c r="AF7" i="1738"/>
  <c r="AB7" i="1738"/>
  <c r="Q7" i="1738"/>
  <c r="P7" i="1738"/>
  <c r="AC7" i="1738" s="1"/>
  <c r="O7" i="1738"/>
  <c r="M7" i="1738"/>
  <c r="K7" i="1738"/>
  <c r="AF6" i="1738"/>
  <c r="Q6" i="1738"/>
  <c r="O6" i="1738"/>
  <c r="AB6" i="1738"/>
  <c r="AC22" i="1739" l="1"/>
  <c r="AD19" i="1739"/>
  <c r="AB22" i="1739"/>
  <c r="AD10" i="1739"/>
  <c r="AD22" i="1739" s="1"/>
  <c r="M22" i="1739"/>
  <c r="P22" i="1739"/>
  <c r="AB11" i="1738"/>
  <c r="K19" i="1738"/>
  <c r="O20" i="1738"/>
  <c r="P14" i="1738"/>
  <c r="AC14" i="1738" s="1"/>
  <c r="K9" i="1738"/>
  <c r="P21" i="1738"/>
  <c r="AC21" i="1738" s="1"/>
  <c r="AD21" i="1738" s="1"/>
  <c r="M10" i="1738"/>
  <c r="AD17" i="1738"/>
  <c r="K12" i="1738"/>
  <c r="O9" i="1738"/>
  <c r="P10" i="1738"/>
  <c r="AC10" i="1738" s="1"/>
  <c r="M16" i="1738"/>
  <c r="AF64" i="1738"/>
  <c r="K10" i="1738"/>
  <c r="K13" i="1738"/>
  <c r="M13" i="1738"/>
  <c r="AB13" i="1738"/>
  <c r="AD13" i="1738" s="1"/>
  <c r="AB12" i="1738"/>
  <c r="P11" i="1738"/>
  <c r="AC11" i="1738" s="1"/>
  <c r="AD11" i="1738" s="1"/>
  <c r="Q23" i="1738"/>
  <c r="P8" i="1738"/>
  <c r="AC8" i="1738" s="1"/>
  <c r="AD7" i="1738"/>
  <c r="Q4" i="16" s="1"/>
  <c r="AD16" i="1738"/>
  <c r="AD22" i="1738"/>
  <c r="AD15" i="1738"/>
  <c r="AD10" i="1738"/>
  <c r="AD18" i="1738"/>
  <c r="AD8" i="1738"/>
  <c r="Q5" i="16" s="1"/>
  <c r="L23" i="1738"/>
  <c r="O23" i="1738" s="1"/>
  <c r="P6" i="1738"/>
  <c r="P9" i="1738"/>
  <c r="AC9" i="1738" s="1"/>
  <c r="P12" i="1738"/>
  <c r="AC12" i="1738" s="1"/>
  <c r="M14" i="1738"/>
  <c r="AB14" i="1738"/>
  <c r="M19" i="1738"/>
  <c r="AB19" i="1738"/>
  <c r="P20" i="1738"/>
  <c r="AC20" i="1738" s="1"/>
  <c r="AD20" i="1738" s="1"/>
  <c r="O14" i="1738"/>
  <c r="O19" i="1738"/>
  <c r="M6" i="1738"/>
  <c r="M9" i="1738"/>
  <c r="M12" i="1738"/>
  <c r="M20" i="1738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4" i="1737"/>
  <c r="L22" i="1737"/>
  <c r="K22" i="1737"/>
  <c r="L21" i="1737"/>
  <c r="K21" i="1737"/>
  <c r="L20" i="1737"/>
  <c r="K20" i="1737" s="1"/>
  <c r="L17" i="1737"/>
  <c r="K17" i="1737"/>
  <c r="L15" i="1737"/>
  <c r="K15" i="1737" s="1"/>
  <c r="L14" i="1737"/>
  <c r="L13" i="1737"/>
  <c r="L12" i="1737"/>
  <c r="K12" i="1737" s="1"/>
  <c r="AF12" i="1737"/>
  <c r="Q12" i="1737"/>
  <c r="P12" i="1737" s="1"/>
  <c r="AC12" i="1737" s="1"/>
  <c r="AB12" i="1737"/>
  <c r="L11" i="1737"/>
  <c r="O11" i="1737" s="1"/>
  <c r="L10" i="1737"/>
  <c r="K10" i="1737" s="1"/>
  <c r="L9" i="1737"/>
  <c r="K9" i="1737"/>
  <c r="L8" i="1737"/>
  <c r="K8" i="1737" s="1"/>
  <c r="L6" i="1737"/>
  <c r="K6" i="1737"/>
  <c r="K24" i="1737"/>
  <c r="K23" i="1737"/>
  <c r="K14" i="1737"/>
  <c r="K13" i="1737"/>
  <c r="A80" i="1737"/>
  <c r="A81" i="1737" s="1"/>
  <c r="A82" i="1737" s="1"/>
  <c r="A83" i="1737" s="1"/>
  <c r="A84" i="1737" s="1"/>
  <c r="A85" i="1737" s="1"/>
  <c r="AF64" i="1737"/>
  <c r="AF63" i="1737"/>
  <c r="AA25" i="1737"/>
  <c r="Z25" i="1737"/>
  <c r="Y25" i="1737"/>
  <c r="X25" i="1737"/>
  <c r="W25" i="1737"/>
  <c r="V25" i="1737"/>
  <c r="U25" i="1737"/>
  <c r="T25" i="1737"/>
  <c r="S25" i="1737"/>
  <c r="R25" i="1737"/>
  <c r="N25" i="1737"/>
  <c r="J25" i="1737"/>
  <c r="I25" i="1737"/>
  <c r="AF24" i="1737"/>
  <c r="Q24" i="1737"/>
  <c r="P24" i="1737"/>
  <c r="AC24" i="1737" s="1"/>
  <c r="O24" i="1737"/>
  <c r="AF23" i="1737"/>
  <c r="AB23" i="1737"/>
  <c r="Q23" i="1737"/>
  <c r="P23" i="1737"/>
  <c r="AC23" i="1737" s="1"/>
  <c r="O23" i="1737"/>
  <c r="M23" i="1737"/>
  <c r="AF22" i="1737"/>
  <c r="AB22" i="1737"/>
  <c r="Q22" i="1737"/>
  <c r="P22" i="1737" s="1"/>
  <c r="AC22" i="1737" s="1"/>
  <c r="O22" i="1737"/>
  <c r="M22" i="1737"/>
  <c r="AF21" i="1737"/>
  <c r="AB21" i="1737"/>
  <c r="Q21" i="1737"/>
  <c r="M21" i="1737"/>
  <c r="AF20" i="1737"/>
  <c r="AB20" i="1737"/>
  <c r="Q20" i="1737"/>
  <c r="P20" i="1737" s="1"/>
  <c r="AC20" i="1737" s="1"/>
  <c r="O20" i="1737"/>
  <c r="M20" i="1737"/>
  <c r="AF19" i="1737"/>
  <c r="AB19" i="1737"/>
  <c r="Q19" i="1737"/>
  <c r="P19" i="1737"/>
  <c r="AC19" i="1737" s="1"/>
  <c r="O19" i="1737"/>
  <c r="M19" i="1737"/>
  <c r="K19" i="1737"/>
  <c r="AF18" i="1737"/>
  <c r="AB18" i="1737"/>
  <c r="Q18" i="1737"/>
  <c r="P18" i="1737"/>
  <c r="AC18" i="1737" s="1"/>
  <c r="O18" i="1737"/>
  <c r="M18" i="1737"/>
  <c r="K18" i="1737"/>
  <c r="AF17" i="1737"/>
  <c r="AB17" i="1737"/>
  <c r="Q17" i="1737"/>
  <c r="P17" i="1737" s="1"/>
  <c r="AC17" i="1737" s="1"/>
  <c r="O17" i="1737"/>
  <c r="M17" i="1737"/>
  <c r="AF16" i="1737"/>
  <c r="AB16" i="1737"/>
  <c r="Q16" i="1737"/>
  <c r="P16" i="1737"/>
  <c r="AC16" i="1737" s="1"/>
  <c r="O16" i="1737"/>
  <c r="M16" i="1737"/>
  <c r="K16" i="1737"/>
  <c r="AF15" i="1737"/>
  <c r="Q15" i="1737"/>
  <c r="O15" i="1737"/>
  <c r="AF14" i="1737"/>
  <c r="Q14" i="1737"/>
  <c r="P14" i="1737" s="1"/>
  <c r="AC14" i="1737" s="1"/>
  <c r="AF13" i="1737"/>
  <c r="Q13" i="1737"/>
  <c r="O13" i="1737"/>
  <c r="AF11" i="1737"/>
  <c r="Q11" i="1737"/>
  <c r="P11" i="1737" s="1"/>
  <c r="AC11" i="1737" s="1"/>
  <c r="AF10" i="1737"/>
  <c r="AB10" i="1737"/>
  <c r="Q10" i="1737"/>
  <c r="P10" i="1737" s="1"/>
  <c r="AC10" i="1737" s="1"/>
  <c r="O10" i="1737"/>
  <c r="M10" i="1737"/>
  <c r="AF9" i="1737"/>
  <c r="AB9" i="1737"/>
  <c r="Q9" i="1737"/>
  <c r="P9" i="1737" s="1"/>
  <c r="AC9" i="1737" s="1"/>
  <c r="O9" i="1737"/>
  <c r="M9" i="1737"/>
  <c r="AF8" i="1737"/>
  <c r="Q8" i="1737"/>
  <c r="P8" i="1737" s="1"/>
  <c r="AC8" i="1737" s="1"/>
  <c r="O8" i="1737"/>
  <c r="AF7" i="1737"/>
  <c r="AB7" i="1737"/>
  <c r="Q7" i="1737"/>
  <c r="P7" i="1737"/>
  <c r="AC7" i="1737" s="1"/>
  <c r="O7" i="1737"/>
  <c r="M7" i="1737"/>
  <c r="K7" i="1737"/>
  <c r="AF6" i="1737"/>
  <c r="AB6" i="1737"/>
  <c r="Q6" i="1737"/>
  <c r="O6" i="1737"/>
  <c r="M6" i="1737"/>
  <c r="AE21" i="1739" l="1"/>
  <c r="AE18" i="1739"/>
  <c r="AE19" i="1739"/>
  <c r="AE16" i="1739"/>
  <c r="AE20" i="1739"/>
  <c r="AE14" i="1739"/>
  <c r="AE8" i="1739"/>
  <c r="AE7" i="1739"/>
  <c r="AE17" i="1739"/>
  <c r="AE15" i="1739"/>
  <c r="AE9" i="1739"/>
  <c r="AE6" i="1739"/>
  <c r="AD9" i="1738"/>
  <c r="Q6" i="16" s="1"/>
  <c r="M23" i="1738"/>
  <c r="AD12" i="1738"/>
  <c r="AD19" i="1738"/>
  <c r="AB23" i="1738"/>
  <c r="AC6" i="1738"/>
  <c r="P23" i="1738"/>
  <c r="AD14" i="1738"/>
  <c r="K23" i="1738"/>
  <c r="P21" i="1737"/>
  <c r="AC21" i="1737" s="1"/>
  <c r="AD21" i="1737" s="1"/>
  <c r="O21" i="1737"/>
  <c r="M11" i="1737"/>
  <c r="AB15" i="1737"/>
  <c r="O12" i="1737"/>
  <c r="AD12" i="1737" s="1"/>
  <c r="AD7" i="1737"/>
  <c r="AB11" i="1737"/>
  <c r="P15" i="1737"/>
  <c r="AC15" i="1737" s="1"/>
  <c r="AF66" i="1737"/>
  <c r="K11" i="1737"/>
  <c r="K25" i="1737" s="1"/>
  <c r="AD17" i="1737"/>
  <c r="AD20" i="1737"/>
  <c r="AD23" i="1737"/>
  <c r="M12" i="1737"/>
  <c r="Q25" i="1737"/>
  <c r="P6" i="1737"/>
  <c r="AC6" i="1737" s="1"/>
  <c r="AD6" i="1737" s="1"/>
  <c r="AD16" i="1737"/>
  <c r="AD22" i="1737"/>
  <c r="AD9" i="1737"/>
  <c r="AD19" i="1737"/>
  <c r="AD11" i="1737"/>
  <c r="AD10" i="1737"/>
  <c r="AD15" i="1737"/>
  <c r="AD18" i="1737"/>
  <c r="P13" i="1737"/>
  <c r="AC13" i="1737" s="1"/>
  <c r="AC25" i="1737" s="1"/>
  <c r="M15" i="1737"/>
  <c r="M24" i="1737"/>
  <c r="AB24" i="1737"/>
  <c r="AD24" i="1737" s="1"/>
  <c r="L25" i="1737"/>
  <c r="O25" i="1737" s="1"/>
  <c r="M8" i="1737"/>
  <c r="AB8" i="1737"/>
  <c r="AD8" i="1737" s="1"/>
  <c r="M14" i="1737"/>
  <c r="AB14" i="1737"/>
  <c r="M13" i="1737"/>
  <c r="AB13" i="1737"/>
  <c r="O14" i="1737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5" i="1736"/>
  <c r="K25" i="1736" s="1"/>
  <c r="K22" i="1736"/>
  <c r="L20" i="1736"/>
  <c r="AF21" i="1736"/>
  <c r="AB21" i="1736"/>
  <c r="Q21" i="1736"/>
  <c r="P21" i="1736" s="1"/>
  <c r="AC21" i="1736" s="1"/>
  <c r="O21" i="1736"/>
  <c r="M21" i="1736"/>
  <c r="K21" i="1736"/>
  <c r="AF20" i="1736"/>
  <c r="AB20" i="1736"/>
  <c r="Q20" i="1736"/>
  <c r="P20" i="1736" s="1"/>
  <c r="AC20" i="1736" s="1"/>
  <c r="O20" i="1736"/>
  <c r="M20" i="1736"/>
  <c r="K20" i="1736"/>
  <c r="K19" i="1736"/>
  <c r="L14" i="1736"/>
  <c r="L13" i="1736"/>
  <c r="K13" i="1736" s="1"/>
  <c r="L12" i="1736"/>
  <c r="K10" i="1736"/>
  <c r="AF10" i="1736"/>
  <c r="AB10" i="1736"/>
  <c r="Q10" i="1736"/>
  <c r="P10" i="1736" s="1"/>
  <c r="AC10" i="1736" s="1"/>
  <c r="O10" i="1736"/>
  <c r="M10" i="1736"/>
  <c r="L8" i="1736"/>
  <c r="K8" i="1736" s="1"/>
  <c r="K24" i="1736"/>
  <c r="K23" i="1736"/>
  <c r="K14" i="1736"/>
  <c r="K12" i="1736"/>
  <c r="K11" i="1736"/>
  <c r="K9" i="1736"/>
  <c r="K6" i="1736"/>
  <c r="A81" i="1736"/>
  <c r="A82" i="1736" s="1"/>
  <c r="A83" i="1736" s="1"/>
  <c r="A84" i="1736" s="1"/>
  <c r="A85" i="1736" s="1"/>
  <c r="A86" i="1736" s="1"/>
  <c r="AF67" i="1736"/>
  <c r="AF65" i="1736"/>
  <c r="AF64" i="1736"/>
  <c r="AA26" i="1736"/>
  <c r="Z26" i="1736"/>
  <c r="Y26" i="1736"/>
  <c r="X26" i="1736"/>
  <c r="W26" i="1736"/>
  <c r="V26" i="1736"/>
  <c r="U26" i="1736"/>
  <c r="T26" i="1736"/>
  <c r="S26" i="1736"/>
  <c r="R26" i="1736"/>
  <c r="N26" i="1736"/>
  <c r="J26" i="1736"/>
  <c r="I26" i="1736"/>
  <c r="AF25" i="1736"/>
  <c r="Q25" i="1736"/>
  <c r="AF24" i="1736"/>
  <c r="Q24" i="1736"/>
  <c r="P24" i="1736"/>
  <c r="AC24" i="1736" s="1"/>
  <c r="AF23" i="1736"/>
  <c r="AB23" i="1736"/>
  <c r="Q23" i="1736"/>
  <c r="P23" i="1736" s="1"/>
  <c r="AC23" i="1736" s="1"/>
  <c r="O23" i="1736"/>
  <c r="M23" i="1736"/>
  <c r="AF22" i="1736"/>
  <c r="AB22" i="1736"/>
  <c r="Q22" i="1736"/>
  <c r="P22" i="1736" s="1"/>
  <c r="AC22" i="1736" s="1"/>
  <c r="O22" i="1736"/>
  <c r="M22" i="1736"/>
  <c r="AF19" i="1736"/>
  <c r="AB19" i="1736"/>
  <c r="Q19" i="1736"/>
  <c r="P19" i="1736" s="1"/>
  <c r="AC19" i="1736" s="1"/>
  <c r="O19" i="1736"/>
  <c r="M19" i="1736"/>
  <c r="AF18" i="1736"/>
  <c r="AB18" i="1736"/>
  <c r="Q18" i="1736"/>
  <c r="P18" i="1736"/>
  <c r="AC18" i="1736" s="1"/>
  <c r="O18" i="1736"/>
  <c r="M18" i="1736"/>
  <c r="K18" i="1736"/>
  <c r="AF17" i="1736"/>
  <c r="AB17" i="1736"/>
  <c r="Q17" i="1736"/>
  <c r="P17" i="1736"/>
  <c r="AC17" i="1736" s="1"/>
  <c r="O17" i="1736"/>
  <c r="M17" i="1736"/>
  <c r="K17" i="1736"/>
  <c r="AF16" i="1736"/>
  <c r="AB16" i="1736"/>
  <c r="Q16" i="1736"/>
  <c r="P16" i="1736"/>
  <c r="AC16" i="1736" s="1"/>
  <c r="O16" i="1736"/>
  <c r="M16" i="1736"/>
  <c r="K16" i="1736"/>
  <c r="AF15" i="1736"/>
  <c r="AB15" i="1736"/>
  <c r="Q15" i="1736"/>
  <c r="P15" i="1736"/>
  <c r="AC15" i="1736" s="1"/>
  <c r="O15" i="1736"/>
  <c r="M15" i="1736"/>
  <c r="K15" i="1736"/>
  <c r="AF14" i="1736"/>
  <c r="Q14" i="1736"/>
  <c r="P14" i="1736" s="1"/>
  <c r="AC14" i="1736" s="1"/>
  <c r="O14" i="1736"/>
  <c r="AB14" i="1736"/>
  <c r="AF13" i="1736"/>
  <c r="AB13" i="1736"/>
  <c r="Q13" i="1736"/>
  <c r="O13" i="1736"/>
  <c r="M13" i="1736"/>
  <c r="P13" i="1736"/>
  <c r="AC13" i="1736" s="1"/>
  <c r="AF12" i="1736"/>
  <c r="Q12" i="1736"/>
  <c r="M12" i="1736"/>
  <c r="O12" i="1736"/>
  <c r="AF11" i="1736"/>
  <c r="Q11" i="1736"/>
  <c r="AB11" i="1736"/>
  <c r="AF9" i="1736"/>
  <c r="Q9" i="1736"/>
  <c r="P9" i="1736" s="1"/>
  <c r="AC9" i="1736" s="1"/>
  <c r="O9" i="1736"/>
  <c r="AB9" i="1736"/>
  <c r="AF8" i="1736"/>
  <c r="AB8" i="1736"/>
  <c r="Q8" i="1736"/>
  <c r="P8" i="1736" s="1"/>
  <c r="AC8" i="1736" s="1"/>
  <c r="M8" i="1736"/>
  <c r="AF7" i="1736"/>
  <c r="AB7" i="1736"/>
  <c r="Q7" i="1736"/>
  <c r="P7" i="1736"/>
  <c r="AC7" i="1736" s="1"/>
  <c r="O7" i="1736"/>
  <c r="M7" i="1736"/>
  <c r="K7" i="1736"/>
  <c r="AF6" i="1736"/>
  <c r="Q6" i="1736"/>
  <c r="P6" i="1736"/>
  <c r="AC6" i="1736" s="1"/>
  <c r="O6" i="1736"/>
  <c r="L26" i="1736"/>
  <c r="O26" i="1736" s="1"/>
  <c r="AC23" i="1738" l="1"/>
  <c r="AD6" i="1738"/>
  <c r="P25" i="1737"/>
  <c r="AD14" i="1737"/>
  <c r="M25" i="1737"/>
  <c r="AB25" i="1737"/>
  <c r="AD13" i="1737"/>
  <c r="P25" i="1736"/>
  <c r="AC25" i="1736" s="1"/>
  <c r="AB25" i="1736"/>
  <c r="M25" i="1736"/>
  <c r="O25" i="1736"/>
  <c r="AD25" i="1736" s="1"/>
  <c r="AD21" i="1736"/>
  <c r="AD20" i="1736"/>
  <c r="AD13" i="1736"/>
  <c r="AD10" i="1736"/>
  <c r="AD15" i="1736"/>
  <c r="AD22" i="1736"/>
  <c r="Q26" i="1736"/>
  <c r="O8" i="1736"/>
  <c r="AD8" i="1736" s="1"/>
  <c r="AD18" i="1736"/>
  <c r="AD7" i="1736"/>
  <c r="AD14" i="1736"/>
  <c r="AD17" i="1736"/>
  <c r="AD16" i="1736"/>
  <c r="AD19" i="1736"/>
  <c r="AD23" i="1736"/>
  <c r="AD9" i="1736"/>
  <c r="M6" i="1736"/>
  <c r="AB6" i="1736"/>
  <c r="M9" i="1736"/>
  <c r="O11" i="1736"/>
  <c r="P12" i="1736"/>
  <c r="AC12" i="1736" s="1"/>
  <c r="M14" i="1736"/>
  <c r="P11" i="1736"/>
  <c r="AC11" i="1736" s="1"/>
  <c r="M24" i="1736"/>
  <c r="AB24" i="1736"/>
  <c r="AB12" i="1736"/>
  <c r="O24" i="1736"/>
  <c r="M11" i="1736"/>
  <c r="K26" i="173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22" i="1735"/>
  <c r="L21" i="1735"/>
  <c r="K20" i="1735"/>
  <c r="L13" i="1735"/>
  <c r="L12" i="1735"/>
  <c r="L11" i="1735"/>
  <c r="L10" i="1735"/>
  <c r="L9" i="1735"/>
  <c r="L8" i="1735"/>
  <c r="L6" i="1735"/>
  <c r="AD23" i="1738" l="1"/>
  <c r="Q3" i="16"/>
  <c r="AE22" i="1738"/>
  <c r="AE17" i="1738"/>
  <c r="AE8" i="1738"/>
  <c r="AE7" i="1738"/>
  <c r="AE20" i="1738"/>
  <c r="AE15" i="1738"/>
  <c r="AE9" i="1738"/>
  <c r="AE6" i="1738"/>
  <c r="AE18" i="1738"/>
  <c r="AE16" i="1738"/>
  <c r="AE21" i="1738"/>
  <c r="AE19" i="1738"/>
  <c r="AD25" i="1737"/>
  <c r="AD24" i="1736"/>
  <c r="AD12" i="1736"/>
  <c r="AD11" i="1736"/>
  <c r="AB26" i="1736"/>
  <c r="M26" i="1736"/>
  <c r="AC26" i="1736"/>
  <c r="P26" i="1736"/>
  <c r="AD6" i="1736"/>
  <c r="K22" i="1735"/>
  <c r="K21" i="1735"/>
  <c r="K19" i="1735"/>
  <c r="K18" i="1735"/>
  <c r="K13" i="1735"/>
  <c r="K12" i="1735"/>
  <c r="K11" i="1735"/>
  <c r="K10" i="1735"/>
  <c r="K9" i="1735"/>
  <c r="K8" i="1735"/>
  <c r="K7" i="1735"/>
  <c r="K6" i="1735"/>
  <c r="A78" i="1735"/>
  <c r="A79" i="1735" s="1"/>
  <c r="A80" i="1735" s="1"/>
  <c r="A81" i="1735" s="1"/>
  <c r="A82" i="1735" s="1"/>
  <c r="A83" i="1735" s="1"/>
  <c r="AF62" i="1735"/>
  <c r="AF61" i="1735"/>
  <c r="AA23" i="1735"/>
  <c r="Z23" i="1735"/>
  <c r="Y23" i="1735"/>
  <c r="X23" i="1735"/>
  <c r="W23" i="1735"/>
  <c r="V23" i="1735"/>
  <c r="U23" i="1735"/>
  <c r="T23" i="1735"/>
  <c r="S23" i="1735"/>
  <c r="R23" i="1735"/>
  <c r="N23" i="1735"/>
  <c r="J23" i="1735"/>
  <c r="I23" i="1735"/>
  <c r="AF22" i="1735"/>
  <c r="Q22" i="1735"/>
  <c r="P22" i="1735"/>
  <c r="AC22" i="1735" s="1"/>
  <c r="O22" i="1735"/>
  <c r="AF21" i="1735"/>
  <c r="Q21" i="1735"/>
  <c r="P21" i="1735" s="1"/>
  <c r="AC21" i="1735" s="1"/>
  <c r="O21" i="1735"/>
  <c r="AB21" i="1735"/>
  <c r="AF20" i="1735"/>
  <c r="AB20" i="1735"/>
  <c r="Q20" i="1735"/>
  <c r="P20" i="1735" s="1"/>
  <c r="AC20" i="1735" s="1"/>
  <c r="O20" i="1735"/>
  <c r="M20" i="1735"/>
  <c r="AF19" i="1735"/>
  <c r="Q19" i="1735"/>
  <c r="P19" i="1735" s="1"/>
  <c r="AC19" i="1735" s="1"/>
  <c r="O19" i="1735"/>
  <c r="AF18" i="1735"/>
  <c r="Q18" i="1735"/>
  <c r="P18" i="1735" s="1"/>
  <c r="AC18" i="1735" s="1"/>
  <c r="O18" i="1735"/>
  <c r="AB18" i="1735"/>
  <c r="AF17" i="1735"/>
  <c r="AB17" i="1735"/>
  <c r="Q17" i="1735"/>
  <c r="P17" i="1735"/>
  <c r="AC17" i="1735" s="1"/>
  <c r="O17" i="1735"/>
  <c r="M17" i="1735"/>
  <c r="K17" i="1735"/>
  <c r="AF16" i="1735"/>
  <c r="AB16" i="1735"/>
  <c r="Q16" i="1735"/>
  <c r="P16" i="1735"/>
  <c r="AC16" i="1735" s="1"/>
  <c r="O16" i="1735"/>
  <c r="M16" i="1735"/>
  <c r="K16" i="1735"/>
  <c r="AF15" i="1735"/>
  <c r="AB15" i="1735"/>
  <c r="Q15" i="1735"/>
  <c r="P15" i="1735"/>
  <c r="AC15" i="1735" s="1"/>
  <c r="O15" i="1735"/>
  <c r="M15" i="1735"/>
  <c r="K15" i="1735"/>
  <c r="AF14" i="1735"/>
  <c r="AB14" i="1735"/>
  <c r="Q14" i="1735"/>
  <c r="P14" i="1735"/>
  <c r="AC14" i="1735" s="1"/>
  <c r="O14" i="1735"/>
  <c r="M14" i="1735"/>
  <c r="K14" i="1735"/>
  <c r="AF13" i="1735"/>
  <c r="AB13" i="1735"/>
  <c r="Q13" i="1735"/>
  <c r="P13" i="1735" s="1"/>
  <c r="AC13" i="1735" s="1"/>
  <c r="O13" i="1735"/>
  <c r="M13" i="1735"/>
  <c r="AF12" i="1735"/>
  <c r="AB12" i="1735"/>
  <c r="Q12" i="1735"/>
  <c r="P12" i="1735" s="1"/>
  <c r="AC12" i="1735" s="1"/>
  <c r="O12" i="1735"/>
  <c r="M12" i="1735"/>
  <c r="AF11" i="1735"/>
  <c r="Q11" i="1735"/>
  <c r="AB11" i="1735"/>
  <c r="AF10" i="1735"/>
  <c r="Q10" i="1735"/>
  <c r="P10" i="1735" s="1"/>
  <c r="AC10" i="1735" s="1"/>
  <c r="O10" i="1735"/>
  <c r="AB10" i="1735"/>
  <c r="AF9" i="1735"/>
  <c r="AB9" i="1735"/>
  <c r="Q9" i="1735"/>
  <c r="P9" i="1735" s="1"/>
  <c r="AC9" i="1735" s="1"/>
  <c r="O9" i="1735"/>
  <c r="M9" i="1735"/>
  <c r="AF8" i="1735"/>
  <c r="Q8" i="1735"/>
  <c r="P8" i="1735" s="1"/>
  <c r="AC8" i="1735" s="1"/>
  <c r="AF7" i="1735"/>
  <c r="Q7" i="1735"/>
  <c r="P7" i="1735"/>
  <c r="AC7" i="1735" s="1"/>
  <c r="O7" i="1735"/>
  <c r="AF6" i="1735"/>
  <c r="Q6" i="1735"/>
  <c r="O6" i="1735"/>
  <c r="AB6" i="1735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4" i="1734"/>
  <c r="L23" i="1734"/>
  <c r="L21" i="1734"/>
  <c r="K21" i="1734" s="1"/>
  <c r="L20" i="1734"/>
  <c r="K20" i="1734" s="1"/>
  <c r="L15" i="1734"/>
  <c r="AF14" i="1734"/>
  <c r="Q14" i="1734"/>
  <c r="AB14" i="1734"/>
  <c r="L12" i="1734"/>
  <c r="K12" i="1734"/>
  <c r="AF12" i="1734"/>
  <c r="Q12" i="1734"/>
  <c r="AB12" i="1734"/>
  <c r="L11" i="1734"/>
  <c r="K11" i="1734"/>
  <c r="AF11" i="1734"/>
  <c r="Q11" i="1734"/>
  <c r="P11" i="1734" s="1"/>
  <c r="AC11" i="1734" s="1"/>
  <c r="L10" i="1734"/>
  <c r="L9" i="1734"/>
  <c r="L8" i="1734"/>
  <c r="L7" i="1734"/>
  <c r="L6" i="1734"/>
  <c r="K6" i="1734"/>
  <c r="AE7" i="1737" l="1"/>
  <c r="AE11" i="1737"/>
  <c r="AE16" i="1737"/>
  <c r="AE6" i="1737"/>
  <c r="AE15" i="1737"/>
  <c r="AE10" i="1737"/>
  <c r="AE9" i="1737"/>
  <c r="AE24" i="1737"/>
  <c r="AE21" i="1737"/>
  <c r="AE18" i="1737"/>
  <c r="AE17" i="1737"/>
  <c r="AE8" i="1737"/>
  <c r="AE23" i="1737"/>
  <c r="AE20" i="1737"/>
  <c r="AE22" i="1737"/>
  <c r="AE19" i="1737"/>
  <c r="AD26" i="1736"/>
  <c r="AF64" i="1735"/>
  <c r="AD9" i="1735"/>
  <c r="Q23" i="1735"/>
  <c r="P6" i="1735"/>
  <c r="AC6" i="1735" s="1"/>
  <c r="AD6" i="1735" s="1"/>
  <c r="AD17" i="1735"/>
  <c r="AD12" i="1735"/>
  <c r="AD15" i="1735"/>
  <c r="AD20" i="1735"/>
  <c r="AD13" i="1735"/>
  <c r="AD16" i="1735"/>
  <c r="AD14" i="1735"/>
  <c r="AD10" i="1735"/>
  <c r="AD18" i="1735"/>
  <c r="AD21" i="1735"/>
  <c r="AB8" i="1735"/>
  <c r="M7" i="1735"/>
  <c r="AB7" i="1735"/>
  <c r="AD7" i="1735" s="1"/>
  <c r="O8" i="1735"/>
  <c r="O11" i="1735"/>
  <c r="M19" i="1735"/>
  <c r="AB19" i="1735"/>
  <c r="AD19" i="1735" s="1"/>
  <c r="M22" i="1735"/>
  <c r="AB22" i="1735"/>
  <c r="AD22" i="1735" s="1"/>
  <c r="L23" i="1735"/>
  <c r="O23" i="1735" s="1"/>
  <c r="M8" i="1735"/>
  <c r="M11" i="1735"/>
  <c r="M6" i="1735"/>
  <c r="K23" i="1735"/>
  <c r="M10" i="1735"/>
  <c r="P11" i="1735"/>
  <c r="AC11" i="1735" s="1"/>
  <c r="M18" i="1735"/>
  <c r="M21" i="1735"/>
  <c r="O14" i="1734"/>
  <c r="K14" i="1734"/>
  <c r="P14" i="1734"/>
  <c r="AC14" i="1734" s="1"/>
  <c r="AD14" i="1734" s="1"/>
  <c r="M14" i="1734"/>
  <c r="O12" i="1734"/>
  <c r="P12" i="1734"/>
  <c r="AC12" i="1734" s="1"/>
  <c r="AD12" i="1734" s="1"/>
  <c r="M12" i="1734"/>
  <c r="M11" i="1734"/>
  <c r="AB11" i="1734"/>
  <c r="O11" i="1734"/>
  <c r="K24" i="1734"/>
  <c r="K23" i="1734"/>
  <c r="K22" i="1734"/>
  <c r="K19" i="1734"/>
  <c r="K15" i="1734"/>
  <c r="K13" i="1734"/>
  <c r="K10" i="1734"/>
  <c r="K9" i="1734"/>
  <c r="K8" i="1734"/>
  <c r="K7" i="1734"/>
  <c r="A80" i="1734"/>
  <c r="A81" i="1734" s="1"/>
  <c r="A82" i="1734" s="1"/>
  <c r="A83" i="1734" s="1"/>
  <c r="A84" i="1734" s="1"/>
  <c r="A85" i="1734" s="1"/>
  <c r="AF64" i="1734"/>
  <c r="AF63" i="1734"/>
  <c r="AF66" i="1734" s="1"/>
  <c r="AA25" i="1734"/>
  <c r="Z25" i="1734"/>
  <c r="Y25" i="1734"/>
  <c r="X25" i="1734"/>
  <c r="W25" i="1734"/>
  <c r="V25" i="1734"/>
  <c r="U25" i="1734"/>
  <c r="T25" i="1734"/>
  <c r="S25" i="1734"/>
  <c r="R25" i="1734"/>
  <c r="N25" i="1734"/>
  <c r="J25" i="1734"/>
  <c r="I25" i="1734"/>
  <c r="AF24" i="1734"/>
  <c r="Q24" i="1734"/>
  <c r="P24" i="1734"/>
  <c r="AC24" i="1734" s="1"/>
  <c r="O24" i="1734"/>
  <c r="AF23" i="1734"/>
  <c r="Q23" i="1734"/>
  <c r="P23" i="1734" s="1"/>
  <c r="AC23" i="1734" s="1"/>
  <c r="O23" i="1734"/>
  <c r="AB23" i="1734"/>
  <c r="AF22" i="1734"/>
  <c r="AB22" i="1734"/>
  <c r="Q22" i="1734"/>
  <c r="P22" i="1734" s="1"/>
  <c r="AC22" i="1734" s="1"/>
  <c r="O22" i="1734"/>
  <c r="M22" i="1734"/>
  <c r="AF21" i="1734"/>
  <c r="Q21" i="1734"/>
  <c r="P21" i="1734" s="1"/>
  <c r="AC21" i="1734" s="1"/>
  <c r="AF20" i="1734"/>
  <c r="AB20" i="1734"/>
  <c r="Q20" i="1734"/>
  <c r="P20" i="1734" s="1"/>
  <c r="AC20" i="1734" s="1"/>
  <c r="O20" i="1734"/>
  <c r="M20" i="1734"/>
  <c r="AF19" i="1734"/>
  <c r="AB19" i="1734"/>
  <c r="Q19" i="1734"/>
  <c r="P19" i="1734"/>
  <c r="AC19" i="1734" s="1"/>
  <c r="O19" i="1734"/>
  <c r="M19" i="1734"/>
  <c r="AF18" i="1734"/>
  <c r="AB18" i="1734"/>
  <c r="Q18" i="1734"/>
  <c r="P18" i="1734"/>
  <c r="AC18" i="1734" s="1"/>
  <c r="O18" i="1734"/>
  <c r="M18" i="1734"/>
  <c r="K18" i="1734"/>
  <c r="AF17" i="1734"/>
  <c r="AB17" i="1734"/>
  <c r="Q17" i="1734"/>
  <c r="P17" i="1734"/>
  <c r="AC17" i="1734" s="1"/>
  <c r="O17" i="1734"/>
  <c r="M17" i="1734"/>
  <c r="K17" i="1734"/>
  <c r="AF16" i="1734"/>
  <c r="AB16" i="1734"/>
  <c r="Q16" i="1734"/>
  <c r="P16" i="1734"/>
  <c r="AC16" i="1734" s="1"/>
  <c r="O16" i="1734"/>
  <c r="M16" i="1734"/>
  <c r="K16" i="1734"/>
  <c r="AF15" i="1734"/>
  <c r="Q15" i="1734"/>
  <c r="P15" i="1734"/>
  <c r="AC15" i="1734" s="1"/>
  <c r="O15" i="1734"/>
  <c r="M15" i="1734"/>
  <c r="AB15" i="1734"/>
  <c r="AF13" i="1734"/>
  <c r="AB13" i="1734"/>
  <c r="Q13" i="1734"/>
  <c r="P13" i="1734" s="1"/>
  <c r="AC13" i="1734" s="1"/>
  <c r="O13" i="1734"/>
  <c r="M13" i="1734"/>
  <c r="AF10" i="1734"/>
  <c r="Q10" i="1734"/>
  <c r="P10" i="1734" s="1"/>
  <c r="AC10" i="1734" s="1"/>
  <c r="O10" i="1734"/>
  <c r="AF9" i="1734"/>
  <c r="AB9" i="1734"/>
  <c r="Q9" i="1734"/>
  <c r="P9" i="1734" s="1"/>
  <c r="AC9" i="1734" s="1"/>
  <c r="O9" i="1734"/>
  <c r="M9" i="1734"/>
  <c r="AF8" i="1734"/>
  <c r="AB8" i="1734"/>
  <c r="Q8" i="1734"/>
  <c r="P8" i="1734" s="1"/>
  <c r="AC8" i="1734" s="1"/>
  <c r="O8" i="1734"/>
  <c r="M8" i="1734"/>
  <c r="AF7" i="1734"/>
  <c r="Q7" i="1734"/>
  <c r="P7" i="1734" s="1"/>
  <c r="AC7" i="1734" s="1"/>
  <c r="AF6" i="1734"/>
  <c r="AB6" i="1734"/>
  <c r="Q6" i="1734"/>
  <c r="O6" i="1734"/>
  <c r="M6" i="1734"/>
  <c r="AE6" i="1733"/>
  <c r="AE21" i="1736" l="1"/>
  <c r="AE20" i="1736"/>
  <c r="AE25" i="1736"/>
  <c r="AE10" i="1736"/>
  <c r="AE15" i="1736"/>
  <c r="AE16" i="1736"/>
  <c r="AE8" i="1736"/>
  <c r="AE17" i="1736"/>
  <c r="AE6" i="1736"/>
  <c r="AE18" i="1736"/>
  <c r="AE24" i="1736"/>
  <c r="AE19" i="1736"/>
  <c r="AE9" i="1736"/>
  <c r="AE22" i="1736"/>
  <c r="AE7" i="1736"/>
  <c r="AE23" i="1736"/>
  <c r="AD11" i="1735"/>
  <c r="M23" i="1735"/>
  <c r="AD8" i="1735"/>
  <c r="AB23" i="1735"/>
  <c r="P23" i="1735"/>
  <c r="AC23" i="1735"/>
  <c r="AD22" i="1734"/>
  <c r="AD11" i="1734"/>
  <c r="Q25" i="1734"/>
  <c r="P6" i="1734"/>
  <c r="AC6" i="1734" s="1"/>
  <c r="AC25" i="1734" s="1"/>
  <c r="AD17" i="1734"/>
  <c r="AD15" i="1734"/>
  <c r="AD18" i="1734"/>
  <c r="AD8" i="1734"/>
  <c r="AD13" i="1734"/>
  <c r="AD16" i="1734"/>
  <c r="AD19" i="1734"/>
  <c r="AD20" i="1734"/>
  <c r="AD9" i="1734"/>
  <c r="AD23" i="1734"/>
  <c r="AB7" i="1734"/>
  <c r="M21" i="1734"/>
  <c r="O7" i="1734"/>
  <c r="M10" i="1734"/>
  <c r="AB10" i="1734"/>
  <c r="AD10" i="1734" s="1"/>
  <c r="O21" i="1734"/>
  <c r="M24" i="1734"/>
  <c r="AB24" i="1734"/>
  <c r="AD24" i="1734" s="1"/>
  <c r="L25" i="1734"/>
  <c r="O25" i="1734" s="1"/>
  <c r="M7" i="1734"/>
  <c r="AB21" i="1734"/>
  <c r="K25" i="1734"/>
  <c r="M23" i="1734"/>
  <c r="AD23" i="1735" l="1"/>
  <c r="AE19" i="1735" s="1"/>
  <c r="AD21" i="1734"/>
  <c r="AD6" i="1734"/>
  <c r="P25" i="1734"/>
  <c r="AB25" i="1734"/>
  <c r="M25" i="1734"/>
  <c r="AD7" i="1734"/>
  <c r="AD25" i="1734" s="1"/>
  <c r="AE8" i="1735" l="1"/>
  <c r="AE15" i="1735"/>
  <c r="AE7" i="1735"/>
  <c r="AE18" i="1735"/>
  <c r="AE22" i="1735"/>
  <c r="AE6" i="1735"/>
  <c r="AE21" i="1735"/>
  <c r="AE17" i="1735"/>
  <c r="AE16" i="1735"/>
  <c r="AE9" i="1735"/>
  <c r="AE20" i="1735"/>
  <c r="AE22" i="1734"/>
  <c r="AE19" i="1734"/>
  <c r="AE8" i="1734"/>
  <c r="AE24" i="1734"/>
  <c r="AE6" i="1734"/>
  <c r="AE18" i="1734"/>
  <c r="AE16" i="1734"/>
  <c r="AE7" i="1734"/>
  <c r="AE23" i="1734"/>
  <c r="AE17" i="1734"/>
  <c r="AE9" i="1734"/>
  <c r="AE20" i="1734"/>
  <c r="AE21" i="1734"/>
  <c r="AE11" i="1733" l="1"/>
  <c r="AE12" i="1733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2" i="1733"/>
  <c r="K22" i="1733" s="1"/>
  <c r="L21" i="1733"/>
  <c r="L20" i="1733"/>
  <c r="K20" i="1733"/>
  <c r="AF20" i="1733"/>
  <c r="Q20" i="1733"/>
  <c r="P20" i="1733" s="1"/>
  <c r="AC20" i="1733" s="1"/>
  <c r="O20" i="1733"/>
  <c r="AB20" i="1733"/>
  <c r="L19" i="1733"/>
  <c r="K18" i="1733"/>
  <c r="L17" i="1733"/>
  <c r="L13" i="1733"/>
  <c r="AD20" i="1733" l="1"/>
  <c r="M20" i="1733"/>
  <c r="L12" i="1733" l="1"/>
  <c r="L11" i="1733"/>
  <c r="AB11" i="1733" s="1"/>
  <c r="K11" i="1733"/>
  <c r="AF11" i="1733"/>
  <c r="Q11" i="1733"/>
  <c r="O11" i="1733"/>
  <c r="L10" i="1733"/>
  <c r="L9" i="1733"/>
  <c r="L8" i="1733"/>
  <c r="K8" i="1733" s="1"/>
  <c r="L7" i="1733"/>
  <c r="P11" i="1733" l="1"/>
  <c r="AC11" i="1733" s="1"/>
  <c r="AD11" i="1733" s="1"/>
  <c r="M11" i="1733"/>
  <c r="K21" i="1733"/>
  <c r="K19" i="1733"/>
  <c r="K17" i="1733"/>
  <c r="K13" i="1733"/>
  <c r="K12" i="1733"/>
  <c r="K10" i="1733"/>
  <c r="K7" i="1733"/>
  <c r="K6" i="1733"/>
  <c r="A78" i="1733"/>
  <c r="A79" i="1733" s="1"/>
  <c r="A80" i="1733" s="1"/>
  <c r="A81" i="1733" s="1"/>
  <c r="A82" i="1733" s="1"/>
  <c r="A83" i="1733" s="1"/>
  <c r="AF62" i="1733"/>
  <c r="AF61" i="1733"/>
  <c r="AF64" i="1733" s="1"/>
  <c r="AA23" i="1733"/>
  <c r="Z23" i="1733"/>
  <c r="Y23" i="1733"/>
  <c r="X23" i="1733"/>
  <c r="W23" i="1733"/>
  <c r="V23" i="1733"/>
  <c r="U23" i="1733"/>
  <c r="T23" i="1733"/>
  <c r="S23" i="1733"/>
  <c r="R23" i="1733"/>
  <c r="N23" i="1733"/>
  <c r="J23" i="1733"/>
  <c r="I23" i="1733"/>
  <c r="AF22" i="1733"/>
  <c r="Q22" i="1733"/>
  <c r="P22" i="1733"/>
  <c r="AC22" i="1733" s="1"/>
  <c r="O22" i="1733"/>
  <c r="AF21" i="1733"/>
  <c r="Q21" i="1733"/>
  <c r="P21" i="1733" s="1"/>
  <c r="AC21" i="1733" s="1"/>
  <c r="O21" i="1733"/>
  <c r="AB21" i="1733"/>
  <c r="AF19" i="1733"/>
  <c r="AB19" i="1733"/>
  <c r="Q19" i="1733"/>
  <c r="P19" i="1733" s="1"/>
  <c r="AC19" i="1733" s="1"/>
  <c r="AD19" i="1733" s="1"/>
  <c r="O19" i="1733"/>
  <c r="M19" i="1733"/>
  <c r="AF18" i="1733"/>
  <c r="Q18" i="1733"/>
  <c r="AB18" i="1733"/>
  <c r="AF17" i="1733"/>
  <c r="Q17" i="1733"/>
  <c r="P17" i="1733" s="1"/>
  <c r="AC17" i="1733" s="1"/>
  <c r="O17" i="1733"/>
  <c r="AF16" i="1733"/>
  <c r="AB16" i="1733"/>
  <c r="Q16" i="1733"/>
  <c r="P16" i="1733"/>
  <c r="AC16" i="1733" s="1"/>
  <c r="AD16" i="1733" s="1"/>
  <c r="O16" i="1733"/>
  <c r="M16" i="1733"/>
  <c r="K16" i="1733"/>
  <c r="AF15" i="1733"/>
  <c r="AB15" i="1733"/>
  <c r="Q15" i="1733"/>
  <c r="P15" i="1733"/>
  <c r="AC15" i="1733" s="1"/>
  <c r="O15" i="1733"/>
  <c r="M15" i="1733"/>
  <c r="K15" i="1733"/>
  <c r="AF14" i="1733"/>
  <c r="AC14" i="1733"/>
  <c r="AB14" i="1733"/>
  <c r="Q14" i="1733"/>
  <c r="P14" i="1733"/>
  <c r="O14" i="1733"/>
  <c r="M14" i="1733"/>
  <c r="K14" i="1733"/>
  <c r="AF13" i="1733"/>
  <c r="Q13" i="1733"/>
  <c r="AB13" i="1733"/>
  <c r="AF12" i="1733"/>
  <c r="AB12" i="1733"/>
  <c r="Q12" i="1733"/>
  <c r="P12" i="1733" s="1"/>
  <c r="AC12" i="1733" s="1"/>
  <c r="O12" i="1733"/>
  <c r="M12" i="1733"/>
  <c r="AF10" i="1733"/>
  <c r="Q10" i="1733"/>
  <c r="P10" i="1733" s="1"/>
  <c r="AC10" i="1733" s="1"/>
  <c r="O10" i="1733"/>
  <c r="AF9" i="1733"/>
  <c r="AB9" i="1733"/>
  <c r="Q9" i="1733"/>
  <c r="P9" i="1733" s="1"/>
  <c r="AC9" i="1733" s="1"/>
  <c r="O9" i="1733"/>
  <c r="M9" i="1733"/>
  <c r="K9" i="1733"/>
  <c r="AF8" i="1733"/>
  <c r="AB8" i="1733"/>
  <c r="Q8" i="1733"/>
  <c r="P8" i="1733"/>
  <c r="AC8" i="1733" s="1"/>
  <c r="O8" i="1733"/>
  <c r="M8" i="1733"/>
  <c r="AF7" i="1733"/>
  <c r="AB7" i="1733"/>
  <c r="Q7" i="1733"/>
  <c r="P7" i="1733" s="1"/>
  <c r="AC7" i="1733" s="1"/>
  <c r="O7" i="1733"/>
  <c r="M7" i="1733"/>
  <c r="AF6" i="1733"/>
  <c r="AB6" i="1733"/>
  <c r="Q6" i="1733"/>
  <c r="O6" i="1733"/>
  <c r="M6" i="1733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1" i="1732"/>
  <c r="L20" i="1732"/>
  <c r="L19" i="1732"/>
  <c r="L18" i="1732"/>
  <c r="L17" i="1732"/>
  <c r="K17" i="1732"/>
  <c r="L13" i="1732"/>
  <c r="L10" i="1732"/>
  <c r="Q23" i="1733" l="1"/>
  <c r="AD8" i="1733"/>
  <c r="AD7" i="1733"/>
  <c r="AD9" i="1733"/>
  <c r="AD14" i="1733"/>
  <c r="AD15" i="1733"/>
  <c r="AD12" i="1733"/>
  <c r="AD21" i="1733"/>
  <c r="M13" i="1733"/>
  <c r="M10" i="1733"/>
  <c r="AB10" i="1733"/>
  <c r="AB23" i="1733" s="1"/>
  <c r="O13" i="1733"/>
  <c r="M17" i="1733"/>
  <c r="AB17" i="1733"/>
  <c r="AD17" i="1733" s="1"/>
  <c r="O18" i="1733"/>
  <c r="M22" i="1733"/>
  <c r="AB22" i="1733"/>
  <c r="AD22" i="1733" s="1"/>
  <c r="L23" i="1733"/>
  <c r="O23" i="1733" s="1"/>
  <c r="P6" i="1733"/>
  <c r="P13" i="1733"/>
  <c r="AC13" i="1733" s="1"/>
  <c r="AD13" i="1733" s="1"/>
  <c r="K23" i="1733"/>
  <c r="P18" i="1733"/>
  <c r="AC18" i="1733" s="1"/>
  <c r="M21" i="1733"/>
  <c r="M18" i="1733"/>
  <c r="K21" i="1732"/>
  <c r="K20" i="1732"/>
  <c r="K19" i="1732"/>
  <c r="K18" i="1732"/>
  <c r="K16" i="1732"/>
  <c r="K13" i="1732"/>
  <c r="K12" i="1732"/>
  <c r="K11" i="1732"/>
  <c r="K10" i="1732"/>
  <c r="K9" i="1732"/>
  <c r="K7" i="1732"/>
  <c r="K6" i="1732"/>
  <c r="A77" i="1732"/>
  <c r="A78" i="1732" s="1"/>
  <c r="A79" i="1732" s="1"/>
  <c r="A80" i="1732" s="1"/>
  <c r="A81" i="1732" s="1"/>
  <c r="A82" i="1732" s="1"/>
  <c r="AF61" i="1732"/>
  <c r="AF60" i="1732"/>
  <c r="AF63" i="1732" s="1"/>
  <c r="AA22" i="1732"/>
  <c r="Z22" i="1732"/>
  <c r="Y22" i="1732"/>
  <c r="X22" i="1732"/>
  <c r="W22" i="1732"/>
  <c r="V22" i="1732"/>
  <c r="U22" i="1732"/>
  <c r="T22" i="1732"/>
  <c r="S22" i="1732"/>
  <c r="R22" i="1732"/>
  <c r="N22" i="1732"/>
  <c r="J22" i="1732"/>
  <c r="I22" i="1732"/>
  <c r="AF21" i="1732"/>
  <c r="AB21" i="1732"/>
  <c r="Q21" i="1732"/>
  <c r="P21" i="1732"/>
  <c r="AC21" i="1732" s="1"/>
  <c r="O21" i="1732"/>
  <c r="M21" i="1732"/>
  <c r="AF20" i="1732"/>
  <c r="Q20" i="1732"/>
  <c r="P20" i="1732" s="1"/>
  <c r="AC20" i="1732" s="1"/>
  <c r="AF19" i="1732"/>
  <c r="AB19" i="1732"/>
  <c r="Q19" i="1732"/>
  <c r="P19" i="1732" s="1"/>
  <c r="AC19" i="1732" s="1"/>
  <c r="M19" i="1732"/>
  <c r="O19" i="1732"/>
  <c r="AF18" i="1732"/>
  <c r="Q18" i="1732"/>
  <c r="O18" i="1732"/>
  <c r="AB18" i="1732"/>
  <c r="AF17" i="1732"/>
  <c r="AB17" i="1732"/>
  <c r="Q17" i="1732"/>
  <c r="P17" i="1732" s="1"/>
  <c r="AC17" i="1732" s="1"/>
  <c r="O17" i="1732"/>
  <c r="M17" i="1732"/>
  <c r="AF16" i="1732"/>
  <c r="Q16" i="1732"/>
  <c r="P16" i="1732"/>
  <c r="AC16" i="1732" s="1"/>
  <c r="AF15" i="1732"/>
  <c r="AB15" i="1732"/>
  <c r="Q15" i="1732"/>
  <c r="P15" i="1732"/>
  <c r="AC15" i="1732" s="1"/>
  <c r="AD15" i="1732" s="1"/>
  <c r="O15" i="1732"/>
  <c r="M15" i="1732"/>
  <c r="K15" i="1732"/>
  <c r="AF14" i="1732"/>
  <c r="AB14" i="1732"/>
  <c r="Q14" i="1732"/>
  <c r="P14" i="1732"/>
  <c r="AC14" i="1732" s="1"/>
  <c r="AD14" i="1732" s="1"/>
  <c r="O14" i="1732"/>
  <c r="M14" i="1732"/>
  <c r="K14" i="1732"/>
  <c r="AF13" i="1732"/>
  <c r="AB13" i="1732"/>
  <c r="Q13" i="1732"/>
  <c r="P13" i="1732" s="1"/>
  <c r="AC13" i="1732" s="1"/>
  <c r="O13" i="1732"/>
  <c r="M13" i="1732"/>
  <c r="AF12" i="1732"/>
  <c r="Q12" i="1732"/>
  <c r="O12" i="1732"/>
  <c r="AB12" i="1732"/>
  <c r="AF11" i="1732"/>
  <c r="AB11" i="1732"/>
  <c r="Q11" i="1732"/>
  <c r="P11" i="1732" s="1"/>
  <c r="AC11" i="1732" s="1"/>
  <c r="M11" i="1732"/>
  <c r="O11" i="1732"/>
  <c r="AF10" i="1732"/>
  <c r="Q10" i="1732"/>
  <c r="P10" i="1732" s="1"/>
  <c r="AC10" i="1732" s="1"/>
  <c r="AF9" i="1732"/>
  <c r="AB9" i="1732"/>
  <c r="Q9" i="1732"/>
  <c r="P9" i="1732"/>
  <c r="AC9" i="1732" s="1"/>
  <c r="O9" i="1732"/>
  <c r="M9" i="1732"/>
  <c r="AF8" i="1732"/>
  <c r="AB8" i="1732"/>
  <c r="Q8" i="1732"/>
  <c r="P8" i="1732"/>
  <c r="AC8" i="1732" s="1"/>
  <c r="AD8" i="1732" s="1"/>
  <c r="O8" i="1732"/>
  <c r="M8" i="1732"/>
  <c r="K8" i="1732"/>
  <c r="AF7" i="1732"/>
  <c r="Q7" i="1732"/>
  <c r="P7" i="1732"/>
  <c r="AC7" i="1732" s="1"/>
  <c r="AF6" i="1732"/>
  <c r="AB6" i="1732"/>
  <c r="Q6" i="1732"/>
  <c r="P6" i="1732"/>
  <c r="AC6" i="1732" s="1"/>
  <c r="M6" i="1732"/>
  <c r="O6" i="1732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1" i="1731"/>
  <c r="L20" i="1731"/>
  <c r="L19" i="1731"/>
  <c r="K19" i="1731" s="1"/>
  <c r="L18" i="1731"/>
  <c r="K18" i="1731" s="1"/>
  <c r="L17" i="1731"/>
  <c r="AB17" i="1731" s="1"/>
  <c r="L16" i="1731"/>
  <c r="L13" i="1731"/>
  <c r="L12" i="1731"/>
  <c r="L11" i="1731"/>
  <c r="AB11" i="1731" s="1"/>
  <c r="L10" i="1731"/>
  <c r="L9" i="1731"/>
  <c r="K9" i="1731" s="1"/>
  <c r="L7" i="1731"/>
  <c r="K7" i="1731" s="1"/>
  <c r="L6" i="1731"/>
  <c r="O6" i="1731" s="1"/>
  <c r="K21" i="1731"/>
  <c r="K20" i="1731"/>
  <c r="K16" i="1731"/>
  <c r="K13" i="1731"/>
  <c r="K12" i="1731"/>
  <c r="K6" i="1731"/>
  <c r="A77" i="1731"/>
  <c r="A78" i="1731" s="1"/>
  <c r="A79" i="1731" s="1"/>
  <c r="A80" i="1731" s="1"/>
  <c r="A81" i="1731" s="1"/>
  <c r="A82" i="1731" s="1"/>
  <c r="AF61" i="1731"/>
  <c r="AF60" i="1731"/>
  <c r="AF63" i="1731" s="1"/>
  <c r="AA22" i="1731"/>
  <c r="Z22" i="1731"/>
  <c r="Y22" i="1731"/>
  <c r="X22" i="1731"/>
  <c r="W22" i="1731"/>
  <c r="V22" i="1731"/>
  <c r="U22" i="1731"/>
  <c r="T22" i="1731"/>
  <c r="S22" i="1731"/>
  <c r="R22" i="1731"/>
  <c r="N22" i="1731"/>
  <c r="J22" i="1731"/>
  <c r="I22" i="1731"/>
  <c r="AF21" i="1731"/>
  <c r="Q21" i="1731"/>
  <c r="P21" i="1731"/>
  <c r="AC21" i="1731" s="1"/>
  <c r="AF20" i="1731"/>
  <c r="Q20" i="1731"/>
  <c r="P20" i="1731"/>
  <c r="AC20" i="1731" s="1"/>
  <c r="O20" i="1731"/>
  <c r="AF19" i="1731"/>
  <c r="AB19" i="1731"/>
  <c r="Q19" i="1731"/>
  <c r="P19" i="1731"/>
  <c r="AC19" i="1731" s="1"/>
  <c r="O19" i="1731"/>
  <c r="M19" i="1731"/>
  <c r="AF18" i="1731"/>
  <c r="Q18" i="1731"/>
  <c r="P18" i="1731" s="1"/>
  <c r="AC18" i="1731" s="1"/>
  <c r="M18" i="1731"/>
  <c r="O18" i="1731"/>
  <c r="AF17" i="1731"/>
  <c r="Q17" i="1731"/>
  <c r="O17" i="1731"/>
  <c r="AF16" i="1731"/>
  <c r="AB16" i="1731"/>
  <c r="Q16" i="1731"/>
  <c r="P16" i="1731" s="1"/>
  <c r="AC16" i="1731" s="1"/>
  <c r="O16" i="1731"/>
  <c r="M16" i="1731"/>
  <c r="AF15" i="1731"/>
  <c r="AB15" i="1731"/>
  <c r="Q15" i="1731"/>
  <c r="P15" i="1731"/>
  <c r="AC15" i="1731" s="1"/>
  <c r="O15" i="1731"/>
  <c r="M15" i="1731"/>
  <c r="K15" i="1731"/>
  <c r="AF14" i="1731"/>
  <c r="AC14" i="1731"/>
  <c r="AB14" i="1731"/>
  <c r="Q14" i="1731"/>
  <c r="P14" i="1731"/>
  <c r="O14" i="1731"/>
  <c r="M14" i="1731"/>
  <c r="K14" i="1731"/>
  <c r="AF13" i="1731"/>
  <c r="Q13" i="1731"/>
  <c r="P13" i="1731"/>
  <c r="AC13" i="1731" s="1"/>
  <c r="AF12" i="1731"/>
  <c r="Q12" i="1731"/>
  <c r="P12" i="1731" s="1"/>
  <c r="AC12" i="1731" s="1"/>
  <c r="O12" i="1731"/>
  <c r="AF11" i="1731"/>
  <c r="Q11" i="1731"/>
  <c r="M11" i="1731"/>
  <c r="AF10" i="1731"/>
  <c r="Q10" i="1731"/>
  <c r="AF9" i="1731"/>
  <c r="Q9" i="1731"/>
  <c r="P9" i="1731" s="1"/>
  <c r="AC9" i="1731" s="1"/>
  <c r="AF8" i="1731"/>
  <c r="AB8" i="1731"/>
  <c r="Q8" i="1731"/>
  <c r="P8" i="1731"/>
  <c r="AC8" i="1731" s="1"/>
  <c r="O8" i="1731"/>
  <c r="M8" i="1731"/>
  <c r="K8" i="1731"/>
  <c r="AF7" i="1731"/>
  <c r="AB7" i="1731"/>
  <c r="Q7" i="1731"/>
  <c r="P7" i="1731" s="1"/>
  <c r="AC7" i="1731" s="1"/>
  <c r="O7" i="1731"/>
  <c r="M7" i="1731"/>
  <c r="AF6" i="1731"/>
  <c r="Q6" i="1731"/>
  <c r="AD18" i="1733" l="1"/>
  <c r="M23" i="1733"/>
  <c r="AD10" i="1733"/>
  <c r="P23" i="1733"/>
  <c r="AC6" i="1733"/>
  <c r="AD21" i="1732"/>
  <c r="AE6" i="1732" s="1"/>
  <c r="AD17" i="1732"/>
  <c r="Q22" i="1732"/>
  <c r="AD13" i="1732"/>
  <c r="AD9" i="1732"/>
  <c r="AD19" i="1732"/>
  <c r="AD6" i="1732"/>
  <c r="AD11" i="1732"/>
  <c r="L22" i="1732"/>
  <c r="O22" i="1732" s="1"/>
  <c r="M7" i="1732"/>
  <c r="AB7" i="1732"/>
  <c r="M10" i="1732"/>
  <c r="AB10" i="1732"/>
  <c r="AD10" i="1732" s="1"/>
  <c r="P12" i="1732"/>
  <c r="AC12" i="1732" s="1"/>
  <c r="AD12" i="1732" s="1"/>
  <c r="M16" i="1732"/>
  <c r="AB16" i="1732"/>
  <c r="AD16" i="1732" s="1"/>
  <c r="P18" i="1732"/>
  <c r="AC18" i="1732" s="1"/>
  <c r="AD18" i="1732" s="1"/>
  <c r="M20" i="1732"/>
  <c r="AB20" i="1732"/>
  <c r="O7" i="1732"/>
  <c r="O10" i="1732"/>
  <c r="O16" i="1732"/>
  <c r="O20" i="1732"/>
  <c r="AD20" i="1732" s="1"/>
  <c r="K22" i="1732"/>
  <c r="M12" i="1732"/>
  <c r="M18" i="1732"/>
  <c r="AB6" i="1731"/>
  <c r="O11" i="1731"/>
  <c r="K11" i="1731"/>
  <c r="K17" i="1731"/>
  <c r="P11" i="1731"/>
  <c r="AC11" i="1731" s="1"/>
  <c r="M6" i="1731"/>
  <c r="AD14" i="1731"/>
  <c r="AD8" i="1731"/>
  <c r="O9" i="1731"/>
  <c r="P10" i="1731"/>
  <c r="AC10" i="1731" s="1"/>
  <c r="L22" i="1731"/>
  <c r="O22" i="1731" s="1"/>
  <c r="K10" i="1731"/>
  <c r="K22" i="1731" s="1"/>
  <c r="Q22" i="1731"/>
  <c r="AD7" i="1731"/>
  <c r="P6" i="1731"/>
  <c r="AC6" i="1731" s="1"/>
  <c r="AD15" i="1731"/>
  <c r="AD11" i="1731"/>
  <c r="AD19" i="1731"/>
  <c r="AD16" i="1731"/>
  <c r="M10" i="1731"/>
  <c r="AB10" i="1731"/>
  <c r="M13" i="1731"/>
  <c r="AB13" i="1731"/>
  <c r="P17" i="1731"/>
  <c r="AC17" i="1731" s="1"/>
  <c r="AD17" i="1731" s="1"/>
  <c r="M21" i="1731"/>
  <c r="AB21" i="1731"/>
  <c r="AD6" i="1731"/>
  <c r="M9" i="1731"/>
  <c r="AB9" i="1731"/>
  <c r="O10" i="1731"/>
  <c r="M12" i="1731"/>
  <c r="AB12" i="1731"/>
  <c r="AD12" i="1731" s="1"/>
  <c r="O13" i="1731"/>
  <c r="AB18" i="1731"/>
  <c r="AD18" i="1731" s="1"/>
  <c r="M20" i="1731"/>
  <c r="AB20" i="1731"/>
  <c r="AD20" i="1731" s="1"/>
  <c r="O21" i="1731"/>
  <c r="M17" i="1731"/>
  <c r="AC23" i="1733" l="1"/>
  <c r="AD6" i="1733"/>
  <c r="AD23" i="1733" s="1"/>
  <c r="AE20" i="1733" s="1"/>
  <c r="AB22" i="1732"/>
  <c r="M22" i="1732"/>
  <c r="P22" i="1732"/>
  <c r="AD7" i="1732"/>
  <c r="AD22" i="1732" s="1"/>
  <c r="AC22" i="1732"/>
  <c r="AB22" i="1731"/>
  <c r="AD10" i="1731"/>
  <c r="M22" i="1731"/>
  <c r="AD21" i="1731"/>
  <c r="AD13" i="1731"/>
  <c r="P22" i="1731"/>
  <c r="AC22" i="1731"/>
  <c r="AD9" i="1731"/>
  <c r="AE22" i="1733" l="1"/>
  <c r="AE17" i="1733"/>
  <c r="AE18" i="1733"/>
  <c r="AE15" i="1733"/>
  <c r="AE13" i="1733"/>
  <c r="AE19" i="1733"/>
  <c r="AE21" i="1733"/>
  <c r="AE16" i="1733"/>
  <c r="AE14" i="1733"/>
  <c r="AE9" i="1733"/>
  <c r="AE7" i="1733"/>
  <c r="AE10" i="1733"/>
  <c r="AE8" i="1733"/>
  <c r="AE21" i="1732"/>
  <c r="AE17" i="1732"/>
  <c r="AE14" i="1732"/>
  <c r="AE11" i="1732"/>
  <c r="AE7" i="1732"/>
  <c r="AE18" i="1732"/>
  <c r="AE12" i="1732"/>
  <c r="AE8" i="1732"/>
  <c r="AE20" i="1732"/>
  <c r="AE19" i="1732"/>
  <c r="AE15" i="1732"/>
  <c r="AE13" i="1732"/>
  <c r="AE9" i="1732"/>
  <c r="AE16" i="1732"/>
  <c r="AE10" i="1732"/>
  <c r="AE6" i="1731"/>
  <c r="J18" i="16"/>
  <c r="AD22" i="1731"/>
  <c r="AE21" i="1731" l="1"/>
  <c r="J19" i="16"/>
  <c r="AE7" i="1731"/>
  <c r="AE20" i="1731"/>
  <c r="AE17" i="1731"/>
  <c r="AE16" i="1731"/>
  <c r="AE9" i="1731"/>
  <c r="AE13" i="1731"/>
  <c r="AE19" i="1731"/>
  <c r="AE12" i="1731"/>
  <c r="AE8" i="1731"/>
  <c r="AE10" i="1731"/>
  <c r="AE15" i="1731"/>
  <c r="AE18" i="1731"/>
  <c r="AE14" i="1731"/>
  <c r="AE11" i="1731"/>
  <c r="I19" i="16" l="1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3" i="1730"/>
  <c r="L22" i="1730"/>
  <c r="L21" i="1730"/>
  <c r="K21" i="1730" s="1"/>
  <c r="AF21" i="1730"/>
  <c r="AB21" i="1730"/>
  <c r="Q21" i="1730"/>
  <c r="P21" i="1730" s="1"/>
  <c r="AC21" i="1730" s="1"/>
  <c r="O21" i="1730"/>
  <c r="M21" i="1730"/>
  <c r="L19" i="1730"/>
  <c r="K19" i="1730"/>
  <c r="L18" i="1730"/>
  <c r="L17" i="1730"/>
  <c r="L14" i="1730"/>
  <c r="K14" i="1730"/>
  <c r="L13" i="1730"/>
  <c r="AB13" i="1730" s="1"/>
  <c r="K13" i="1730"/>
  <c r="AF13" i="1730"/>
  <c r="Q13" i="1730"/>
  <c r="P13" i="1730" s="1"/>
  <c r="AC13" i="1730" s="1"/>
  <c r="M13" i="1730"/>
  <c r="L12" i="1730"/>
  <c r="L11" i="1730"/>
  <c r="O11" i="1730" s="1"/>
  <c r="L10" i="1730"/>
  <c r="L9" i="1730"/>
  <c r="L6" i="1730"/>
  <c r="K6" i="1730" s="1"/>
  <c r="K23" i="1730"/>
  <c r="K22" i="1730"/>
  <c r="K20" i="1730"/>
  <c r="K18" i="1730"/>
  <c r="K17" i="1730"/>
  <c r="K16" i="1730"/>
  <c r="K12" i="1730"/>
  <c r="K10" i="1730"/>
  <c r="K9" i="1730"/>
  <c r="K8" i="1730"/>
  <c r="K7" i="1730"/>
  <c r="A79" i="1730"/>
  <c r="A80" i="1730" s="1"/>
  <c r="A81" i="1730" s="1"/>
  <c r="A82" i="1730" s="1"/>
  <c r="A83" i="1730" s="1"/>
  <c r="A84" i="1730" s="1"/>
  <c r="AF63" i="1730"/>
  <c r="AF62" i="1730"/>
  <c r="AA24" i="1730"/>
  <c r="Z24" i="1730"/>
  <c r="Y24" i="1730"/>
  <c r="X24" i="1730"/>
  <c r="W24" i="1730"/>
  <c r="V24" i="1730"/>
  <c r="U24" i="1730"/>
  <c r="T24" i="1730"/>
  <c r="S24" i="1730"/>
  <c r="R24" i="1730"/>
  <c r="N24" i="1730"/>
  <c r="J24" i="1730"/>
  <c r="I24" i="1730"/>
  <c r="AF23" i="1730"/>
  <c r="AB23" i="1730"/>
  <c r="Q23" i="1730"/>
  <c r="P23" i="1730"/>
  <c r="AC23" i="1730" s="1"/>
  <c r="M23" i="1730"/>
  <c r="O23" i="1730"/>
  <c r="AF22" i="1730"/>
  <c r="Q22" i="1730"/>
  <c r="P22" i="1730" s="1"/>
  <c r="AC22" i="1730" s="1"/>
  <c r="O22" i="1730"/>
  <c r="AF20" i="1730"/>
  <c r="AB20" i="1730"/>
  <c r="Q20" i="1730"/>
  <c r="P20" i="1730" s="1"/>
  <c r="AC20" i="1730" s="1"/>
  <c r="M20" i="1730"/>
  <c r="O20" i="1730"/>
  <c r="AF19" i="1730"/>
  <c r="Q19" i="1730"/>
  <c r="AB19" i="1730"/>
  <c r="AF18" i="1730"/>
  <c r="AB18" i="1730"/>
  <c r="Q18" i="1730"/>
  <c r="P18" i="1730" s="1"/>
  <c r="AC18" i="1730" s="1"/>
  <c r="M18" i="1730"/>
  <c r="O18" i="1730"/>
  <c r="AF17" i="1730"/>
  <c r="Q17" i="1730"/>
  <c r="O17" i="1730"/>
  <c r="P17" i="1730"/>
  <c r="AC17" i="1730" s="1"/>
  <c r="AF16" i="1730"/>
  <c r="AB16" i="1730"/>
  <c r="Q16" i="1730"/>
  <c r="P16" i="1730"/>
  <c r="AC16" i="1730" s="1"/>
  <c r="M16" i="1730"/>
  <c r="O16" i="1730"/>
  <c r="AF15" i="1730"/>
  <c r="AB15" i="1730"/>
  <c r="Q15" i="1730"/>
  <c r="P15" i="1730"/>
  <c r="AC15" i="1730" s="1"/>
  <c r="O15" i="1730"/>
  <c r="M15" i="1730"/>
  <c r="K15" i="1730"/>
  <c r="AF14" i="1730"/>
  <c r="Q14" i="1730"/>
  <c r="P14" i="1730" s="1"/>
  <c r="AC14" i="1730" s="1"/>
  <c r="AF12" i="1730"/>
  <c r="AB12" i="1730"/>
  <c r="Q12" i="1730"/>
  <c r="P12" i="1730" s="1"/>
  <c r="AC12" i="1730" s="1"/>
  <c r="O12" i="1730"/>
  <c r="M12" i="1730"/>
  <c r="AF11" i="1730"/>
  <c r="AB11" i="1730"/>
  <c r="Q11" i="1730"/>
  <c r="K11" i="1730"/>
  <c r="AF10" i="1730"/>
  <c r="Q10" i="1730"/>
  <c r="P10" i="1730" s="1"/>
  <c r="AC10" i="1730" s="1"/>
  <c r="O10" i="1730"/>
  <c r="AB10" i="1730"/>
  <c r="AF9" i="1730"/>
  <c r="AB9" i="1730"/>
  <c r="Q9" i="1730"/>
  <c r="P9" i="1730" s="1"/>
  <c r="AC9" i="1730" s="1"/>
  <c r="O9" i="1730"/>
  <c r="M9" i="1730"/>
  <c r="AF8" i="1730"/>
  <c r="Q8" i="1730"/>
  <c r="P8" i="1730"/>
  <c r="AC8" i="1730" s="1"/>
  <c r="AF7" i="1730"/>
  <c r="Q7" i="1730"/>
  <c r="O7" i="1730"/>
  <c r="AF6" i="1730"/>
  <c r="AB6" i="1730"/>
  <c r="Q6" i="1730"/>
  <c r="P6" i="1730"/>
  <c r="AC6" i="1730" s="1"/>
  <c r="O6" i="1730"/>
  <c r="M6" i="1730"/>
  <c r="AD21" i="1730" l="1"/>
  <c r="M11" i="1730"/>
  <c r="AF65" i="1730"/>
  <c r="O13" i="1730"/>
  <c r="AD13" i="1730" s="1"/>
  <c r="AD20" i="1730"/>
  <c r="P11" i="1730"/>
  <c r="AC11" i="1730" s="1"/>
  <c r="AD15" i="1730"/>
  <c r="AD18" i="1730"/>
  <c r="AD12" i="1730"/>
  <c r="AD9" i="1730"/>
  <c r="Q24" i="1730"/>
  <c r="AD11" i="1730"/>
  <c r="AD16" i="1730"/>
  <c r="AD23" i="1730"/>
  <c r="AE6" i="1730" s="1"/>
  <c r="AD10" i="1730"/>
  <c r="AD6" i="1730"/>
  <c r="P7" i="1730"/>
  <c r="AC7" i="1730" s="1"/>
  <c r="O19" i="1730"/>
  <c r="L24" i="1730"/>
  <c r="O24" i="1730" s="1"/>
  <c r="AB8" i="1730"/>
  <c r="AD8" i="1730" s="1"/>
  <c r="M14" i="1730"/>
  <c r="AB14" i="1730"/>
  <c r="M17" i="1730"/>
  <c r="AB17" i="1730"/>
  <c r="AD17" i="1730" s="1"/>
  <c r="P19" i="1730"/>
  <c r="AC19" i="1730" s="1"/>
  <c r="M22" i="1730"/>
  <c r="AB22" i="1730"/>
  <c r="AD22" i="1730" s="1"/>
  <c r="M8" i="1730"/>
  <c r="M7" i="1730"/>
  <c r="AB7" i="1730"/>
  <c r="O8" i="1730"/>
  <c r="O14" i="1730"/>
  <c r="K24" i="1730"/>
  <c r="M10" i="1730"/>
  <c r="M19" i="1730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22" i="1729"/>
  <c r="L21" i="1729"/>
  <c r="L20" i="1729"/>
  <c r="K20" i="1729" s="1"/>
  <c r="L19" i="1729"/>
  <c r="K19" i="1729" s="1"/>
  <c r="L18" i="1729"/>
  <c r="K18" i="1729"/>
  <c r="L17" i="1729"/>
  <c r="L16" i="1729"/>
  <c r="K16" i="1729"/>
  <c r="K13" i="1729"/>
  <c r="AF13" i="1729"/>
  <c r="Q13" i="1729"/>
  <c r="P13" i="1729" s="1"/>
  <c r="AC13" i="1729" s="1"/>
  <c r="O13" i="1729"/>
  <c r="AB13" i="1729"/>
  <c r="L14" i="1729"/>
  <c r="L12" i="1729"/>
  <c r="L10" i="1729"/>
  <c r="K10" i="1729" s="1"/>
  <c r="L9" i="1729"/>
  <c r="L8" i="1729"/>
  <c r="O8" i="1729" s="1"/>
  <c r="L7" i="1729"/>
  <c r="K7" i="1729" s="1"/>
  <c r="K22" i="1729"/>
  <c r="K21" i="1729"/>
  <c r="K17" i="1729"/>
  <c r="K14" i="1729"/>
  <c r="K12" i="1729"/>
  <c r="K11" i="1729"/>
  <c r="K9" i="1729"/>
  <c r="K8" i="1729"/>
  <c r="K6" i="1729"/>
  <c r="A78" i="1729"/>
  <c r="A79" i="1729" s="1"/>
  <c r="A80" i="1729" s="1"/>
  <c r="A81" i="1729" s="1"/>
  <c r="A82" i="1729" s="1"/>
  <c r="A83" i="1729" s="1"/>
  <c r="AF64" i="1729"/>
  <c r="AF62" i="1729"/>
  <c r="AF61" i="1729"/>
  <c r="AA23" i="1729"/>
  <c r="Z23" i="1729"/>
  <c r="Y23" i="1729"/>
  <c r="X23" i="1729"/>
  <c r="W23" i="1729"/>
  <c r="V23" i="1729"/>
  <c r="U23" i="1729"/>
  <c r="T23" i="1729"/>
  <c r="S23" i="1729"/>
  <c r="R23" i="1729"/>
  <c r="N23" i="1729"/>
  <c r="J23" i="1729"/>
  <c r="I23" i="1729"/>
  <c r="AF22" i="1729"/>
  <c r="Q22" i="1729"/>
  <c r="P22" i="1729"/>
  <c r="AC22" i="1729" s="1"/>
  <c r="O22" i="1729"/>
  <c r="AB22" i="1729"/>
  <c r="AF21" i="1729"/>
  <c r="AB21" i="1729"/>
  <c r="Q21" i="1729"/>
  <c r="P21" i="1729" s="1"/>
  <c r="AC21" i="1729" s="1"/>
  <c r="O21" i="1729"/>
  <c r="M21" i="1729"/>
  <c r="AF20" i="1729"/>
  <c r="Q20" i="1729"/>
  <c r="O20" i="1729"/>
  <c r="AF19" i="1729"/>
  <c r="Q19" i="1729"/>
  <c r="AF18" i="1729"/>
  <c r="Q18" i="1729"/>
  <c r="P18" i="1729" s="1"/>
  <c r="AC18" i="1729" s="1"/>
  <c r="O18" i="1729"/>
  <c r="AB18" i="1729"/>
  <c r="AF17" i="1729"/>
  <c r="AC17" i="1729"/>
  <c r="AB17" i="1729"/>
  <c r="Q17" i="1729"/>
  <c r="P17" i="1729"/>
  <c r="O17" i="1729"/>
  <c r="M17" i="1729"/>
  <c r="AF16" i="1729"/>
  <c r="AB16" i="1729"/>
  <c r="Q16" i="1729"/>
  <c r="P16" i="1729"/>
  <c r="AC16" i="1729" s="1"/>
  <c r="O16" i="1729"/>
  <c r="M16" i="1729"/>
  <c r="AF15" i="1729"/>
  <c r="AB15" i="1729"/>
  <c r="Q15" i="1729"/>
  <c r="P15" i="1729"/>
  <c r="AC15" i="1729" s="1"/>
  <c r="O15" i="1729"/>
  <c r="M15" i="1729"/>
  <c r="K15" i="1729"/>
  <c r="AF14" i="1729"/>
  <c r="AB14" i="1729"/>
  <c r="Q14" i="1729"/>
  <c r="P14" i="1729" s="1"/>
  <c r="AC14" i="1729" s="1"/>
  <c r="O14" i="1729"/>
  <c r="M14" i="1729"/>
  <c r="AF12" i="1729"/>
  <c r="Q12" i="1729"/>
  <c r="AB12" i="1729"/>
  <c r="AF11" i="1729"/>
  <c r="Q11" i="1729"/>
  <c r="P11" i="1729"/>
  <c r="AC11" i="1729" s="1"/>
  <c r="O11" i="1729"/>
  <c r="AF10" i="1729"/>
  <c r="Q10" i="1729"/>
  <c r="P10" i="1729" s="1"/>
  <c r="AC10" i="1729" s="1"/>
  <c r="O10" i="1729"/>
  <c r="AB10" i="1729"/>
  <c r="AF9" i="1729"/>
  <c r="AB9" i="1729"/>
  <c r="Q9" i="1729"/>
  <c r="P9" i="1729" s="1"/>
  <c r="AC9" i="1729" s="1"/>
  <c r="O9" i="1729"/>
  <c r="M9" i="1729"/>
  <c r="AF8" i="1729"/>
  <c r="Q8" i="1729"/>
  <c r="AF7" i="1729"/>
  <c r="AB7" i="1729"/>
  <c r="Q7" i="1729"/>
  <c r="P7" i="1729" s="1"/>
  <c r="AC7" i="1729" s="1"/>
  <c r="O7" i="1729"/>
  <c r="M7" i="1729"/>
  <c r="AF6" i="1729"/>
  <c r="AB6" i="1729"/>
  <c r="Q6" i="1729"/>
  <c r="P6" i="1729"/>
  <c r="AC6" i="1729" s="1"/>
  <c r="O6" i="1729"/>
  <c r="M6" i="1729"/>
  <c r="AD7" i="1730" l="1"/>
  <c r="M24" i="1730"/>
  <c r="AC24" i="1730"/>
  <c r="AB24" i="1730"/>
  <c r="AD14" i="1730"/>
  <c r="P24" i="1730"/>
  <c r="AD19" i="1730"/>
  <c r="P19" i="1729"/>
  <c r="AC19" i="1729" s="1"/>
  <c r="AB19" i="1729"/>
  <c r="AD13" i="1729"/>
  <c r="AD15" i="1729"/>
  <c r="AD16" i="1729"/>
  <c r="M13" i="1729"/>
  <c r="AD14" i="1729"/>
  <c r="AD9" i="1729"/>
  <c r="L23" i="1729"/>
  <c r="O23" i="1729" s="1"/>
  <c r="Q23" i="1729"/>
  <c r="AD17" i="1729"/>
  <c r="AD21" i="1729"/>
  <c r="AD6" i="1729"/>
  <c r="AD7" i="1729"/>
  <c r="AD10" i="1729"/>
  <c r="AD18" i="1729"/>
  <c r="AD22" i="1729"/>
  <c r="AE6" i="1729" s="1"/>
  <c r="M11" i="1729"/>
  <c r="AB11" i="1729"/>
  <c r="AD11" i="1729" s="1"/>
  <c r="O12" i="1729"/>
  <c r="K23" i="1729"/>
  <c r="P8" i="1729"/>
  <c r="AC8" i="1729" s="1"/>
  <c r="M10" i="1729"/>
  <c r="P12" i="1729"/>
  <c r="AC12" i="1729" s="1"/>
  <c r="AD12" i="1729" s="1"/>
  <c r="M18" i="1729"/>
  <c r="O19" i="1729"/>
  <c r="P20" i="1729"/>
  <c r="AC20" i="1729" s="1"/>
  <c r="M22" i="1729"/>
  <c r="AB8" i="1729"/>
  <c r="M12" i="1729"/>
  <c r="M20" i="1729"/>
  <c r="AB20" i="1729"/>
  <c r="M8" i="1729"/>
  <c r="M19" i="1729"/>
  <c r="AD22" i="1728"/>
  <c r="G19" i="16" s="1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1" i="1728"/>
  <c r="L20" i="1728"/>
  <c r="L19" i="1728"/>
  <c r="L18" i="1728"/>
  <c r="L17" i="1728"/>
  <c r="K17" i="1728" s="1"/>
  <c r="L16" i="1728"/>
  <c r="L13" i="1728"/>
  <c r="L12" i="1728"/>
  <c r="L11" i="1728"/>
  <c r="K11" i="1728"/>
  <c r="L10" i="1728"/>
  <c r="L9" i="1728"/>
  <c r="L8" i="1728"/>
  <c r="L6" i="1728"/>
  <c r="AD24" i="1730" l="1"/>
  <c r="AE21" i="1730" s="1"/>
  <c r="AD19" i="1729"/>
  <c r="AB23" i="1729"/>
  <c r="AD8" i="1729"/>
  <c r="M23" i="1729"/>
  <c r="AD20" i="1729"/>
  <c r="AD23" i="1729" s="1"/>
  <c r="AE13" i="1729" s="1"/>
  <c r="P23" i="1729"/>
  <c r="AC23" i="1729"/>
  <c r="K21" i="1728"/>
  <c r="K20" i="1728"/>
  <c r="K19" i="1728"/>
  <c r="K18" i="1728"/>
  <c r="K16" i="1728"/>
  <c r="K13" i="1728"/>
  <c r="K12" i="1728"/>
  <c r="K10" i="1728"/>
  <c r="K9" i="1728"/>
  <c r="K8" i="1728"/>
  <c r="K6" i="1728"/>
  <c r="A77" i="1728"/>
  <c r="A78" i="1728" s="1"/>
  <c r="A79" i="1728" s="1"/>
  <c r="A80" i="1728" s="1"/>
  <c r="A81" i="1728" s="1"/>
  <c r="A82" i="1728" s="1"/>
  <c r="AF63" i="1728"/>
  <c r="AF61" i="1728"/>
  <c r="AF60" i="1728"/>
  <c r="AA22" i="1728"/>
  <c r="Z22" i="1728"/>
  <c r="Y22" i="1728"/>
  <c r="X22" i="1728"/>
  <c r="W22" i="1728"/>
  <c r="V22" i="1728"/>
  <c r="U22" i="1728"/>
  <c r="T22" i="1728"/>
  <c r="S22" i="1728"/>
  <c r="R22" i="1728"/>
  <c r="N22" i="1728"/>
  <c r="J22" i="1728"/>
  <c r="AF21" i="1728"/>
  <c r="Q21" i="1728"/>
  <c r="P21" i="1728"/>
  <c r="AC21" i="1728" s="1"/>
  <c r="O21" i="1728"/>
  <c r="AB21" i="1728"/>
  <c r="AF20" i="1728"/>
  <c r="AB20" i="1728"/>
  <c r="Q20" i="1728"/>
  <c r="P20" i="1728" s="1"/>
  <c r="AC20" i="1728" s="1"/>
  <c r="O20" i="1728"/>
  <c r="M20" i="1728"/>
  <c r="AF19" i="1728"/>
  <c r="AB19" i="1728"/>
  <c r="Q19" i="1728"/>
  <c r="M19" i="1728"/>
  <c r="O19" i="1728"/>
  <c r="AF18" i="1728"/>
  <c r="Q18" i="1728"/>
  <c r="AB18" i="1728"/>
  <c r="AF17" i="1728"/>
  <c r="AB17" i="1728"/>
  <c r="Q17" i="1728"/>
  <c r="P17" i="1728" s="1"/>
  <c r="AC17" i="1728" s="1"/>
  <c r="O17" i="1728"/>
  <c r="M17" i="1728"/>
  <c r="AF16" i="1728"/>
  <c r="Q16" i="1728"/>
  <c r="M16" i="1728"/>
  <c r="O16" i="1728"/>
  <c r="AF15" i="1728"/>
  <c r="AB15" i="1728"/>
  <c r="Q15" i="1728"/>
  <c r="P15" i="1728"/>
  <c r="AC15" i="1728" s="1"/>
  <c r="O15" i="1728"/>
  <c r="M15" i="1728"/>
  <c r="K15" i="1728"/>
  <c r="I15" i="1728"/>
  <c r="I22" i="1728" s="1"/>
  <c r="AF14" i="1728"/>
  <c r="AB14" i="1728"/>
  <c r="Q14" i="1728"/>
  <c r="P14" i="1728"/>
  <c r="AC14" i="1728" s="1"/>
  <c r="O14" i="1728"/>
  <c r="M14" i="1728"/>
  <c r="K14" i="1728"/>
  <c r="AF13" i="1728"/>
  <c r="Q13" i="1728"/>
  <c r="M13" i="1728"/>
  <c r="O13" i="1728"/>
  <c r="AF12" i="1728"/>
  <c r="Q12" i="1728"/>
  <c r="AB12" i="1728"/>
  <c r="AF11" i="1728"/>
  <c r="AB11" i="1728"/>
  <c r="Q11" i="1728"/>
  <c r="P11" i="1728" s="1"/>
  <c r="AC11" i="1728" s="1"/>
  <c r="O11" i="1728"/>
  <c r="M11" i="1728"/>
  <c r="AF10" i="1728"/>
  <c r="AB10" i="1728"/>
  <c r="Q10" i="1728"/>
  <c r="O10" i="1728"/>
  <c r="M10" i="1728"/>
  <c r="P10" i="1728"/>
  <c r="AC10" i="1728" s="1"/>
  <c r="AF9" i="1728"/>
  <c r="Q9" i="1728"/>
  <c r="O9" i="1728"/>
  <c r="AF8" i="1728"/>
  <c r="Q8" i="1728"/>
  <c r="P8" i="1728"/>
  <c r="AC8" i="1728" s="1"/>
  <c r="AB8" i="1728"/>
  <c r="AF7" i="1728"/>
  <c r="AB7" i="1728"/>
  <c r="Q7" i="1728"/>
  <c r="P7" i="1728"/>
  <c r="AC7" i="1728" s="1"/>
  <c r="AD7" i="1728" s="1"/>
  <c r="O7" i="1728"/>
  <c r="M7" i="1728"/>
  <c r="K7" i="1728"/>
  <c r="AF6" i="1728"/>
  <c r="Q6" i="1728"/>
  <c r="Q22" i="1728" s="1"/>
  <c r="O6" i="1728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1" i="1727"/>
  <c r="L20" i="1727"/>
  <c r="L19" i="1727"/>
  <c r="L18" i="1727"/>
  <c r="L16" i="1727"/>
  <c r="L13" i="1727"/>
  <c r="L12" i="1727"/>
  <c r="L11" i="1727"/>
  <c r="O11" i="1727" s="1"/>
  <c r="L10" i="1727"/>
  <c r="L9" i="1727"/>
  <c r="L8" i="1727"/>
  <c r="K8" i="1727"/>
  <c r="L6" i="1727"/>
  <c r="K6" i="1727" s="1"/>
  <c r="K21" i="1727"/>
  <c r="K20" i="1727"/>
  <c r="K19" i="1727"/>
  <c r="K18" i="1727"/>
  <c r="K16" i="1727"/>
  <c r="K13" i="1727"/>
  <c r="K11" i="1727"/>
  <c r="K10" i="1727"/>
  <c r="K9" i="1727"/>
  <c r="A77" i="1727"/>
  <c r="A78" i="1727" s="1"/>
  <c r="A79" i="1727" s="1"/>
  <c r="A80" i="1727" s="1"/>
  <c r="A81" i="1727" s="1"/>
  <c r="A82" i="1727" s="1"/>
  <c r="AF63" i="1727"/>
  <c r="AF61" i="1727"/>
  <c r="AF60" i="1727"/>
  <c r="AA22" i="1727"/>
  <c r="Z22" i="1727"/>
  <c r="Y22" i="1727"/>
  <c r="X22" i="1727"/>
  <c r="W22" i="1727"/>
  <c r="V22" i="1727"/>
  <c r="U22" i="1727"/>
  <c r="T22" i="1727"/>
  <c r="S22" i="1727"/>
  <c r="R22" i="1727"/>
  <c r="N22" i="1727"/>
  <c r="J22" i="1727"/>
  <c r="AF21" i="1727"/>
  <c r="Q21" i="1727"/>
  <c r="P21" i="1727" s="1"/>
  <c r="AC21" i="1727" s="1"/>
  <c r="O21" i="1727"/>
  <c r="AB21" i="1727"/>
  <c r="AF20" i="1727"/>
  <c r="AB20" i="1727"/>
  <c r="Q20" i="1727"/>
  <c r="P20" i="1727"/>
  <c r="AC20" i="1727" s="1"/>
  <c r="O20" i="1727"/>
  <c r="M20" i="1727"/>
  <c r="AF19" i="1727"/>
  <c r="AB19" i="1727"/>
  <c r="Q19" i="1727"/>
  <c r="P19" i="1727" s="1"/>
  <c r="AC19" i="1727" s="1"/>
  <c r="O19" i="1727"/>
  <c r="M19" i="1727"/>
  <c r="AF18" i="1727"/>
  <c r="Q18" i="1727"/>
  <c r="P18" i="1727"/>
  <c r="AC18" i="1727" s="1"/>
  <c r="O18" i="1727"/>
  <c r="AB18" i="1727"/>
  <c r="AF17" i="1727"/>
  <c r="AB17" i="1727"/>
  <c r="Q17" i="1727"/>
  <c r="P17" i="1727"/>
  <c r="AC17" i="1727" s="1"/>
  <c r="O17" i="1727"/>
  <c r="M17" i="1727"/>
  <c r="K17" i="1727"/>
  <c r="AF16" i="1727"/>
  <c r="AB16" i="1727"/>
  <c r="Q16" i="1727"/>
  <c r="P16" i="1727"/>
  <c r="AC16" i="1727" s="1"/>
  <c r="O16" i="1727"/>
  <c r="M16" i="1727"/>
  <c r="AF15" i="1727"/>
  <c r="AB15" i="1727"/>
  <c r="Q15" i="1727"/>
  <c r="P15" i="1727"/>
  <c r="AC15" i="1727" s="1"/>
  <c r="O15" i="1727"/>
  <c r="M15" i="1727"/>
  <c r="K15" i="1727"/>
  <c r="I15" i="1727"/>
  <c r="I22" i="1727" s="1"/>
  <c r="AF14" i="1727"/>
  <c r="AB14" i="1727"/>
  <c r="Q14" i="1727"/>
  <c r="P14" i="1727"/>
  <c r="AC14" i="1727" s="1"/>
  <c r="O14" i="1727"/>
  <c r="M14" i="1727"/>
  <c r="K14" i="1727"/>
  <c r="AF13" i="1727"/>
  <c r="AB13" i="1727"/>
  <c r="Q13" i="1727"/>
  <c r="P13" i="1727" s="1"/>
  <c r="AC13" i="1727" s="1"/>
  <c r="O13" i="1727"/>
  <c r="M13" i="1727"/>
  <c r="AF12" i="1727"/>
  <c r="AB12" i="1727"/>
  <c r="Q12" i="1727"/>
  <c r="P12" i="1727" s="1"/>
  <c r="AC12" i="1727" s="1"/>
  <c r="O12" i="1727"/>
  <c r="M12" i="1727"/>
  <c r="K12" i="1727"/>
  <c r="AF11" i="1727"/>
  <c r="Q11" i="1727"/>
  <c r="P11" i="1727"/>
  <c r="AC11" i="1727" s="1"/>
  <c r="AB11" i="1727"/>
  <c r="AF10" i="1727"/>
  <c r="AB10" i="1727"/>
  <c r="Q10" i="1727"/>
  <c r="P10" i="1727" s="1"/>
  <c r="AC10" i="1727" s="1"/>
  <c r="O10" i="1727"/>
  <c r="M10" i="1727"/>
  <c r="AF9" i="1727"/>
  <c r="Q9" i="1727"/>
  <c r="M9" i="1727"/>
  <c r="AF8" i="1727"/>
  <c r="Q8" i="1727"/>
  <c r="P8" i="1727" s="1"/>
  <c r="AC8" i="1727" s="1"/>
  <c r="M8" i="1727"/>
  <c r="AF7" i="1727"/>
  <c r="AB7" i="1727"/>
  <c r="Q7" i="1727"/>
  <c r="P7" i="1727"/>
  <c r="AC7" i="1727" s="1"/>
  <c r="AD7" i="1727" s="1"/>
  <c r="O7" i="1727"/>
  <c r="M7" i="1727"/>
  <c r="K7" i="1727"/>
  <c r="AF6" i="1727"/>
  <c r="AB6" i="1727"/>
  <c r="Q6" i="1727"/>
  <c r="P6" i="1727" s="1"/>
  <c r="AC6" i="1727" s="1"/>
  <c r="O6" i="1727"/>
  <c r="M6" i="1727"/>
  <c r="AE23" i="1730" l="1"/>
  <c r="AE13" i="1730"/>
  <c r="AE17" i="1730"/>
  <c r="AE20" i="1730"/>
  <c r="AE8" i="1730"/>
  <c r="AE22" i="1730"/>
  <c r="AE10" i="1730"/>
  <c r="AE12" i="1730"/>
  <c r="AE14" i="1730"/>
  <c r="AE16" i="1730"/>
  <c r="AE19" i="1730"/>
  <c r="AE9" i="1730"/>
  <c r="AE11" i="1730"/>
  <c r="AE15" i="1730"/>
  <c r="AE18" i="1730"/>
  <c r="AE7" i="1730"/>
  <c r="AE22" i="1729"/>
  <c r="AE18" i="1729"/>
  <c r="AE12" i="1729"/>
  <c r="AE8" i="1729"/>
  <c r="AE19" i="1729"/>
  <c r="AE15" i="1729"/>
  <c r="AE11" i="1729"/>
  <c r="AE16" i="1729"/>
  <c r="AE21" i="1729"/>
  <c r="AE17" i="1729"/>
  <c r="AE14" i="1729"/>
  <c r="AE9" i="1729"/>
  <c r="AE10" i="1729"/>
  <c r="AE7" i="1729"/>
  <c r="AE20" i="1729"/>
  <c r="AD20" i="1728"/>
  <c r="AD17" i="1728"/>
  <c r="AD14" i="1728"/>
  <c r="AD15" i="1728"/>
  <c r="AD21" i="1728"/>
  <c r="AE6" i="1728" s="1"/>
  <c r="AD10" i="1728"/>
  <c r="AD11" i="1728"/>
  <c r="M6" i="1728"/>
  <c r="P6" i="1728"/>
  <c r="O8" i="1728"/>
  <c r="AD8" i="1728" s="1"/>
  <c r="P9" i="1728"/>
  <c r="AC9" i="1728" s="1"/>
  <c r="O12" i="1728"/>
  <c r="P13" i="1728"/>
  <c r="AC13" i="1728" s="1"/>
  <c r="P16" i="1728"/>
  <c r="AC16" i="1728" s="1"/>
  <c r="O18" i="1728"/>
  <c r="P19" i="1728"/>
  <c r="AC19" i="1728" s="1"/>
  <c r="AD19" i="1728" s="1"/>
  <c r="M21" i="1728"/>
  <c r="L22" i="1728"/>
  <c r="O22" i="1728" s="1"/>
  <c r="P12" i="1728"/>
  <c r="AC12" i="1728" s="1"/>
  <c r="P18" i="1728"/>
  <c r="AC18" i="1728" s="1"/>
  <c r="AD18" i="1728" s="1"/>
  <c r="AB6" i="1728"/>
  <c r="AB9" i="1728"/>
  <c r="AB13" i="1728"/>
  <c r="AB16" i="1728"/>
  <c r="M9" i="1728"/>
  <c r="M8" i="1728"/>
  <c r="M12" i="1728"/>
  <c r="M18" i="1728"/>
  <c r="AD18" i="1727"/>
  <c r="AD15" i="1727"/>
  <c r="AD14" i="1727"/>
  <c r="AD16" i="1727"/>
  <c r="AD13" i="1727"/>
  <c r="AD10" i="1727"/>
  <c r="Q22" i="1727"/>
  <c r="AD12" i="1727"/>
  <c r="AD19" i="1727"/>
  <c r="AD20" i="1727"/>
  <c r="AD17" i="1727"/>
  <c r="AD21" i="1727"/>
  <c r="AE6" i="1727" s="1"/>
  <c r="AD11" i="1727"/>
  <c r="AB9" i="1727"/>
  <c r="AB8" i="1727"/>
  <c r="O9" i="1727"/>
  <c r="AD6" i="1727"/>
  <c r="O8" i="1727"/>
  <c r="K22" i="1727"/>
  <c r="P9" i="1727"/>
  <c r="AC9" i="1727" s="1"/>
  <c r="AC22" i="1727" s="1"/>
  <c r="M11" i="1727"/>
  <c r="M18" i="1727"/>
  <c r="M21" i="1727"/>
  <c r="L22" i="1727"/>
  <c r="O22" i="1727" s="1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2" i="1726"/>
  <c r="K22" i="1726" s="1"/>
  <c r="L21" i="1726"/>
  <c r="O21" i="1726" s="1"/>
  <c r="L19" i="1726"/>
  <c r="K19" i="1726" s="1"/>
  <c r="AF19" i="1726"/>
  <c r="Q19" i="1726"/>
  <c r="K18" i="1726"/>
  <c r="L16" i="1726"/>
  <c r="K16" i="1726"/>
  <c r="L13" i="1726"/>
  <c r="L11" i="1726"/>
  <c r="L10" i="1726"/>
  <c r="K10" i="1726" s="1"/>
  <c r="L9" i="1726"/>
  <c r="L8" i="1726"/>
  <c r="M8" i="1726" s="1"/>
  <c r="K20" i="1726"/>
  <c r="K14" i="1726"/>
  <c r="K13" i="1726"/>
  <c r="K12" i="1726"/>
  <c r="K11" i="1726"/>
  <c r="K9" i="1726"/>
  <c r="K6" i="1726"/>
  <c r="A79" i="1726"/>
  <c r="A80" i="1726" s="1"/>
  <c r="A81" i="1726" s="1"/>
  <c r="A82" i="1726" s="1"/>
  <c r="A83" i="1726" s="1"/>
  <c r="A78" i="1726"/>
  <c r="AF62" i="1726"/>
  <c r="AF61" i="1726"/>
  <c r="AF64" i="1726" s="1"/>
  <c r="AA23" i="1726"/>
  <c r="Z23" i="1726"/>
  <c r="Y23" i="1726"/>
  <c r="X23" i="1726"/>
  <c r="W23" i="1726"/>
  <c r="V23" i="1726"/>
  <c r="U23" i="1726"/>
  <c r="T23" i="1726"/>
  <c r="S23" i="1726"/>
  <c r="R23" i="1726"/>
  <c r="N23" i="1726"/>
  <c r="J23" i="1726"/>
  <c r="AF22" i="1726"/>
  <c r="Q22" i="1726"/>
  <c r="P22" i="1726" s="1"/>
  <c r="AC22" i="1726" s="1"/>
  <c r="O22" i="1726"/>
  <c r="M22" i="1726"/>
  <c r="AF21" i="1726"/>
  <c r="Q21" i="1726"/>
  <c r="AF20" i="1726"/>
  <c r="AB20" i="1726"/>
  <c r="Q20" i="1726"/>
  <c r="P20" i="1726" s="1"/>
  <c r="AC20" i="1726" s="1"/>
  <c r="O20" i="1726"/>
  <c r="M20" i="1726"/>
  <c r="AF18" i="1726"/>
  <c r="AB18" i="1726"/>
  <c r="Q18" i="1726"/>
  <c r="P18" i="1726" s="1"/>
  <c r="AC18" i="1726" s="1"/>
  <c r="O18" i="1726"/>
  <c r="M18" i="1726"/>
  <c r="AF17" i="1726"/>
  <c r="AB17" i="1726"/>
  <c r="Q17" i="1726"/>
  <c r="P17" i="1726"/>
  <c r="AC17" i="1726" s="1"/>
  <c r="O17" i="1726"/>
  <c r="M17" i="1726"/>
  <c r="K17" i="1726"/>
  <c r="AF16" i="1726"/>
  <c r="AB16" i="1726"/>
  <c r="Q16" i="1726"/>
  <c r="P16" i="1726" s="1"/>
  <c r="AC16" i="1726" s="1"/>
  <c r="O16" i="1726"/>
  <c r="M16" i="1726"/>
  <c r="AF15" i="1726"/>
  <c r="AB15" i="1726"/>
  <c r="Q15" i="1726"/>
  <c r="P15" i="1726"/>
  <c r="AC15" i="1726" s="1"/>
  <c r="O15" i="1726"/>
  <c r="M15" i="1726"/>
  <c r="K15" i="1726"/>
  <c r="I15" i="1726"/>
  <c r="I23" i="1726" s="1"/>
  <c r="AF14" i="1726"/>
  <c r="AB14" i="1726"/>
  <c r="Q14" i="1726"/>
  <c r="P14" i="1726" s="1"/>
  <c r="AC14" i="1726" s="1"/>
  <c r="O14" i="1726"/>
  <c r="M14" i="1726"/>
  <c r="AF13" i="1726"/>
  <c r="AB13" i="1726"/>
  <c r="Q13" i="1726"/>
  <c r="P13" i="1726" s="1"/>
  <c r="AC13" i="1726" s="1"/>
  <c r="O13" i="1726"/>
  <c r="M13" i="1726"/>
  <c r="AF12" i="1726"/>
  <c r="AB12" i="1726"/>
  <c r="Q12" i="1726"/>
  <c r="O12" i="1726"/>
  <c r="M12" i="1726"/>
  <c r="P12" i="1726"/>
  <c r="AC12" i="1726" s="1"/>
  <c r="AD12" i="1726" s="1"/>
  <c r="AF11" i="1726"/>
  <c r="AB11" i="1726"/>
  <c r="Q11" i="1726"/>
  <c r="M11" i="1726"/>
  <c r="O11" i="1726"/>
  <c r="AF10" i="1726"/>
  <c r="Q10" i="1726"/>
  <c r="AF9" i="1726"/>
  <c r="Q9" i="1726"/>
  <c r="P9" i="1726" s="1"/>
  <c r="AC9" i="1726" s="1"/>
  <c r="O9" i="1726"/>
  <c r="M9" i="1726"/>
  <c r="AB9" i="1726"/>
  <c r="AF8" i="1726"/>
  <c r="Q8" i="1726"/>
  <c r="O8" i="1726"/>
  <c r="AF7" i="1726"/>
  <c r="AB7" i="1726"/>
  <c r="Q7" i="1726"/>
  <c r="P7" i="1726"/>
  <c r="AC7" i="1726" s="1"/>
  <c r="O7" i="1726"/>
  <c r="M7" i="1726"/>
  <c r="K7" i="1726"/>
  <c r="AF6" i="1726"/>
  <c r="AB6" i="1726"/>
  <c r="Q6" i="1726"/>
  <c r="P6" i="1726"/>
  <c r="AC6" i="1726" s="1"/>
  <c r="O6" i="1726"/>
  <c r="M6" i="1726"/>
  <c r="AD16" i="1728" l="1"/>
  <c r="K22" i="1728"/>
  <c r="AC6" i="1728"/>
  <c r="P22" i="1728"/>
  <c r="AD12" i="1728"/>
  <c r="AD13" i="1728"/>
  <c r="M22" i="1728"/>
  <c r="AD9" i="1728"/>
  <c r="AB22" i="1728"/>
  <c r="M22" i="1727"/>
  <c r="AB22" i="1727"/>
  <c r="P22" i="1727"/>
  <c r="AD8" i="1727"/>
  <c r="AD9" i="1727"/>
  <c r="AB22" i="1726"/>
  <c r="K21" i="1726"/>
  <c r="M21" i="1726"/>
  <c r="AB21" i="1726"/>
  <c r="P21" i="1726"/>
  <c r="AC21" i="1726" s="1"/>
  <c r="AD21" i="1726" s="1"/>
  <c r="AB19" i="1726"/>
  <c r="P19" i="1726"/>
  <c r="AC19" i="1726" s="1"/>
  <c r="M19" i="1726"/>
  <c r="O19" i="1726"/>
  <c r="AD20" i="1726"/>
  <c r="AD22" i="1726"/>
  <c r="AE6" i="1726" s="1"/>
  <c r="AD15" i="1726"/>
  <c r="AD17" i="1726"/>
  <c r="AD18" i="1726"/>
  <c r="AB10" i="1726"/>
  <c r="Q23" i="1726"/>
  <c r="K8" i="1726"/>
  <c r="P8" i="1726"/>
  <c r="AC8" i="1726" s="1"/>
  <c r="AB8" i="1726"/>
  <c r="AD7" i="1726"/>
  <c r="AD13" i="1726"/>
  <c r="AD16" i="1726"/>
  <c r="AD9" i="1726"/>
  <c r="AD14" i="1726"/>
  <c r="AD6" i="1726"/>
  <c r="O10" i="1726"/>
  <c r="P11" i="1726"/>
  <c r="AC11" i="1726" s="1"/>
  <c r="AD11" i="1726" s="1"/>
  <c r="L23" i="1726"/>
  <c r="O23" i="1726" s="1"/>
  <c r="K23" i="1726"/>
  <c r="P10" i="1726"/>
  <c r="AC10" i="1726" s="1"/>
  <c r="M10" i="1726"/>
  <c r="M23" i="1726" s="1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19" i="1725"/>
  <c r="L18" i="1725"/>
  <c r="L16" i="1725"/>
  <c r="L13" i="1725"/>
  <c r="L12" i="1725"/>
  <c r="L11" i="1725"/>
  <c r="L10" i="1725"/>
  <c r="L9" i="1725"/>
  <c r="K9" i="1725" s="1"/>
  <c r="AC22" i="1728" l="1"/>
  <c r="AD6" i="1728"/>
  <c r="AD22" i="1727"/>
  <c r="AE21" i="1727" s="1"/>
  <c r="AB23" i="1726"/>
  <c r="AD19" i="1726"/>
  <c r="AD8" i="1726"/>
  <c r="P23" i="1726"/>
  <c r="AD10" i="1726"/>
  <c r="AC23" i="1726"/>
  <c r="L8" i="1725"/>
  <c r="AE21" i="1728" l="1"/>
  <c r="AE17" i="1728"/>
  <c r="AE14" i="1728"/>
  <c r="AE11" i="1728"/>
  <c r="AE7" i="1728"/>
  <c r="AE12" i="1728"/>
  <c r="AE18" i="1728"/>
  <c r="AE15" i="1728"/>
  <c r="AE19" i="1728"/>
  <c r="AE16" i="1728"/>
  <c r="AE13" i="1728"/>
  <c r="AE9" i="1728"/>
  <c r="AE20" i="1728"/>
  <c r="AE10" i="1728"/>
  <c r="AE8" i="1728"/>
  <c r="AE7" i="1727"/>
  <c r="AE11" i="1727"/>
  <c r="AE20" i="1727"/>
  <c r="AE10" i="1727"/>
  <c r="AE15" i="1727"/>
  <c r="AE16" i="1727"/>
  <c r="AE19" i="1727"/>
  <c r="AE14" i="1727"/>
  <c r="AE13" i="1727"/>
  <c r="AE12" i="1727"/>
  <c r="AE17" i="1727"/>
  <c r="AE9" i="1727"/>
  <c r="AE8" i="1727"/>
  <c r="AE18" i="1727"/>
  <c r="AD23" i="1726"/>
  <c r="K21" i="1725"/>
  <c r="K20" i="1725"/>
  <c r="K19" i="1725"/>
  <c r="K18" i="1725"/>
  <c r="K16" i="1725"/>
  <c r="K13" i="1725"/>
  <c r="K12" i="1725"/>
  <c r="K11" i="1725"/>
  <c r="K10" i="1725"/>
  <c r="K8" i="1725"/>
  <c r="K6" i="1725"/>
  <c r="A77" i="1725"/>
  <c r="A78" i="1725" s="1"/>
  <c r="A79" i="1725" s="1"/>
  <c r="A80" i="1725" s="1"/>
  <c r="A81" i="1725" s="1"/>
  <c r="A82" i="1725" s="1"/>
  <c r="AF61" i="1725"/>
  <c r="AF60" i="1725"/>
  <c r="AF63" i="1725" s="1"/>
  <c r="AA22" i="1725"/>
  <c r="Z22" i="1725"/>
  <c r="Y22" i="1725"/>
  <c r="X22" i="1725"/>
  <c r="W22" i="1725"/>
  <c r="V22" i="1725"/>
  <c r="U22" i="1725"/>
  <c r="T22" i="1725"/>
  <c r="S22" i="1725"/>
  <c r="R22" i="1725"/>
  <c r="N22" i="1725"/>
  <c r="J22" i="1725"/>
  <c r="AF21" i="1725"/>
  <c r="Q21" i="1725"/>
  <c r="P21" i="1725"/>
  <c r="AC21" i="1725" s="1"/>
  <c r="O21" i="1725"/>
  <c r="AB21" i="1725"/>
  <c r="AF20" i="1725"/>
  <c r="AB20" i="1725"/>
  <c r="Q20" i="1725"/>
  <c r="P20" i="1725"/>
  <c r="AC20" i="1725" s="1"/>
  <c r="O20" i="1725"/>
  <c r="M20" i="1725"/>
  <c r="AF19" i="1725"/>
  <c r="Q19" i="1725"/>
  <c r="AB19" i="1725"/>
  <c r="AF18" i="1725"/>
  <c r="Q18" i="1725"/>
  <c r="P18" i="1725"/>
  <c r="AC18" i="1725" s="1"/>
  <c r="O18" i="1725"/>
  <c r="AF17" i="1725"/>
  <c r="AB17" i="1725"/>
  <c r="Q17" i="1725"/>
  <c r="P17" i="1725"/>
  <c r="AC17" i="1725" s="1"/>
  <c r="AD17" i="1725" s="1"/>
  <c r="O17" i="1725"/>
  <c r="M17" i="1725"/>
  <c r="K17" i="1725"/>
  <c r="AF16" i="1725"/>
  <c r="Q16" i="1725"/>
  <c r="P16" i="1725"/>
  <c r="AC16" i="1725" s="1"/>
  <c r="O16" i="1725"/>
  <c r="AF15" i="1725"/>
  <c r="AB15" i="1725"/>
  <c r="Q15" i="1725"/>
  <c r="P15" i="1725"/>
  <c r="AC15" i="1725" s="1"/>
  <c r="O15" i="1725"/>
  <c r="M15" i="1725"/>
  <c r="K15" i="1725"/>
  <c r="I15" i="1725"/>
  <c r="I22" i="1725" s="1"/>
  <c r="AF14" i="1725"/>
  <c r="AB14" i="1725"/>
  <c r="Q14" i="1725"/>
  <c r="P14" i="1725" s="1"/>
  <c r="AC14" i="1725" s="1"/>
  <c r="O14" i="1725"/>
  <c r="M14" i="1725"/>
  <c r="K14" i="1725"/>
  <c r="AF13" i="1725"/>
  <c r="Q13" i="1725"/>
  <c r="P13" i="1725" s="1"/>
  <c r="AC13" i="1725" s="1"/>
  <c r="O13" i="1725"/>
  <c r="AF12" i="1725"/>
  <c r="Q12" i="1725"/>
  <c r="P12" i="1725" s="1"/>
  <c r="AC12" i="1725" s="1"/>
  <c r="AF11" i="1725"/>
  <c r="Q11" i="1725"/>
  <c r="P11" i="1725" s="1"/>
  <c r="AC11" i="1725" s="1"/>
  <c r="M11" i="1725"/>
  <c r="AF10" i="1725"/>
  <c r="Q10" i="1725"/>
  <c r="P10" i="1725" s="1"/>
  <c r="AC10" i="1725" s="1"/>
  <c r="O10" i="1725"/>
  <c r="AB10" i="1725"/>
  <c r="AF9" i="1725"/>
  <c r="AB9" i="1725"/>
  <c r="Q9" i="1725"/>
  <c r="P9" i="1725" s="1"/>
  <c r="AC9" i="1725" s="1"/>
  <c r="O9" i="1725"/>
  <c r="M9" i="1725"/>
  <c r="AF8" i="1725"/>
  <c r="Q8" i="1725"/>
  <c r="AB8" i="1725"/>
  <c r="AF7" i="1725"/>
  <c r="AB7" i="1725"/>
  <c r="Q7" i="1725"/>
  <c r="P7" i="1725"/>
  <c r="AC7" i="1725" s="1"/>
  <c r="O7" i="1725"/>
  <c r="M7" i="1725"/>
  <c r="K7" i="1725"/>
  <c r="AF6" i="1725"/>
  <c r="AB6" i="1725"/>
  <c r="Q6" i="1725"/>
  <c r="P6" i="1725"/>
  <c r="AC6" i="1725" s="1"/>
  <c r="O6" i="1725"/>
  <c r="M6" i="1725"/>
  <c r="L22" i="1725"/>
  <c r="O22" i="1725" s="1"/>
  <c r="B19" i="16"/>
  <c r="B18" i="16"/>
  <c r="B17" i="16"/>
  <c r="B16" i="16"/>
  <c r="B15" i="16"/>
  <c r="B14" i="16"/>
  <c r="B13" i="16"/>
  <c r="B12" i="16"/>
  <c r="AG12" i="16" s="1"/>
  <c r="B11" i="16"/>
  <c r="B10" i="16"/>
  <c r="AG13" i="16"/>
  <c r="AG11" i="16"/>
  <c r="B9" i="16"/>
  <c r="AG9" i="16" s="1"/>
  <c r="B8" i="16"/>
  <c r="B7" i="16"/>
  <c r="AG7" i="16" s="1"/>
  <c r="B6" i="16"/>
  <c r="B5" i="16"/>
  <c r="AG5" i="16" s="1"/>
  <c r="B4" i="16"/>
  <c r="B3" i="16"/>
  <c r="AG3" i="16" s="1"/>
  <c r="AG19" i="16"/>
  <c r="AG18" i="16"/>
  <c r="AG17" i="16"/>
  <c r="AG16" i="16"/>
  <c r="AG15" i="16"/>
  <c r="AG14" i="16"/>
  <c r="AG10" i="16"/>
  <c r="AG8" i="16"/>
  <c r="AG6" i="16"/>
  <c r="AG4" i="16"/>
  <c r="L23" i="1724"/>
  <c r="K23" i="1724" s="1"/>
  <c r="L22" i="1724"/>
  <c r="L21" i="1724"/>
  <c r="L20" i="1724"/>
  <c r="K20" i="1724" s="1"/>
  <c r="AF20" i="1724"/>
  <c r="Q20" i="1724"/>
  <c r="P20" i="1724" s="1"/>
  <c r="AC20" i="1724" s="1"/>
  <c r="O20" i="1724"/>
  <c r="AB20" i="1724"/>
  <c r="L19" i="1724"/>
  <c r="K19" i="1724" s="1"/>
  <c r="L17" i="1724"/>
  <c r="L14" i="1724"/>
  <c r="K14" i="1724"/>
  <c r="AF14" i="1724"/>
  <c r="AB14" i="1724"/>
  <c r="Q14" i="1724"/>
  <c r="P14" i="1724" s="1"/>
  <c r="AC14" i="1724" s="1"/>
  <c r="O14" i="1724"/>
  <c r="M14" i="1724"/>
  <c r="L12" i="1724"/>
  <c r="K12" i="1724" s="1"/>
  <c r="L11" i="1724"/>
  <c r="K11" i="1724" s="1"/>
  <c r="L10" i="1724"/>
  <c r="K10" i="1724" s="1"/>
  <c r="L9" i="1724"/>
  <c r="L8" i="1724"/>
  <c r="K8" i="1724" s="1"/>
  <c r="L6" i="1724"/>
  <c r="K6" i="1724" s="1"/>
  <c r="K22" i="1724"/>
  <c r="K21" i="1724"/>
  <c r="K18" i="1724"/>
  <c r="K17" i="1724"/>
  <c r="K13" i="1724"/>
  <c r="K9" i="1724"/>
  <c r="K7" i="1724"/>
  <c r="AE20" i="1726" l="1"/>
  <c r="AE19" i="1726"/>
  <c r="AE18" i="1726"/>
  <c r="AE17" i="1726"/>
  <c r="AE10" i="1726"/>
  <c r="AE8" i="1726"/>
  <c r="AE11" i="1726"/>
  <c r="AE13" i="1726"/>
  <c r="AE9" i="1726"/>
  <c r="AE15" i="1726"/>
  <c r="AE14" i="1726"/>
  <c r="AE16" i="1726"/>
  <c r="AE22" i="1726"/>
  <c r="AE12" i="1726"/>
  <c r="AE7" i="1726"/>
  <c r="AE21" i="1726"/>
  <c r="AD14" i="1725"/>
  <c r="AD15" i="1725"/>
  <c r="AD20" i="1725"/>
  <c r="Q22" i="1725"/>
  <c r="AD9" i="1725"/>
  <c r="AD7" i="1725"/>
  <c r="AD10" i="1725"/>
  <c r="AD21" i="1725"/>
  <c r="AE6" i="1725" s="1"/>
  <c r="M8" i="1725"/>
  <c r="M12" i="1725"/>
  <c r="AB12" i="1725"/>
  <c r="M19" i="1725"/>
  <c r="AD6" i="1725"/>
  <c r="O8" i="1725"/>
  <c r="AB11" i="1725"/>
  <c r="AB22" i="1725" s="1"/>
  <c r="O12" i="1725"/>
  <c r="M13" i="1725"/>
  <c r="AB13" i="1725"/>
  <c r="AD13" i="1725" s="1"/>
  <c r="M16" i="1725"/>
  <c r="AB16" i="1725"/>
  <c r="AD16" i="1725" s="1"/>
  <c r="M18" i="1725"/>
  <c r="AB18" i="1725"/>
  <c r="AD18" i="1725" s="1"/>
  <c r="O19" i="1725"/>
  <c r="K22" i="1725"/>
  <c r="P8" i="1725"/>
  <c r="AC8" i="1725" s="1"/>
  <c r="M10" i="1725"/>
  <c r="O11" i="1725"/>
  <c r="P19" i="1725"/>
  <c r="AC19" i="1725" s="1"/>
  <c r="M21" i="1725"/>
  <c r="AD20" i="1724"/>
  <c r="M20" i="1724"/>
  <c r="AD14" i="1724"/>
  <c r="AB18" i="1724"/>
  <c r="K15" i="1724"/>
  <c r="AB13" i="1724"/>
  <c r="K16" i="1724"/>
  <c r="A79" i="1724"/>
  <c r="A80" i="1724" s="1"/>
  <c r="A81" i="1724" s="1"/>
  <c r="A82" i="1724" s="1"/>
  <c r="A83" i="1724" s="1"/>
  <c r="A84" i="1724" s="1"/>
  <c r="AF65" i="1724"/>
  <c r="AF63" i="1724"/>
  <c r="AF62" i="1724"/>
  <c r="AA24" i="1724"/>
  <c r="Z24" i="1724"/>
  <c r="Y24" i="1724"/>
  <c r="X24" i="1724"/>
  <c r="W24" i="1724"/>
  <c r="V24" i="1724"/>
  <c r="U24" i="1724"/>
  <c r="T24" i="1724"/>
  <c r="S24" i="1724"/>
  <c r="R24" i="1724"/>
  <c r="N24" i="1724"/>
  <c r="J24" i="1724"/>
  <c r="AF23" i="1724"/>
  <c r="Q23" i="1724"/>
  <c r="P23" i="1724" s="1"/>
  <c r="AC23" i="1724" s="1"/>
  <c r="O23" i="1724"/>
  <c r="AB23" i="1724"/>
  <c r="AF22" i="1724"/>
  <c r="AB22" i="1724"/>
  <c r="Q22" i="1724"/>
  <c r="P22" i="1724" s="1"/>
  <c r="AC22" i="1724" s="1"/>
  <c r="O22" i="1724"/>
  <c r="M22" i="1724"/>
  <c r="AF21" i="1724"/>
  <c r="Q21" i="1724"/>
  <c r="P21" i="1724"/>
  <c r="AC21" i="1724" s="1"/>
  <c r="AF19" i="1724"/>
  <c r="Q19" i="1724"/>
  <c r="AF18" i="1724"/>
  <c r="Q18" i="1724"/>
  <c r="P18" i="1724" s="1"/>
  <c r="AC18" i="1724" s="1"/>
  <c r="O18" i="1724"/>
  <c r="AF17" i="1724"/>
  <c r="AB17" i="1724"/>
  <c r="Q17" i="1724"/>
  <c r="P17" i="1724" s="1"/>
  <c r="AC17" i="1724" s="1"/>
  <c r="O17" i="1724"/>
  <c r="M17" i="1724"/>
  <c r="AF16" i="1724"/>
  <c r="Q16" i="1724"/>
  <c r="P16" i="1724"/>
  <c r="AC16" i="1724" s="1"/>
  <c r="O16" i="1724"/>
  <c r="AB16" i="1724"/>
  <c r="I16" i="1724"/>
  <c r="I24" i="1724" s="1"/>
  <c r="AF15" i="1724"/>
  <c r="AB15" i="1724"/>
  <c r="Q15" i="1724"/>
  <c r="P15" i="1724"/>
  <c r="AC15" i="1724" s="1"/>
  <c r="O15" i="1724"/>
  <c r="M15" i="1724"/>
  <c r="AF13" i="1724"/>
  <c r="Q13" i="1724"/>
  <c r="AF12" i="1724"/>
  <c r="Q12" i="1724"/>
  <c r="P12" i="1724" s="1"/>
  <c r="AC12" i="1724" s="1"/>
  <c r="M12" i="1724"/>
  <c r="AF11" i="1724"/>
  <c r="Q11" i="1724"/>
  <c r="P11" i="1724" s="1"/>
  <c r="AC11" i="1724" s="1"/>
  <c r="O11" i="1724"/>
  <c r="AB11" i="1724"/>
  <c r="AF10" i="1724"/>
  <c r="AB10" i="1724"/>
  <c r="Q10" i="1724"/>
  <c r="P10" i="1724" s="1"/>
  <c r="AC10" i="1724" s="1"/>
  <c r="O10" i="1724"/>
  <c r="M10" i="1724"/>
  <c r="AF9" i="1724"/>
  <c r="Q9" i="1724"/>
  <c r="AB9" i="1724"/>
  <c r="AF8" i="1724"/>
  <c r="Q8" i="1724"/>
  <c r="P8" i="1724" s="1"/>
  <c r="AC8" i="1724" s="1"/>
  <c r="AF7" i="1724"/>
  <c r="AB7" i="1724"/>
  <c r="Q7" i="1724"/>
  <c r="P7" i="1724" s="1"/>
  <c r="AC7" i="1724" s="1"/>
  <c r="O7" i="1724"/>
  <c r="M7" i="1724"/>
  <c r="AF6" i="1724"/>
  <c r="Q6" i="1724"/>
  <c r="O6" i="1724"/>
  <c r="AD12" i="1725" l="1"/>
  <c r="M22" i="1725"/>
  <c r="AD19" i="1725"/>
  <c r="AD8" i="1725"/>
  <c r="AD22" i="1725" s="1"/>
  <c r="P22" i="1725"/>
  <c r="AC22" i="1725"/>
  <c r="AD11" i="1725"/>
  <c r="L24" i="1724"/>
  <c r="O24" i="1724" s="1"/>
  <c r="AD16" i="1724"/>
  <c r="AD23" i="1724"/>
  <c r="AD22" i="1724"/>
  <c r="P19" i="1724"/>
  <c r="AC19" i="1724" s="1"/>
  <c r="O19" i="1724"/>
  <c r="AB19" i="1724"/>
  <c r="AD18" i="1724"/>
  <c r="M18" i="1724"/>
  <c r="AD17" i="1724"/>
  <c r="AD10" i="1724"/>
  <c r="Q24" i="1724"/>
  <c r="M8" i="1724"/>
  <c r="AD7" i="1724"/>
  <c r="P6" i="1724"/>
  <c r="AC6" i="1724" s="1"/>
  <c r="AD15" i="1724"/>
  <c r="AD11" i="1724"/>
  <c r="M9" i="1724"/>
  <c r="M13" i="1724"/>
  <c r="AB8" i="1724"/>
  <c r="O9" i="1724"/>
  <c r="AB12" i="1724"/>
  <c r="O13" i="1724"/>
  <c r="M21" i="1724"/>
  <c r="AB21" i="1724"/>
  <c r="M6" i="1724"/>
  <c r="AB6" i="1724"/>
  <c r="O8" i="1724"/>
  <c r="K24" i="1724"/>
  <c r="P9" i="1724"/>
  <c r="AC9" i="1724" s="1"/>
  <c r="M11" i="1724"/>
  <c r="O12" i="1724"/>
  <c r="P13" i="1724"/>
  <c r="AC13" i="1724" s="1"/>
  <c r="M16" i="1724"/>
  <c r="M19" i="1724"/>
  <c r="O21" i="1724"/>
  <c r="M23" i="1724"/>
  <c r="AE15" i="1725" l="1"/>
  <c r="AE12" i="1725"/>
  <c r="AE8" i="1725"/>
  <c r="AE18" i="1725"/>
  <c r="AE16" i="1725"/>
  <c r="AE7" i="1725"/>
  <c r="AE19" i="1725"/>
  <c r="AE20" i="1725"/>
  <c r="AE17" i="1725"/>
  <c r="AE14" i="1725"/>
  <c r="AE9" i="1725"/>
  <c r="AE21" i="1725"/>
  <c r="AE10" i="1725"/>
  <c r="AE13" i="1725"/>
  <c r="AE11" i="1725"/>
  <c r="AE6" i="1724"/>
  <c r="AD19" i="1724"/>
  <c r="AD12" i="1724"/>
  <c r="AC24" i="1724"/>
  <c r="AD8" i="1724"/>
  <c r="AD21" i="1724"/>
  <c r="P24" i="1724"/>
  <c r="AB24" i="1724"/>
  <c r="AD13" i="1724"/>
  <c r="AD9" i="1724"/>
  <c r="M24" i="1724"/>
  <c r="AD6" i="1724"/>
  <c r="AD24" i="1724" l="1"/>
  <c r="AE20" i="1724" s="1"/>
  <c r="AE14" i="1724" l="1"/>
  <c r="AE19" i="1724"/>
  <c r="AE16" i="1724"/>
  <c r="AE15" i="1724"/>
  <c r="AE8" i="1724"/>
  <c r="AE7" i="1724"/>
  <c r="AE21" i="1724"/>
  <c r="AE12" i="1724"/>
  <c r="AE17" i="1724"/>
  <c r="AE13" i="1724"/>
  <c r="AE22" i="1724"/>
  <c r="AE18" i="1724"/>
  <c r="AE10" i="1724"/>
  <c r="AE23" i="1724"/>
  <c r="AE11" i="1724"/>
  <c r="AE9" i="1724"/>
</calcChain>
</file>

<file path=xl/sharedStrings.xml><?xml version="1.0" encoding="utf-8"?>
<sst xmlns="http://schemas.openxmlformats.org/spreadsheetml/2006/main" count="5836" uniqueCount="715">
  <si>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</si>
  <si>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</si>
  <si>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</si>
  <si>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</si>
  <si>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</si>
  <si>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</si>
  <si>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</si>
  <si>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</si>
  <si>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</si>
  <si>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</si>
  <si>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</si>
  <si>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</si>
  <si>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</si>
  <si>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</si>
  <si>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</si>
  <si>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</si>
  <si>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</si>
  <si>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</si>
  <si>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</si>
  <si>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</si>
  <si>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</si>
  <si>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</si>
  <si>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</si>
  <si>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</si>
  <si>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</si>
  <si>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</si>
  <si>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</si>
  <si>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</si>
  <si>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</si>
  <si>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</si>
  <si>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</si>
  <si>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</si>
  <si>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</si>
  <si>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</si>
  <si>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</si>
  <si>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</si>
  <si>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</si>
  <si>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</si>
  <si>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</si>
  <si>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</si>
  <si>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</si>
  <si>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</si>
  <si>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</si>
  <si>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</si>
  <si>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</si>
  <si>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</si>
  <si>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</si>
  <si>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</si>
  <si>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</si>
  <si>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</si>
  <si>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</si>
  <si>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</si>
  <si>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</si>
  <si>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</si>
  <si>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</si>
  <si>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</si>
  <si>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</si>
  <si>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</si>
  <si>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</si>
  <si>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</si>
  <si>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</si>
  <si>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</si>
  <si>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</si>
  <si>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</si>
  <si>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</si>
  <si>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</si>
  <si>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</si>
  <si>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</si>
  <si>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</si>
  <si>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</si>
  <si>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</si>
  <si>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</si>
  <si>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</si>
  <si>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</si>
  <si>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</si>
  <si>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</si>
  <si>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</si>
  <si>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</si>
  <si>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</si>
  <si>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</si>
  <si>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</si>
  <si>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</si>
  <si>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</si>
  <si>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</si>
  <si>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</si>
  <si>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</si>
  <si>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</si>
  <si>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</si>
  <si>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</si>
  <si>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</si>
  <si>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</si>
  <si>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</si>
  <si>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</si>
  <si>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</si>
  <si>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</si>
  <si>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</si>
  <si>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</si>
  <si>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</si>
  <si>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</si>
  <si>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</si>
  <si>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</si>
  <si>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</si>
  <si>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</si>
  <si>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</si>
  <si>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</si>
  <si>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</si>
  <si>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</si>
  <si>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</si>
  <si>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</si>
  <si>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</si>
  <si>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</si>
  <si>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</si>
  <si>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</si>
  <si>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</si>
  <si>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</si>
  <si>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</si>
  <si>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</si>
  <si>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</si>
  <si>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발주분양산</t>
    <phoneticPr fontId="2" type="noConversion"/>
  </si>
  <si>
    <t>SGF2033</t>
    <phoneticPr fontId="2" type="noConversion"/>
  </si>
  <si>
    <t>SST</t>
    <phoneticPr fontId="2" type="noConversion"/>
  </si>
  <si>
    <t>HICON</t>
    <phoneticPr fontId="2" type="noConversion"/>
  </si>
  <si>
    <t>가스</t>
    <phoneticPr fontId="2" type="noConversion"/>
  </si>
  <si>
    <t>AYE</t>
    <phoneticPr fontId="2" type="noConversion"/>
  </si>
  <si>
    <t>SGF2030</t>
    <phoneticPr fontId="2" type="noConversion"/>
  </si>
  <si>
    <t>SGF2041</t>
    <phoneticPr fontId="2" type="noConversion"/>
  </si>
  <si>
    <t>COVER</t>
    <phoneticPr fontId="2" type="noConversion"/>
  </si>
  <si>
    <t>2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</si>
  <si>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</si>
  <si>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</si>
  <si>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</si>
  <si>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SF2255 I/V</t>
    <phoneticPr fontId="2" type="noConversion"/>
  </si>
  <si>
    <t>SF2255</t>
    <phoneticPr fontId="2" type="noConversion"/>
  </si>
  <si>
    <t>수리후양산</t>
    <phoneticPr fontId="2" type="noConversion"/>
  </si>
  <si>
    <t>AMB0355A-KAA-R1</t>
    <phoneticPr fontId="2" type="noConversion"/>
  </si>
  <si>
    <t>ADAPTER</t>
    <phoneticPr fontId="2" type="noConversion"/>
  </si>
  <si>
    <t>1</t>
    <phoneticPr fontId="2" type="noConversion"/>
  </si>
  <si>
    <t>9</t>
    <phoneticPr fontId="2" type="noConversion"/>
  </si>
  <si>
    <t>JD4901</t>
    <phoneticPr fontId="2" type="noConversion"/>
  </si>
  <si>
    <t>7301</t>
    <phoneticPr fontId="2" type="noConversion"/>
  </si>
  <si>
    <t>7</t>
    <phoneticPr fontId="2" type="noConversion"/>
  </si>
  <si>
    <t>ACTUATOR</t>
    <phoneticPr fontId="2" type="noConversion"/>
  </si>
  <si>
    <t>6</t>
    <phoneticPr fontId="2" type="noConversion"/>
  </si>
  <si>
    <t>HDB08-M01A1</t>
    <phoneticPr fontId="2" type="noConversion"/>
  </si>
  <si>
    <t>22P</t>
    <phoneticPr fontId="2" type="noConversion"/>
  </si>
  <si>
    <t>NP634-194-001#SP-A</t>
    <phoneticPr fontId="2" type="noConversion"/>
  </si>
  <si>
    <t>전일 ISSUE 사항(01일)</t>
    <phoneticPr fontId="2" type="noConversion"/>
  </si>
  <si>
    <t>당일 진행 사항(02일)</t>
    <phoneticPr fontId="2" type="noConversion"/>
  </si>
  <si>
    <t>15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</si>
  <si>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</si>
  <si>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</si>
  <si>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</si>
  <si>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t>SGP2030R N/P</t>
    <phoneticPr fontId="2" type="noConversion"/>
  </si>
  <si>
    <t>LG35</t>
    <phoneticPr fontId="2" type="noConversion"/>
  </si>
  <si>
    <t>옵션</t>
    <phoneticPr fontId="2" type="noConversion"/>
  </si>
  <si>
    <t>NEXT</t>
    <phoneticPr fontId="2" type="noConversion"/>
  </si>
  <si>
    <t>8301</t>
    <phoneticPr fontId="2" type="noConversion"/>
  </si>
  <si>
    <t>2*1</t>
    <phoneticPr fontId="2" type="noConversion"/>
  </si>
  <si>
    <t>AMB1901D-JAA-R2</t>
    <phoneticPr fontId="2" type="noConversion"/>
  </si>
  <si>
    <t>HDB75-M01A3</t>
    <phoneticPr fontId="2" type="noConversion"/>
  </si>
  <si>
    <t>RTP</t>
    <phoneticPr fontId="2" type="noConversion"/>
  </si>
  <si>
    <t>LEAD GUIDE</t>
    <phoneticPr fontId="2" type="noConversion"/>
  </si>
  <si>
    <t>KR6182AGE153QB</t>
    <phoneticPr fontId="2" type="noConversion"/>
  </si>
  <si>
    <t>긁힘정지</t>
    <phoneticPr fontId="2" type="noConversion"/>
  </si>
  <si>
    <t>BOTTOM</t>
    <phoneticPr fontId="2" type="noConversion"/>
  </si>
  <si>
    <t>HR032B-194A2</t>
    <phoneticPr fontId="2" type="noConversion"/>
  </si>
  <si>
    <t>KR6422EB804CA</t>
    <phoneticPr fontId="2" type="noConversion"/>
  </si>
  <si>
    <t>HR032B-194A1</t>
    <phoneticPr fontId="2" type="noConversion"/>
  </si>
  <si>
    <t>수리후양산-&gt;코아파손2회정지</t>
    <phoneticPr fontId="2" type="noConversion"/>
  </si>
  <si>
    <t>28P</t>
    <phoneticPr fontId="2" type="noConversion"/>
  </si>
  <si>
    <t>F-TOP/BOTTOM</t>
    <phoneticPr fontId="2" type="noConversion"/>
  </si>
  <si>
    <t>KR6451-GA1860HA</t>
    <phoneticPr fontId="2" type="noConversion"/>
  </si>
  <si>
    <t>AMB0467A-KAA-R1</t>
    <phoneticPr fontId="2" type="noConversion"/>
  </si>
  <si>
    <t>SGF2030 B/K</t>
    <phoneticPr fontId="2" type="noConversion"/>
  </si>
  <si>
    <t>AAM0818D-KAB-R3</t>
    <phoneticPr fontId="2" type="noConversion"/>
  </si>
  <si>
    <t>NP628-1056-001#IN-B</t>
    <phoneticPr fontId="2" type="noConversion"/>
  </si>
  <si>
    <t>K-JR01905-C01ATA</t>
    <phoneticPr fontId="2" type="noConversion"/>
  </si>
  <si>
    <t>PA9T</t>
    <phoneticPr fontId="2" type="noConversion"/>
  </si>
  <si>
    <t>SGP230R</t>
    <phoneticPr fontId="2" type="noConversion"/>
  </si>
  <si>
    <r>
      <t>2020년 05월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</si>
  <si>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IC GUIDE</t>
    <phoneticPr fontId="2" type="noConversion"/>
  </si>
  <si>
    <t>HSB05-M007B4</t>
    <phoneticPr fontId="2" type="noConversion"/>
  </si>
  <si>
    <t>BASE</t>
    <phoneticPr fontId="2" type="noConversion"/>
  </si>
  <si>
    <t>8LEAD</t>
    <phoneticPr fontId="2" type="noConversion"/>
  </si>
  <si>
    <t>009-068-014</t>
    <phoneticPr fontId="2" type="noConversion"/>
  </si>
  <si>
    <t>05월 호기별 가동현황</t>
    <phoneticPr fontId="2" type="noConversion"/>
  </si>
  <si>
    <t>발주분양산-&gt;낙하안됨정지</t>
    <phoneticPr fontId="2" type="noConversion"/>
  </si>
  <si>
    <t>13</t>
    <phoneticPr fontId="2" type="noConversion"/>
  </si>
  <si>
    <t>HDB08-M01A1(2C)</t>
    <phoneticPr fontId="2" type="noConversion"/>
  </si>
  <si>
    <t>8</t>
    <phoneticPr fontId="2" type="noConversion"/>
  </si>
  <si>
    <t>4</t>
    <phoneticPr fontId="2" type="noConversion"/>
  </si>
  <si>
    <t>SLIDER</t>
    <phoneticPr fontId="2" type="noConversion"/>
  </si>
  <si>
    <t>KR6404DA436YA</t>
    <phoneticPr fontId="2" type="noConversion"/>
  </si>
  <si>
    <t>발주분양산</t>
    <phoneticPr fontId="2" type="noConversion"/>
  </si>
  <si>
    <r>
      <t>2020년 05월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</si>
  <si>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SGF2050</t>
    <phoneticPr fontId="2" type="noConversion"/>
  </si>
  <si>
    <t>전일 ISSUE 사항(02일)</t>
    <phoneticPr fontId="2" type="noConversion"/>
  </si>
  <si>
    <t>4</t>
    <phoneticPr fontId="2" type="noConversion"/>
  </si>
  <si>
    <t>SLIDER</t>
    <phoneticPr fontId="2" type="noConversion"/>
  </si>
  <si>
    <t>KR6404DA436YA</t>
    <phoneticPr fontId="2" type="noConversion"/>
  </si>
  <si>
    <t>코아파손수리</t>
    <phoneticPr fontId="2" type="noConversion"/>
  </si>
  <si>
    <t>런너박힘수리</t>
    <phoneticPr fontId="2" type="noConversion"/>
  </si>
  <si>
    <t>당일 진행 사항(04일)</t>
    <phoneticPr fontId="2" type="noConversion"/>
  </si>
  <si>
    <t>수리후양산-&gt;코아파손정지</t>
    <phoneticPr fontId="2" type="noConversion"/>
  </si>
  <si>
    <t>KR6166-E02TB</t>
    <phoneticPr fontId="2" type="noConversion"/>
  </si>
  <si>
    <t>발주분양산</t>
    <phoneticPr fontId="2" type="noConversion"/>
  </si>
  <si>
    <t>11</t>
    <phoneticPr fontId="2" type="noConversion"/>
  </si>
  <si>
    <t>LATCH</t>
    <phoneticPr fontId="2" type="noConversion"/>
  </si>
  <si>
    <t>LATCH TOP</t>
    <phoneticPr fontId="2" type="noConversion"/>
  </si>
  <si>
    <t>코아시스</t>
    <phoneticPr fontId="2" type="noConversion"/>
  </si>
  <si>
    <t>13</t>
    <phoneticPr fontId="2" type="noConversion"/>
  </si>
  <si>
    <t>KR6166-B299YA</t>
    <phoneticPr fontId="2" type="noConversion"/>
  </si>
  <si>
    <t>SAMPLE 진행 사항(02일)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</si>
  <si>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</si>
  <si>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</si>
  <si>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2020년 05월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</si>
  <si>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전일 ISSUE 사항(04일)</t>
    <phoneticPr fontId="2" type="noConversion"/>
  </si>
  <si>
    <t>3</t>
    <phoneticPr fontId="2" type="noConversion"/>
  </si>
  <si>
    <t>코아파손2회정지</t>
    <phoneticPr fontId="2" type="noConversion"/>
  </si>
  <si>
    <t>5</t>
    <phoneticPr fontId="2" type="noConversion"/>
  </si>
  <si>
    <t>틀어짐수리</t>
    <phoneticPr fontId="2" type="noConversion"/>
  </si>
  <si>
    <t>이물제거</t>
    <phoneticPr fontId="2" type="noConversion"/>
  </si>
  <si>
    <t>세척후양산-&gt;밀핀수리</t>
    <phoneticPr fontId="2" type="noConversion"/>
  </si>
  <si>
    <t>14</t>
    <phoneticPr fontId="2" type="noConversion"/>
  </si>
  <si>
    <t>22P(4POST)</t>
    <phoneticPr fontId="2" type="noConversion"/>
  </si>
  <si>
    <t>발주분양산-&gt;틀어짐수리</t>
    <phoneticPr fontId="2" type="noConversion"/>
  </si>
  <si>
    <t>16</t>
    <phoneticPr fontId="2" type="noConversion"/>
  </si>
  <si>
    <t>당일 진행 사항(05일)</t>
    <phoneticPr fontId="2" type="noConversion"/>
  </si>
  <si>
    <t>PLATE</t>
    <phoneticPr fontId="2" type="noConversion"/>
  </si>
  <si>
    <t>K-JR01905-B01BWA</t>
    <phoneticPr fontId="2" type="noConversion"/>
  </si>
  <si>
    <t>F/A</t>
    <phoneticPr fontId="2" type="noConversion"/>
  </si>
  <si>
    <t>AMB20D7A-KAA-R2</t>
    <phoneticPr fontId="2" type="noConversion"/>
  </si>
  <si>
    <t>K-JR01905-E02AEA</t>
    <phoneticPr fontId="2" type="noConversion"/>
  </si>
  <si>
    <t>12</t>
    <phoneticPr fontId="2" type="noConversion"/>
  </si>
  <si>
    <t>SAMPLE 진행 사항(04일)</t>
    <phoneticPr fontId="2" type="noConversion"/>
  </si>
  <si>
    <t>KR6166-GG200QA</t>
    <phoneticPr fontId="2" type="noConversion"/>
  </si>
  <si>
    <t>KR6197-GP297QA</t>
    <phoneticPr fontId="2" type="noConversion"/>
  </si>
  <si>
    <t>수정</t>
    <phoneticPr fontId="2" type="noConversion"/>
  </si>
  <si>
    <t>K-AR3535-1A</t>
    <phoneticPr fontId="2" type="noConversion"/>
  </si>
  <si>
    <t>신작</t>
    <phoneticPr fontId="2" type="noConversion"/>
  </si>
  <si>
    <t>런너2회수리,BURR정지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</si>
  <si>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</si>
  <si>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</si>
  <si>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2020년 05월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</si>
  <si>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F/ADAPTER</t>
    <phoneticPr fontId="2" type="noConversion"/>
  </si>
  <si>
    <t>AMB20D7A-KAA-R1</t>
    <phoneticPr fontId="2" type="noConversion"/>
  </si>
  <si>
    <t>K-JR01905-G01BWB</t>
    <phoneticPr fontId="2" type="noConversion"/>
  </si>
  <si>
    <t>전일 ISSUE 사항(05일)</t>
    <phoneticPr fontId="2" type="noConversion"/>
  </si>
  <si>
    <t>수리후양산-&gt;코아파손3회정지</t>
    <phoneticPr fontId="2" type="noConversion"/>
  </si>
  <si>
    <t>세척후양산</t>
    <phoneticPr fontId="2" type="noConversion"/>
  </si>
  <si>
    <t>당일 진행 사항(06일)</t>
    <phoneticPr fontId="2" type="noConversion"/>
  </si>
  <si>
    <t>KR6454-B352PMA</t>
    <phoneticPr fontId="2" type="noConversion"/>
  </si>
  <si>
    <t>SAMPLE 진행 사항(05일)</t>
    <phoneticPr fontId="2" type="noConversion"/>
  </si>
  <si>
    <t>KR6166-GN200QA</t>
    <phoneticPr fontId="2" type="noConversion"/>
  </si>
  <si>
    <t>10</t>
    <phoneticPr fontId="2" type="noConversion"/>
  </si>
  <si>
    <t>K-JR01887-G04AXX</t>
    <phoneticPr fontId="2" type="noConversion"/>
  </si>
  <si>
    <t>B LUE</t>
    <phoneticPr fontId="2" type="noConversion"/>
  </si>
  <si>
    <t>WELL GUIDE</t>
    <phoneticPr fontId="2" type="noConversion"/>
  </si>
  <si>
    <t>288C84A-B142A</t>
    <phoneticPr fontId="2" type="noConversion"/>
  </si>
  <si>
    <t>OKINS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</si>
  <si>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</si>
  <si>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</si>
  <si>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2020년 05월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</si>
  <si>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SF2250EPR</t>
    <phoneticPr fontId="2" type="noConversion"/>
  </si>
  <si>
    <t>NP636-2406-001#LB</t>
    <phoneticPr fontId="2" type="noConversion"/>
  </si>
  <si>
    <t>전일 ISSUE 사항(06일)</t>
    <phoneticPr fontId="2" type="noConversion"/>
  </si>
  <si>
    <t>6</t>
    <phoneticPr fontId="2" type="noConversion"/>
  </si>
  <si>
    <t>KR6454-B352PMA</t>
    <phoneticPr fontId="2" type="noConversion"/>
  </si>
  <si>
    <t>발주분양산-&gt;게이트파손정지</t>
    <phoneticPr fontId="2" type="noConversion"/>
  </si>
  <si>
    <t>당일 진행 사항(07일)</t>
    <phoneticPr fontId="2" type="noConversion"/>
  </si>
  <si>
    <t>KR6166-GD200QB</t>
    <phoneticPr fontId="2" type="noConversion"/>
  </si>
  <si>
    <t>발주분양산</t>
    <phoneticPr fontId="2" type="noConversion"/>
  </si>
  <si>
    <t>1</t>
    <phoneticPr fontId="2" type="noConversion"/>
  </si>
  <si>
    <t>ADAPTER</t>
    <phoneticPr fontId="2" type="noConversion"/>
  </si>
  <si>
    <t>KR6197BGF254QA</t>
    <phoneticPr fontId="2" type="noConversion"/>
  </si>
  <si>
    <t>2</t>
    <phoneticPr fontId="2" type="noConversion"/>
  </si>
  <si>
    <t>SAMPLE 진행 사항(06일)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</si>
  <si>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</si>
  <si>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</si>
  <si>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2020년 05월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</si>
  <si>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AMB0158A-KAA-R1</t>
    <phoneticPr fontId="2" type="noConversion"/>
  </si>
  <si>
    <t>JD4901 N/P</t>
    <phoneticPr fontId="2" type="noConversion"/>
  </si>
  <si>
    <t>TOP/BOTTOM</t>
    <phoneticPr fontId="2" type="noConversion"/>
  </si>
  <si>
    <t>HRCS-0011A/12A</t>
    <phoneticPr fontId="2" type="noConversion"/>
  </si>
  <si>
    <t>전일 ISSUE 사항(07일)</t>
    <phoneticPr fontId="2" type="noConversion"/>
  </si>
  <si>
    <t>코아파손정지</t>
    <phoneticPr fontId="2" type="noConversion"/>
  </si>
  <si>
    <t>코아파손3회정지</t>
    <phoneticPr fontId="2" type="noConversion"/>
  </si>
  <si>
    <t>HDB08-M01A1(4C)</t>
    <phoneticPr fontId="2" type="noConversion"/>
  </si>
  <si>
    <t>수리후양산-&gt;1C파손</t>
    <phoneticPr fontId="2" type="noConversion"/>
  </si>
  <si>
    <t>치수확인후양산</t>
    <phoneticPr fontId="2" type="noConversion"/>
  </si>
  <si>
    <t>HRCS-00C11A/12A</t>
    <phoneticPr fontId="2" type="noConversion"/>
  </si>
  <si>
    <t>T/B</t>
    <phoneticPr fontId="2" type="noConversion"/>
  </si>
  <si>
    <t>당일 진행 사항(08일)</t>
    <phoneticPr fontId="2" type="noConversion"/>
  </si>
  <si>
    <t>KR6454-D352UA</t>
    <phoneticPr fontId="2" type="noConversion"/>
  </si>
  <si>
    <t>STOPPER</t>
    <phoneticPr fontId="2" type="noConversion"/>
  </si>
  <si>
    <t>SAMPLE 진행 사항(07일)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</si>
  <si>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</si>
  <si>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</si>
  <si>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2020년 05월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</si>
  <si>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K-JR01734-D180UA</t>
    <phoneticPr fontId="2" type="noConversion"/>
  </si>
  <si>
    <t>전일 ISSUE 사항(08일)</t>
    <phoneticPr fontId="2" type="noConversion"/>
  </si>
  <si>
    <t>코아파손3회수리</t>
    <phoneticPr fontId="2" type="noConversion"/>
  </si>
  <si>
    <t>당일 진행 사항(09일)</t>
    <phoneticPr fontId="2" type="noConversion"/>
  </si>
  <si>
    <t>HRCS-03C15/14</t>
    <phoneticPr fontId="2" type="noConversion"/>
  </si>
  <si>
    <t>SAMPLE 진행 사항(08일)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</si>
  <si>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</si>
  <si>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</si>
  <si>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2020년 05월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</si>
  <si>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KR6454-GA168QA</t>
    <phoneticPr fontId="2" type="noConversion"/>
  </si>
  <si>
    <t>BASE/LID</t>
    <phoneticPr fontId="2" type="noConversion"/>
  </si>
  <si>
    <t>HRCS-0014A/15</t>
    <phoneticPr fontId="2" type="noConversion"/>
  </si>
  <si>
    <t>전일 ISSUE 사항(09일)</t>
    <phoneticPr fontId="2" type="noConversion"/>
  </si>
  <si>
    <t>미성형수리-&gt;긁힘4회수리-&gt;코아파손정지</t>
    <phoneticPr fontId="2" type="noConversion"/>
  </si>
  <si>
    <t>상측긁힘정지</t>
    <phoneticPr fontId="2" type="noConversion"/>
  </si>
  <si>
    <t>KR6454-A168QA</t>
    <phoneticPr fontId="2" type="noConversion"/>
  </si>
  <si>
    <t>KR6166-GG200QB</t>
    <phoneticPr fontId="2" type="noConversion"/>
  </si>
  <si>
    <t>금형긁힘정지</t>
    <phoneticPr fontId="2" type="noConversion"/>
  </si>
  <si>
    <t>당일 진행 사항(10일)</t>
    <phoneticPr fontId="2" type="noConversion"/>
  </si>
  <si>
    <t>HRCS-00C14/15</t>
    <phoneticPr fontId="2" type="noConversion"/>
  </si>
  <si>
    <t>발주분양산-&gt;코아파손정지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</si>
  <si>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</si>
  <si>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</si>
  <si>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</si>
  <si>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2020년 05월 10일(주간)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</si>
  <si>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HSB08-M01A3</t>
    <phoneticPr fontId="2" type="noConversion"/>
  </si>
  <si>
    <t>SGF2030 N/P</t>
    <phoneticPr fontId="2" type="noConversion"/>
  </si>
  <si>
    <t>전일 ISSUE 사항(10일)</t>
    <phoneticPr fontId="2" type="noConversion"/>
  </si>
  <si>
    <t>12</t>
    <phoneticPr fontId="2" type="noConversion"/>
  </si>
  <si>
    <t>COVER</t>
    <phoneticPr fontId="2" type="noConversion"/>
  </si>
  <si>
    <t>HSB08-M01A3</t>
    <phoneticPr fontId="2" type="noConversion"/>
  </si>
  <si>
    <t>당일 진행 사항(11일)</t>
    <phoneticPr fontId="2" type="noConversion"/>
  </si>
  <si>
    <t>KR6197-D475PA</t>
    <phoneticPr fontId="2" type="noConversion"/>
  </si>
  <si>
    <t>발주분양산</t>
    <phoneticPr fontId="2" type="noConversion"/>
  </si>
  <si>
    <t>3</t>
    <phoneticPr fontId="2" type="noConversion"/>
  </si>
  <si>
    <t>STOPPER</t>
    <phoneticPr fontId="2" type="noConversion"/>
  </si>
  <si>
    <t>HR032B-194A2</t>
    <phoneticPr fontId="2" type="noConversion"/>
  </si>
  <si>
    <t>HICON</t>
    <phoneticPr fontId="2" type="noConversion"/>
  </si>
  <si>
    <t>6</t>
    <phoneticPr fontId="2" type="noConversion"/>
  </si>
  <si>
    <t>BOTTOM</t>
    <phoneticPr fontId="2" type="noConversion"/>
  </si>
  <si>
    <t>COVER/UPPER</t>
    <phoneticPr fontId="2" type="noConversion"/>
  </si>
  <si>
    <t>테스트메카</t>
    <phoneticPr fontId="2" type="noConversion"/>
  </si>
  <si>
    <t>14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</si>
  <si>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</si>
  <si>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</si>
  <si>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</si>
  <si>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2020년 05월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</si>
  <si>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KR6454-C316TB</t>
    <phoneticPr fontId="2" type="noConversion"/>
  </si>
  <si>
    <t>UPP/COVER</t>
    <phoneticPr fontId="2" type="noConversion"/>
  </si>
  <si>
    <t>24P</t>
    <phoneticPr fontId="2" type="noConversion"/>
  </si>
  <si>
    <t>전일 ISSUE 사항(11일)</t>
    <phoneticPr fontId="2" type="noConversion"/>
  </si>
  <si>
    <t>테스트</t>
    <phoneticPr fontId="2" type="noConversion"/>
  </si>
  <si>
    <t>미성형정지</t>
    <phoneticPr fontId="2" type="noConversion"/>
  </si>
  <si>
    <t>HICON</t>
    <phoneticPr fontId="2" type="noConversion"/>
  </si>
  <si>
    <t>6</t>
    <phoneticPr fontId="2" type="noConversion"/>
  </si>
  <si>
    <t>BOTTOM</t>
    <phoneticPr fontId="2" type="noConversion"/>
  </si>
  <si>
    <t>HR032B-194A2</t>
    <phoneticPr fontId="2" type="noConversion"/>
  </si>
  <si>
    <t>8</t>
    <phoneticPr fontId="2" type="noConversion"/>
  </si>
  <si>
    <t>BASE</t>
    <phoneticPr fontId="2" type="noConversion"/>
  </si>
  <si>
    <t>HDB08-M01A1</t>
    <phoneticPr fontId="2" type="noConversion"/>
  </si>
  <si>
    <t>수리후양산-&gt;오조립수리</t>
    <phoneticPr fontId="2" type="noConversion"/>
  </si>
  <si>
    <t>당일 진행 사항(12일)</t>
    <phoneticPr fontId="2" type="noConversion"/>
  </si>
  <si>
    <t>ST/HO</t>
    <phoneticPr fontId="2" type="noConversion"/>
  </si>
  <si>
    <t>K-JR01860-D/H</t>
    <phoneticPr fontId="2" type="noConversion"/>
  </si>
  <si>
    <t>LOWER</t>
    <phoneticPr fontId="2" type="noConversion"/>
  </si>
  <si>
    <t>F/A</t>
    <phoneticPr fontId="2" type="noConversion"/>
  </si>
  <si>
    <t>AMB2071A-KAA-R2</t>
    <phoneticPr fontId="2" type="noConversion"/>
  </si>
  <si>
    <t>13</t>
    <phoneticPr fontId="2" type="noConversion"/>
  </si>
  <si>
    <t>BODY</t>
    <phoneticPr fontId="2" type="noConversion"/>
  </si>
  <si>
    <t>AM0148E-K-R2</t>
    <phoneticPr fontId="2" type="noConversion"/>
  </si>
  <si>
    <t>SAMPLE 진행 사항(11일)</t>
    <phoneticPr fontId="2" type="noConversion"/>
  </si>
  <si>
    <t>SST</t>
    <phoneticPr fontId="2" type="noConversion"/>
  </si>
  <si>
    <t>SLIDER</t>
    <phoneticPr fontId="2" type="noConversion"/>
  </si>
  <si>
    <t>KR6156EA841XX</t>
    <phoneticPr fontId="2" type="noConversion"/>
  </si>
  <si>
    <t>LCP</t>
    <phoneticPr fontId="2" type="noConversion"/>
  </si>
  <si>
    <t>원재료</t>
    <phoneticPr fontId="2" type="noConversion"/>
  </si>
  <si>
    <t>AMB0129A-KAA-R5</t>
    <phoneticPr fontId="2" type="noConversion"/>
  </si>
  <si>
    <t>GN2330</t>
    <phoneticPr fontId="2" type="noConversion"/>
  </si>
  <si>
    <t>ADAPTER</t>
    <phoneticPr fontId="2" type="noConversion"/>
  </si>
  <si>
    <t>KR6197-GP297XX</t>
    <phoneticPr fontId="2" type="noConversion"/>
  </si>
  <si>
    <t>SF2255 I/V</t>
    <phoneticPr fontId="2" type="noConversion"/>
  </si>
  <si>
    <t>요청</t>
    <phoneticPr fontId="2" type="noConversion"/>
  </si>
  <si>
    <t>10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</si>
  <si>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</si>
  <si>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</si>
  <si>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2020년 05월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</si>
  <si>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SGP2020R</t>
    <phoneticPr fontId="2" type="noConversion"/>
  </si>
  <si>
    <t>LOWER PLATE</t>
    <phoneticPr fontId="2" type="noConversion"/>
  </si>
  <si>
    <t>전일 ISSUE 사항(12일)</t>
    <phoneticPr fontId="2" type="noConversion"/>
  </si>
  <si>
    <t>게이트막힘정지</t>
    <phoneticPr fontId="2" type="noConversion"/>
  </si>
  <si>
    <t>BURR수리</t>
    <phoneticPr fontId="2" type="noConversion"/>
  </si>
  <si>
    <t>6</t>
    <phoneticPr fontId="2" type="noConversion"/>
  </si>
  <si>
    <t>ST/HO</t>
    <phoneticPr fontId="2" type="noConversion"/>
  </si>
  <si>
    <t>K-JR01860-D/H</t>
    <phoneticPr fontId="2" type="noConversion"/>
  </si>
  <si>
    <t>발주분양산-&gt;밀핀수리-&gt;뜯김수리</t>
    <phoneticPr fontId="2" type="noConversion"/>
  </si>
  <si>
    <t>MCS</t>
    <phoneticPr fontId="2" type="noConversion"/>
  </si>
  <si>
    <t>1</t>
    <phoneticPr fontId="2" type="noConversion"/>
  </si>
  <si>
    <t>F/ADAPTER</t>
    <phoneticPr fontId="2" type="noConversion"/>
  </si>
  <si>
    <t>AMB2071A-KAA-R2</t>
    <phoneticPr fontId="2" type="noConversion"/>
  </si>
  <si>
    <t>13</t>
    <phoneticPr fontId="2" type="noConversion"/>
  </si>
  <si>
    <t>BODY</t>
    <phoneticPr fontId="2" type="noConversion"/>
  </si>
  <si>
    <t>AM0148E-K-R2</t>
    <phoneticPr fontId="2" type="noConversion"/>
  </si>
  <si>
    <t>발주분양산-&gt;BURR수리</t>
    <phoneticPr fontId="2" type="noConversion"/>
  </si>
  <si>
    <t>당일 진행 사항(13일)</t>
    <phoneticPr fontId="2" type="noConversion"/>
  </si>
  <si>
    <t>SST</t>
    <phoneticPr fontId="2" type="noConversion"/>
  </si>
  <si>
    <t>15</t>
    <phoneticPr fontId="2" type="noConversion"/>
  </si>
  <si>
    <t>BASE</t>
    <phoneticPr fontId="2" type="noConversion"/>
  </si>
  <si>
    <t>KR6422EB804CA</t>
    <phoneticPr fontId="2" type="noConversion"/>
  </si>
  <si>
    <t>수리후양산</t>
    <phoneticPr fontId="2" type="noConversion"/>
  </si>
  <si>
    <t>HR032B-194A2</t>
    <phoneticPr fontId="2" type="noConversion"/>
  </si>
  <si>
    <t>HICON</t>
    <phoneticPr fontId="2" type="noConversion"/>
  </si>
  <si>
    <t>7</t>
    <phoneticPr fontId="2" type="noConversion"/>
  </si>
  <si>
    <t>BOTTOM</t>
    <phoneticPr fontId="2" type="noConversion"/>
  </si>
  <si>
    <t>SAMPLE 진행 사항(12일)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</si>
  <si>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</si>
  <si>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</si>
  <si>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2020년 05월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</si>
  <si>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PLANGE</t>
    <phoneticPr fontId="2" type="noConversion"/>
  </si>
  <si>
    <t>HRCS-03C17</t>
    <phoneticPr fontId="2" type="noConversion"/>
  </si>
  <si>
    <t>전일 ISSUE 사항(13일)</t>
    <phoneticPr fontId="2" type="noConversion"/>
  </si>
  <si>
    <t>HICON</t>
    <phoneticPr fontId="2" type="noConversion"/>
  </si>
  <si>
    <t>14</t>
    <phoneticPr fontId="2" type="noConversion"/>
  </si>
  <si>
    <t>발주분양산-&gt;칼퀴파손정지</t>
    <phoneticPr fontId="2" type="noConversion"/>
  </si>
  <si>
    <t>밀핀파손수리</t>
    <phoneticPr fontId="2" type="noConversion"/>
  </si>
  <si>
    <t>4</t>
    <phoneticPr fontId="2" type="noConversion"/>
  </si>
  <si>
    <t>SLIDER</t>
    <phoneticPr fontId="2" type="noConversion"/>
  </si>
  <si>
    <t>KR6404DA436YA</t>
    <phoneticPr fontId="2" type="noConversion"/>
  </si>
  <si>
    <t>코아파손수리</t>
    <phoneticPr fontId="2" type="noConversion"/>
  </si>
  <si>
    <t>당일 진행 사항(14일)</t>
    <phoneticPr fontId="2" type="noConversion"/>
  </si>
  <si>
    <t>OK75SSD-050-T32-BA-1</t>
    <phoneticPr fontId="2" type="noConversion"/>
  </si>
  <si>
    <t>발주분양산</t>
    <phoneticPr fontId="2" type="noConversion"/>
  </si>
  <si>
    <t>OKINS</t>
    <phoneticPr fontId="2" type="noConversion"/>
  </si>
  <si>
    <t>수리후양산</t>
    <phoneticPr fontId="2" type="noConversion"/>
  </si>
  <si>
    <t>SAMPLE 진행 사항(13일)</t>
    <phoneticPr fontId="2" type="noConversion"/>
  </si>
  <si>
    <t>AMB1933A-KAA-R1</t>
    <phoneticPr fontId="2" type="noConversion"/>
  </si>
  <si>
    <t>AMB07W9A-KAA-R1</t>
    <phoneticPr fontId="2" type="noConversion"/>
  </si>
  <si>
    <t>AMB0184A-KAA-R1</t>
    <phoneticPr fontId="2" type="noConversion"/>
  </si>
  <si>
    <t>MCS</t>
    <phoneticPr fontId="2" type="noConversion"/>
  </si>
  <si>
    <t>ACTUATOR</t>
    <phoneticPr fontId="2" type="noConversion"/>
  </si>
  <si>
    <t>ADAPTER</t>
    <phoneticPr fontId="2" type="noConversion"/>
  </si>
  <si>
    <t>BASE</t>
    <phoneticPr fontId="2" type="noConversion"/>
  </si>
  <si>
    <t>JD4901</t>
    <phoneticPr fontId="2" type="noConversion"/>
  </si>
  <si>
    <t>8301,SF2255 I/V</t>
    <phoneticPr fontId="2" type="noConversion"/>
  </si>
  <si>
    <t>신작</t>
    <phoneticPr fontId="2" type="noConversion"/>
  </si>
  <si>
    <t>5</t>
    <phoneticPr fontId="2" type="noConversion"/>
  </si>
  <si>
    <t>10</t>
    <phoneticPr fontId="2" type="noConversion"/>
  </si>
  <si>
    <t>SF2255 I/V</t>
    <phoneticPr fontId="2" type="noConversion"/>
  </si>
  <si>
    <t>13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</si>
  <si>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</si>
  <si>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</si>
  <si>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2020년 05월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</si>
  <si>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017-135-144</t>
    <phoneticPr fontId="2" type="noConversion"/>
  </si>
  <si>
    <t>010-135-409</t>
    <phoneticPr fontId="2" type="noConversion"/>
  </si>
  <si>
    <t>040-135-041</t>
    <phoneticPr fontId="2" type="noConversion"/>
  </si>
  <si>
    <t>017-135-143</t>
    <phoneticPr fontId="2" type="noConversion"/>
  </si>
  <si>
    <t>72P</t>
    <phoneticPr fontId="2" type="noConversion"/>
  </si>
  <si>
    <t>전일 ISSUE 사항(14일)</t>
    <phoneticPr fontId="2" type="noConversion"/>
  </si>
  <si>
    <t>당일 진행 사항(15일)</t>
    <phoneticPr fontId="2" type="noConversion"/>
  </si>
  <si>
    <t>KR6166BB299YA</t>
    <phoneticPr fontId="2" type="noConversion"/>
  </si>
  <si>
    <t>KR6152-B357UA</t>
    <phoneticPr fontId="2" type="noConversion"/>
  </si>
  <si>
    <t>HR1089-1.0M1</t>
    <phoneticPr fontId="2" type="noConversion"/>
  </si>
  <si>
    <t>TOP</t>
    <phoneticPr fontId="2" type="noConversion"/>
  </si>
  <si>
    <t>SAMPLE 진행 사항(14일)</t>
    <phoneticPr fontId="2" type="noConversion"/>
  </si>
  <si>
    <t>K-AR3532-1A</t>
    <phoneticPr fontId="2" type="noConversion"/>
  </si>
  <si>
    <t>K-AR3533-1A</t>
    <phoneticPr fontId="2" type="noConversion"/>
  </si>
  <si>
    <t>SGF2033 N/P</t>
    <phoneticPr fontId="2" type="noConversion"/>
  </si>
  <si>
    <t>이관</t>
    <phoneticPr fontId="2" type="noConversion"/>
  </si>
  <si>
    <t>HDB75-M01A1-1</t>
    <phoneticPr fontId="2" type="noConversion"/>
  </si>
  <si>
    <t>밀핀파손</t>
    <phoneticPr fontId="2" type="noConversion"/>
  </si>
  <si>
    <t>HDB75-M01A2(2차)</t>
    <phoneticPr fontId="2" type="noConversion"/>
  </si>
  <si>
    <t>형상이상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</si>
  <si>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</si>
  <si>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</si>
  <si>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2020년 05월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</si>
  <si>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AMB07J1B-KAA-R1</t>
    <phoneticPr fontId="2" type="noConversion"/>
  </si>
  <si>
    <t>011-135-209</t>
    <phoneticPr fontId="2" type="noConversion"/>
  </si>
  <si>
    <t>KR6152-C357TA</t>
    <phoneticPr fontId="2" type="noConversion"/>
  </si>
  <si>
    <t>HOUSING</t>
    <phoneticPr fontId="2" type="noConversion"/>
  </si>
  <si>
    <t>BC05-29H1</t>
    <phoneticPr fontId="2" type="noConversion"/>
  </si>
  <si>
    <t xml:space="preserve">SGF2030 </t>
    <phoneticPr fontId="2" type="noConversion"/>
  </si>
  <si>
    <t>전일 ISSUE 사항(15일)</t>
    <phoneticPr fontId="2" type="noConversion"/>
  </si>
  <si>
    <t>당일 진행 사항(16일)</t>
    <phoneticPr fontId="2" type="noConversion"/>
  </si>
  <si>
    <t>NP612-352-002#IN-B</t>
    <phoneticPr fontId="2" type="noConversion"/>
  </si>
  <si>
    <t>KR6197-D841PA</t>
    <phoneticPr fontId="2" type="noConversion"/>
  </si>
  <si>
    <t>SAMPLE 진행 사항(15일)</t>
    <phoneticPr fontId="2" type="noConversion"/>
  </si>
  <si>
    <t>BLUE</t>
    <phoneticPr fontId="2" type="noConversion"/>
  </si>
  <si>
    <t>금형이상2회진행</t>
    <phoneticPr fontId="2" type="noConversion"/>
  </si>
  <si>
    <t>HDB75-M01A4-1</t>
    <phoneticPr fontId="2" type="noConversion"/>
  </si>
  <si>
    <t>HDB08N-S2(2차)</t>
    <phoneticPr fontId="2" type="noConversion"/>
  </si>
  <si>
    <t>코아파손2회진행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</si>
  <si>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</si>
  <si>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</si>
  <si>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2020년 05월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</si>
  <si>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KR6197-D841PB</t>
    <phoneticPr fontId="2" type="noConversion"/>
  </si>
  <si>
    <t>NP612-352-002#CV</t>
    <phoneticPr fontId="2" type="noConversion"/>
  </si>
  <si>
    <t>NP612-316-003#LB</t>
    <phoneticPr fontId="2" type="noConversion"/>
  </si>
  <si>
    <t>PAD</t>
    <phoneticPr fontId="2" type="noConversion"/>
  </si>
  <si>
    <t>3078000-15</t>
    <phoneticPr fontId="2" type="noConversion"/>
  </si>
  <si>
    <t>전일 ISSUE 사항(16일)</t>
    <phoneticPr fontId="2" type="noConversion"/>
  </si>
  <si>
    <t>3159001</t>
    <phoneticPr fontId="2" type="noConversion"/>
  </si>
  <si>
    <t>발주분양산-&gt;미성형정지</t>
    <phoneticPr fontId="2" type="noConversion"/>
  </si>
  <si>
    <t>뜯김정지</t>
    <phoneticPr fontId="2" type="noConversion"/>
  </si>
  <si>
    <t>당일 진행 사항(18일)</t>
    <phoneticPr fontId="2" type="noConversion"/>
  </si>
  <si>
    <t>KR6408-GA480PNB</t>
    <phoneticPr fontId="2" type="noConversion"/>
  </si>
  <si>
    <t>AMB1901N-JAA-R1</t>
    <phoneticPr fontId="2" type="noConversion"/>
  </si>
  <si>
    <t>SAMPLE 진행 사항(16일)</t>
    <phoneticPr fontId="2" type="noConversion"/>
  </si>
  <si>
    <t>HDB75-M01A5-1L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</si>
  <si>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</si>
  <si>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</si>
  <si>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2020년 05월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</si>
  <si>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SF2250EPR I/V</t>
    <phoneticPr fontId="2" type="noConversion"/>
  </si>
  <si>
    <t>KR6197-F841UA</t>
    <phoneticPr fontId="2" type="noConversion"/>
  </si>
  <si>
    <t>SHAFT</t>
    <phoneticPr fontId="2" type="noConversion"/>
  </si>
  <si>
    <t>KR6202-06KA</t>
    <phoneticPr fontId="2" type="noConversion"/>
  </si>
  <si>
    <t>JCL3030</t>
    <phoneticPr fontId="2" type="noConversion"/>
  </si>
  <si>
    <t>SGP2030R</t>
    <phoneticPr fontId="2" type="noConversion"/>
  </si>
  <si>
    <t>전일 ISSUE 사항(18일)</t>
    <phoneticPr fontId="2" type="noConversion"/>
  </si>
  <si>
    <t>수정후양산</t>
    <phoneticPr fontId="2" type="noConversion"/>
  </si>
  <si>
    <t>1C 양산</t>
    <phoneticPr fontId="2" type="noConversion"/>
  </si>
  <si>
    <t>당일 진행 사항(19일)</t>
    <phoneticPr fontId="2" type="noConversion"/>
  </si>
  <si>
    <t>LATCH/PUSHER</t>
    <phoneticPr fontId="2" type="noConversion"/>
  </si>
  <si>
    <t>테스트메타</t>
    <phoneticPr fontId="2" type="noConversion"/>
  </si>
  <si>
    <t>SAMPLE 진행 사항(18일)</t>
    <phoneticPr fontId="2" type="noConversion"/>
  </si>
  <si>
    <t>HDB08NL-78T4</t>
    <phoneticPr fontId="2" type="noConversion"/>
  </si>
  <si>
    <t>HDB08NL-78L5</t>
    <phoneticPr fontId="2" type="noConversion"/>
  </si>
  <si>
    <t>HDB08NL-78B1</t>
    <phoneticPr fontId="2" type="noConversion"/>
  </si>
  <si>
    <t>상측박힘2회진행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</si>
  <si>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</si>
  <si>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</si>
  <si>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2020년 05월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</si>
  <si>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전일 ISSUE 사항(19일)</t>
    <phoneticPr fontId="2" type="noConversion"/>
  </si>
  <si>
    <t>치수NG정지</t>
    <phoneticPr fontId="2" type="noConversion"/>
  </si>
  <si>
    <t>KR6422E804CA</t>
    <phoneticPr fontId="2" type="noConversion"/>
  </si>
  <si>
    <t>발주분양산-&gt;코아파손2회수리</t>
    <phoneticPr fontId="2" type="noConversion"/>
  </si>
  <si>
    <t>LATCH,PUSHER</t>
    <phoneticPr fontId="2" type="noConversion"/>
  </si>
  <si>
    <t>당일 진행 사항(20일)</t>
    <phoneticPr fontId="2" type="noConversion"/>
  </si>
  <si>
    <t>KR6166-01TB</t>
    <phoneticPr fontId="2" type="noConversion"/>
  </si>
  <si>
    <t>설비이동양산</t>
    <phoneticPr fontId="2" type="noConversion"/>
  </si>
  <si>
    <t>SAMPLE 진행 사항(19일)</t>
    <phoneticPr fontId="2" type="noConversion"/>
  </si>
  <si>
    <t>NP643-631-001#IN-B</t>
    <phoneticPr fontId="2" type="noConversion"/>
  </si>
  <si>
    <t>K-AR3534-1A</t>
    <phoneticPr fontId="2" type="noConversion"/>
  </si>
  <si>
    <t>K-AR3531-1A</t>
    <phoneticPr fontId="2" type="noConversion"/>
  </si>
  <si>
    <t>하측뜯김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</si>
  <si>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</si>
  <si>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</si>
  <si>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2020년 05월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</si>
  <si>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전일 ISSUE 사항(20일)</t>
    <phoneticPr fontId="2" type="noConversion"/>
  </si>
  <si>
    <t>코아파손수리-&gt;코아파손정지</t>
    <phoneticPr fontId="2" type="noConversion"/>
  </si>
  <si>
    <t>KR6166-01TB</t>
    <phoneticPr fontId="2" type="noConversion"/>
  </si>
  <si>
    <t>6</t>
    <phoneticPr fontId="2" type="noConversion"/>
  </si>
  <si>
    <t>SHAFT</t>
    <phoneticPr fontId="2" type="noConversion"/>
  </si>
  <si>
    <t>3160001</t>
    <phoneticPr fontId="2" type="noConversion"/>
  </si>
  <si>
    <t>15</t>
    <phoneticPr fontId="2" type="noConversion"/>
  </si>
  <si>
    <t>COVER</t>
    <phoneticPr fontId="2" type="noConversion"/>
  </si>
  <si>
    <t>치수확인후양산</t>
    <phoneticPr fontId="2" type="noConversion"/>
  </si>
  <si>
    <t>당일 진행 사항(21일)</t>
    <phoneticPr fontId="2" type="noConversion"/>
  </si>
  <si>
    <t>AMB0443A-KAA-R1</t>
    <phoneticPr fontId="2" type="noConversion"/>
  </si>
  <si>
    <t>AMB07M4A-KAA-R1</t>
    <phoneticPr fontId="2" type="noConversion"/>
  </si>
  <si>
    <t>12</t>
    <phoneticPr fontId="2" type="noConversion"/>
  </si>
  <si>
    <t>F/ADAPTER</t>
    <phoneticPr fontId="2" type="noConversion"/>
  </si>
  <si>
    <t>KR6197-D841PB</t>
    <phoneticPr fontId="2" type="noConversion"/>
  </si>
  <si>
    <t>수리후양산</t>
    <phoneticPr fontId="2" type="noConversion"/>
  </si>
  <si>
    <t>SST</t>
    <phoneticPr fontId="2" type="noConversion"/>
  </si>
  <si>
    <t>3</t>
    <phoneticPr fontId="2" type="noConversion"/>
  </si>
  <si>
    <t>SAMPLE 진행 사항(20일)</t>
    <phoneticPr fontId="2" type="noConversion"/>
  </si>
  <si>
    <t>HDB75-M01A4-1</t>
    <phoneticPr fontId="2" type="noConversion"/>
  </si>
  <si>
    <t>HICON</t>
    <phoneticPr fontId="2" type="noConversion"/>
  </si>
  <si>
    <t>STOPPER</t>
    <phoneticPr fontId="2" type="noConversion"/>
  </si>
  <si>
    <t>SGF2041</t>
    <phoneticPr fontId="2" type="noConversion"/>
  </si>
  <si>
    <t>수정</t>
    <phoneticPr fontId="2" type="noConversion"/>
  </si>
  <si>
    <t>4</t>
    <phoneticPr fontId="2" type="noConversion"/>
  </si>
  <si>
    <t>치수확인용</t>
    <phoneticPr fontId="2" type="noConversion"/>
  </si>
  <si>
    <t>K-AR3531-1A</t>
    <phoneticPr fontId="2" type="noConversion"/>
  </si>
  <si>
    <t>SGF2033</t>
    <phoneticPr fontId="2" type="noConversion"/>
  </si>
  <si>
    <t>BASE</t>
    <phoneticPr fontId="2" type="noConversion"/>
  </si>
  <si>
    <t>KR6408-GA480PNB</t>
    <phoneticPr fontId="2" type="noConversion"/>
  </si>
  <si>
    <t>SF2255,SF2250EPR I/V</t>
    <phoneticPr fontId="2" type="noConversion"/>
  </si>
  <si>
    <t>설비이동</t>
    <phoneticPr fontId="2" type="noConversion"/>
  </si>
  <si>
    <t>10</t>
    <phoneticPr fontId="2" type="noConversion"/>
  </si>
  <si>
    <t>ADAPTER</t>
    <phoneticPr fontId="2" type="noConversion"/>
  </si>
  <si>
    <t>HDB75-M01A4-1L</t>
    <phoneticPr fontId="2" type="noConversion"/>
  </si>
  <si>
    <t>신작</t>
    <phoneticPr fontId="2" type="noConversion"/>
  </si>
  <si>
    <t>이관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</si>
  <si>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</si>
  <si>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</si>
  <si>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2020년 05월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</si>
  <si>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KR6181-B221UA</t>
    <phoneticPr fontId="2" type="noConversion"/>
  </si>
  <si>
    <t>FRONT/REAR</t>
    <phoneticPr fontId="2" type="noConversion"/>
  </si>
  <si>
    <t>2*2</t>
    <phoneticPr fontId="2" type="noConversion"/>
  </si>
  <si>
    <t>KR6181-A152YA</t>
    <phoneticPr fontId="2" type="noConversion"/>
  </si>
  <si>
    <t>전일 ISSUE 사항(21일)</t>
    <phoneticPr fontId="2" type="noConversion"/>
  </si>
  <si>
    <t>SAMPLE 진행 사항(21일)</t>
    <phoneticPr fontId="2" type="noConversion"/>
  </si>
  <si>
    <t>KR6166-GA221QA</t>
    <phoneticPr fontId="2" type="noConversion"/>
  </si>
  <si>
    <t>당일 진행 사항(22일)</t>
    <phoneticPr fontId="2" type="noConversion"/>
  </si>
  <si>
    <t>SW-003152</t>
    <phoneticPr fontId="2" type="noConversion"/>
  </si>
  <si>
    <t>ODT</t>
    <phoneticPr fontId="2" type="noConversion"/>
  </si>
  <si>
    <t>HOLDER</t>
    <phoneticPr fontId="2" type="noConversion"/>
  </si>
  <si>
    <t>BG255-001A1</t>
    <phoneticPr fontId="2" type="noConversion"/>
  </si>
  <si>
    <t>HICIN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</si>
  <si>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</si>
  <si>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</si>
  <si>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2020년 05월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</si>
  <si>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AMB07U9A-KAA-R3</t>
    <phoneticPr fontId="2" type="noConversion"/>
  </si>
  <si>
    <t>KR6181-F221UA</t>
    <phoneticPr fontId="2" type="noConversion"/>
  </si>
  <si>
    <t>PBT</t>
    <phoneticPr fontId="2" type="noConversion"/>
  </si>
  <si>
    <t>BG255-01A1</t>
    <phoneticPr fontId="2" type="noConversion"/>
  </si>
  <si>
    <t>전일 ISSUE 사항(22일)</t>
    <phoneticPr fontId="2" type="noConversion"/>
  </si>
  <si>
    <t>승인후양산</t>
    <phoneticPr fontId="2" type="noConversion"/>
  </si>
  <si>
    <t>당일 진행 사항(25일)</t>
    <phoneticPr fontId="2" type="noConversion"/>
  </si>
  <si>
    <t>AMB0150A-KAA-R1</t>
    <phoneticPr fontId="2" type="noConversion"/>
  </si>
  <si>
    <t>KR6152-GZ178QA</t>
    <phoneticPr fontId="2" type="noConversion"/>
  </si>
  <si>
    <t>SAMPLE 진행 사항(22일)</t>
    <phoneticPr fontId="2" type="noConversion"/>
  </si>
  <si>
    <t>SF2250EPR N/P</t>
    <phoneticPr fontId="2" type="noConversion"/>
  </si>
  <si>
    <t>NP413-77549#IN-B</t>
    <phoneticPr fontId="2" type="noConversion"/>
  </si>
  <si>
    <t>치수NG</t>
    <phoneticPr fontId="2" type="noConversion"/>
  </si>
  <si>
    <t>AMB09E8A-KAA-R1(옵션)</t>
    <phoneticPr fontId="2" type="noConversion"/>
  </si>
  <si>
    <t>BURR2회진행</t>
    <phoneticPr fontId="2" type="noConversion"/>
  </si>
  <si>
    <t>LATCH PLATE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</si>
  <si>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</si>
  <si>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</si>
  <si>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2020년 05월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</si>
  <si>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3078000-01</t>
    <phoneticPr fontId="2" type="noConversion"/>
  </si>
  <si>
    <t>KR6150-E052TA</t>
    <phoneticPr fontId="2" type="noConversion"/>
  </si>
  <si>
    <t>AMB0242A-KAA-R1</t>
    <phoneticPr fontId="2" type="noConversion"/>
  </si>
  <si>
    <t>전일 ISSUE 사항(25일)</t>
    <phoneticPr fontId="2" type="noConversion"/>
  </si>
  <si>
    <t>당일 진행 사항(26일)</t>
    <phoneticPr fontId="2" type="noConversion"/>
  </si>
  <si>
    <t>AMB1932A-KAA-R1</t>
    <phoneticPr fontId="2" type="noConversion"/>
  </si>
  <si>
    <t>AMB0182A-KAA-R1</t>
    <phoneticPr fontId="2" type="noConversion"/>
  </si>
  <si>
    <t>AMB0201C-JAA-R3</t>
    <phoneticPr fontId="2" type="noConversion"/>
  </si>
  <si>
    <t>AMM0822A-KAB-R1</t>
    <phoneticPr fontId="2" type="noConversion"/>
  </si>
  <si>
    <t>SAMPLE 진행 사항(25일)</t>
    <phoneticPr fontId="2" type="noConversion"/>
  </si>
  <si>
    <t>HDB75-M01A4-1L(44)</t>
    <phoneticPr fontId="2" type="noConversion"/>
  </si>
  <si>
    <t>AMB07W9A-KAA-R1(1C)</t>
    <phoneticPr fontId="2" type="noConversion"/>
  </si>
  <si>
    <t>KR6152-GE130AB</t>
    <phoneticPr fontId="2" type="noConversion"/>
  </si>
  <si>
    <t>HDB08NL-78S2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</si>
  <si>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</si>
  <si>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</si>
  <si>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2020년 05월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</si>
  <si>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전일 ISSUE 사항(26일)</t>
    <phoneticPr fontId="2" type="noConversion"/>
  </si>
  <si>
    <t>당일 진행 사항(27일)</t>
    <phoneticPr fontId="2" type="noConversion"/>
  </si>
  <si>
    <t>NP413-136-097#GP</t>
    <phoneticPr fontId="2" type="noConversion"/>
  </si>
  <si>
    <t>NP413-187-092#IN-B-1</t>
    <phoneticPr fontId="2" type="noConversion"/>
  </si>
  <si>
    <t>SAMPLE 진행 사항(26일)</t>
    <phoneticPr fontId="2" type="noConversion"/>
  </si>
  <si>
    <t>오조립,게이트막힘,코아파손</t>
    <phoneticPr fontId="2" type="noConversion"/>
  </si>
  <si>
    <t>NP643-631-001#IN-A</t>
    <phoneticPr fontId="2" type="noConversion"/>
  </si>
  <si>
    <t>검토용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</si>
  <si>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</si>
  <si>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</si>
  <si>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2020년 05월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</si>
  <si>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HDB75-M01A2</t>
    <phoneticPr fontId="2" type="noConversion"/>
  </si>
  <si>
    <t>전일 ISSUE 사항(27일)</t>
    <phoneticPr fontId="2" type="noConversion"/>
  </si>
  <si>
    <t>단차3회정지</t>
    <phoneticPr fontId="2" type="noConversion"/>
  </si>
  <si>
    <t>HDB75-M01A2(증)</t>
    <phoneticPr fontId="2" type="noConversion"/>
  </si>
  <si>
    <t>당일 진행 사항(28일)</t>
    <phoneticPr fontId="2" type="noConversion"/>
  </si>
  <si>
    <t>SAMPLE 진행 사항(27일)</t>
    <phoneticPr fontId="2" type="noConversion"/>
  </si>
  <si>
    <t>SGF2050,7301</t>
    <phoneticPr fontId="2" type="noConversion"/>
  </si>
  <si>
    <t>288C84A-B141A</t>
    <phoneticPr fontId="2" type="noConversion"/>
  </si>
  <si>
    <t>하측박힘수리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</si>
  <si>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</si>
  <si>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</si>
  <si>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2020년 05월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</si>
  <si>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HDB75-M01A1-1L</t>
    <phoneticPr fontId="2" type="noConversion"/>
  </si>
  <si>
    <t>전일 ISSUE 사항(28일)</t>
    <phoneticPr fontId="2" type="noConversion"/>
  </si>
  <si>
    <t>발주분양산-&gt;코아파손4회정지</t>
    <phoneticPr fontId="2" type="noConversion"/>
  </si>
  <si>
    <t>세척후양산-&gt;상측박힘2회수리</t>
    <phoneticPr fontId="2" type="noConversion"/>
  </si>
  <si>
    <t>당일 진행 사항(29일)</t>
    <phoneticPr fontId="2" type="noConversion"/>
  </si>
  <si>
    <t>SAMPLE 진행 사항(28일)</t>
    <phoneticPr fontId="2" type="noConversion"/>
  </si>
  <si>
    <t>SF2250EPR,7301</t>
    <phoneticPr fontId="2" type="noConversion"/>
  </si>
  <si>
    <t>288C84A-U141A</t>
    <phoneticPr fontId="2" type="noConversion"/>
  </si>
  <si>
    <t>UNDER BASE</t>
    <phoneticPr fontId="2" type="noConversion"/>
  </si>
  <si>
    <t>AMB07W9A-KAA-R2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</si>
  <si>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</si>
  <si>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</si>
  <si>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2020년 05월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</si>
  <si>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NP595-877-014#LB</t>
    <phoneticPr fontId="2" type="noConversion"/>
  </si>
  <si>
    <t>HICON</t>
  </si>
  <si>
    <t>4*4/8*8</t>
    <phoneticPr fontId="2" type="noConversion"/>
  </si>
  <si>
    <t>2*1</t>
    <phoneticPr fontId="2" type="noConversion"/>
  </si>
  <si>
    <t>12*12</t>
    <phoneticPr fontId="2" type="noConversion"/>
  </si>
  <si>
    <t>전일 ISSUE 사항(29일)</t>
    <phoneticPr fontId="2" type="noConversion"/>
  </si>
  <si>
    <t>발주분양산-&gt;코아파손2회</t>
    <phoneticPr fontId="2" type="noConversion"/>
  </si>
  <si>
    <t>발주분양산-&gt;세척후양산</t>
    <phoneticPr fontId="2" type="noConversion"/>
  </si>
  <si>
    <t>AMB0184A-KAA-R1</t>
    <phoneticPr fontId="2" type="noConversion"/>
  </si>
  <si>
    <t>치수확인후양산</t>
    <phoneticPr fontId="2" type="noConversion"/>
  </si>
  <si>
    <t>MCS</t>
    <phoneticPr fontId="2" type="noConversion"/>
  </si>
  <si>
    <t>4</t>
    <phoneticPr fontId="2" type="noConversion"/>
  </si>
  <si>
    <t>7</t>
    <phoneticPr fontId="2" type="noConversion"/>
  </si>
  <si>
    <t>ACTUATOR</t>
    <phoneticPr fontId="2" type="noConversion"/>
  </si>
  <si>
    <t>AMB1933A-KAA-R1</t>
    <phoneticPr fontId="2" type="noConversion"/>
  </si>
  <si>
    <t>14</t>
    <phoneticPr fontId="2" type="noConversion"/>
  </si>
  <si>
    <t>4*4/8*8</t>
    <phoneticPr fontId="2" type="noConversion"/>
  </si>
  <si>
    <t>12*12</t>
    <phoneticPr fontId="2" type="noConversion"/>
  </si>
  <si>
    <t>BOTTOM</t>
    <phoneticPr fontId="2" type="noConversion"/>
  </si>
  <si>
    <t>TOP/BOTTOM</t>
    <phoneticPr fontId="2" type="noConversion"/>
  </si>
  <si>
    <t>당일 진행 사항(01일)</t>
    <phoneticPr fontId="2" type="noConversion"/>
  </si>
  <si>
    <t>AYE</t>
    <phoneticPr fontId="2" type="noConversion"/>
  </si>
  <si>
    <t>10</t>
    <phoneticPr fontId="2" type="noConversion"/>
  </si>
  <si>
    <t>AMB07W9A-KAA-R2</t>
    <phoneticPr fontId="2" type="noConversion"/>
  </si>
  <si>
    <t>ADAPTER</t>
    <phoneticPr fontId="2" type="noConversion"/>
  </si>
  <si>
    <t>SAMPLE 진행 사항(29일)</t>
    <phoneticPr fontId="2" type="noConversion"/>
  </si>
  <si>
    <t>HSB08N-C3</t>
    <phoneticPr fontId="2" type="noConversion"/>
  </si>
  <si>
    <t>HICON</t>
    <phoneticPr fontId="2" type="noConversion"/>
  </si>
  <si>
    <t>SGF2030 N/P</t>
  </si>
  <si>
    <t>SGF2030 N/P</t>
    <phoneticPr fontId="2" type="noConversion"/>
  </si>
  <si>
    <t>수정</t>
  </si>
  <si>
    <t>수정</t>
    <phoneticPr fontId="2" type="noConversion"/>
  </si>
  <si>
    <t>2</t>
  </si>
  <si>
    <t>2</t>
    <phoneticPr fontId="2" type="noConversion"/>
  </si>
  <si>
    <t>COVER</t>
  </si>
  <si>
    <t>COVER</t>
    <phoneticPr fontId="2" type="noConversion"/>
  </si>
  <si>
    <t>HSB08N-C3(증)</t>
    <phoneticPr fontId="2" type="noConversion"/>
  </si>
  <si>
    <t>BASE</t>
    <phoneticPr fontId="2" type="noConversion"/>
  </si>
  <si>
    <t>JD4901</t>
    <phoneticPr fontId="2" type="noConversion"/>
  </si>
  <si>
    <t>HDB08NL-78B1</t>
    <phoneticPr fontId="2" type="noConversion"/>
  </si>
  <si>
    <t>SGF2041</t>
    <phoneticPr fontId="2" type="noConversion"/>
  </si>
  <si>
    <t>금형 수리 내역(29일)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</si>
</sst>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14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26" xfId="2" applyFont="1" applyBorder="1" applyAlignment="1">
      <alignment horizontal="center" vertical="center"/>
    </xf>
    <xf numFmtId="0" fontId="13" fillId="0" borderId="60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1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1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'01'!$D$6:$D$23</c:f>
              <c:strCache>
                <c:ptCount val="17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4">
                  <c:v>8LEAD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'01'!$L$6:$L$23</c:f>
              <c:numCache>
                <c:formatCode>_(* #,##0_);_(* \(#,##0\);_(* "-"_);_(@_)</c:formatCode>
                <c:ptCount val="18"/>
                <c:pt idx="0">
                  <c:v>5382</c:v>
                </c:pt>
                <c:pt idx="2">
                  <c:v>5409</c:v>
                </c:pt>
                <c:pt idx="3">
                  <c:v>5591</c:v>
                </c:pt>
                <c:pt idx="4">
                  <c:v>41808</c:v>
                </c:pt>
                <c:pt idx="5">
                  <c:v>4141</c:v>
                </c:pt>
                <c:pt idx="6">
                  <c:v>3656</c:v>
                </c:pt>
                <c:pt idx="7">
                  <c:v>828</c:v>
                </c:pt>
                <c:pt idx="8">
                  <c:v>5328</c:v>
                </c:pt>
                <c:pt idx="11">
                  <c:v>5458</c:v>
                </c:pt>
                <c:pt idx="13">
                  <c:v>1797</c:v>
                </c:pt>
                <c:pt idx="14">
                  <c:v>1042</c:v>
                </c:pt>
                <c:pt idx="15">
                  <c:v>5062</c:v>
                </c:pt>
                <c:pt idx="16">
                  <c:v>1413</c:v>
                </c:pt>
                <c:pt idx="17">
                  <c:v>17283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D-4D4F-B98F-DB74D4C2C26F}"/>
            </c:ext>
          </c:extLst>
        </c:ser>
        <c:ser>
          <c:idx val="1"/>
          <c:order val="1"/>
          <c:tx>
            <c:v>계획</c:v>
          </c:tx>
          <c:cat>
            <c:strRef>
              <c:f>'01'!$D$6:$D$23</c:f>
              <c:strCache>
                <c:ptCount val="17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4">
                  <c:v>8LEAD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'01'!$J$6:$J$23</c:f>
              <c:numCache>
                <c:formatCode>_(* #,##0_);_(* \(#,##0\);_(* "-"_);_(@_)</c:formatCode>
                <c:ptCount val="18"/>
                <c:pt idx="0">
                  <c:v>5382</c:v>
                </c:pt>
                <c:pt idx="1">
                  <c:v>1223</c:v>
                </c:pt>
                <c:pt idx="2">
                  <c:v>5409</c:v>
                </c:pt>
                <c:pt idx="3">
                  <c:v>5591</c:v>
                </c:pt>
                <c:pt idx="4">
                  <c:v>41808</c:v>
                </c:pt>
                <c:pt idx="5">
                  <c:v>4141</c:v>
                </c:pt>
                <c:pt idx="6">
                  <c:v>3656</c:v>
                </c:pt>
                <c:pt idx="7">
                  <c:v>828</c:v>
                </c:pt>
                <c:pt idx="8">
                  <c:v>5328</c:v>
                </c:pt>
                <c:pt idx="9">
                  <c:v>339</c:v>
                </c:pt>
                <c:pt idx="10">
                  <c:v>3839</c:v>
                </c:pt>
                <c:pt idx="11">
                  <c:v>5458</c:v>
                </c:pt>
                <c:pt idx="12">
                  <c:v>16824</c:v>
                </c:pt>
                <c:pt idx="13">
                  <c:v>1797</c:v>
                </c:pt>
                <c:pt idx="14">
                  <c:v>1042</c:v>
                </c:pt>
                <c:pt idx="15">
                  <c:v>5062</c:v>
                </c:pt>
                <c:pt idx="16">
                  <c:v>1413</c:v>
                </c:pt>
                <c:pt idx="17">
                  <c:v>17283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7D-4D4F-B98F-DB74D4C2C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'01'!$AD$6:$AD$23</c:f>
              <c:strCache>
                <c:ptCount val="18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83%</c:v>
                </c:pt>
                <c:pt idx="6">
                  <c:v>67%</c:v>
                </c:pt>
                <c:pt idx="7">
                  <c:v>21%</c:v>
                </c:pt>
                <c:pt idx="8">
                  <c:v>71%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25%</c:v>
                </c:pt>
                <c:pt idx="14">
                  <c:v>21%</c:v>
                </c:pt>
                <c:pt idx="15">
                  <c:v>100%</c:v>
                </c:pt>
                <c:pt idx="16">
                  <c:v>33%</c:v>
                </c:pt>
                <c:pt idx="17">
                  <c:v>25%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4">
                  <c:v>8LEAD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'01'!$AD$6:$AD$23</c:f>
              <c:numCache>
                <c:formatCode>0%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0.83333333333333337</c:v>
                </c:pt>
                <c:pt idx="6">
                  <c:v>0.66666666666666663</c:v>
                </c:pt>
                <c:pt idx="7">
                  <c:v>0.20833333333333334</c:v>
                </c:pt>
                <c:pt idx="8">
                  <c:v>0.70833333333333337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0.25</c:v>
                </c:pt>
                <c:pt idx="14">
                  <c:v>0.20833333333333334</c:v>
                </c:pt>
                <c:pt idx="15">
                  <c:v>1</c:v>
                </c:pt>
                <c:pt idx="16">
                  <c:v>0.33333333333333331</c:v>
                </c:pt>
                <c:pt idx="17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9B-4A4F-8730-63F2FFCE9B9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9B-4A4F-8730-63F2FFCE9B9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4">
                  <c:v>8LEAD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'01'!$AE$6:$AE$23</c:f>
              <c:numCache>
                <c:formatCode>0%</c:formatCode>
                <c:ptCount val="18"/>
                <c:pt idx="0">
                  <c:v>0.25</c:v>
                </c:pt>
                <c:pt idx="1">
                  <c:v>0.52546296296296302</c:v>
                </c:pt>
                <c:pt idx="2">
                  <c:v>0.52546296296296302</c:v>
                </c:pt>
                <c:pt idx="3">
                  <c:v>0.52546296296296302</c:v>
                </c:pt>
                <c:pt idx="4">
                  <c:v>0.52546296296296302</c:v>
                </c:pt>
                <c:pt idx="5">
                  <c:v>0.52546296296296302</c:v>
                </c:pt>
                <c:pt idx="6">
                  <c:v>0.52546296296296302</c:v>
                </c:pt>
                <c:pt idx="7">
                  <c:v>0.52546296296296302</c:v>
                </c:pt>
                <c:pt idx="8">
                  <c:v>0.52546296296296302</c:v>
                </c:pt>
                <c:pt idx="9">
                  <c:v>0.52546296296296302</c:v>
                </c:pt>
                <c:pt idx="10">
                  <c:v>0.52546296296296302</c:v>
                </c:pt>
                <c:pt idx="11">
                  <c:v>0.52546296296296302</c:v>
                </c:pt>
                <c:pt idx="12">
                  <c:v>0.52546296296296302</c:v>
                </c:pt>
                <c:pt idx="13">
                  <c:v>0.52546296296296302</c:v>
                </c:pt>
                <c:pt idx="14">
                  <c:v>0.52546296296296302</c:v>
                </c:pt>
                <c:pt idx="15">
                  <c:v>0.52546296296296302</c:v>
                </c:pt>
                <c:pt idx="16">
                  <c:v>0.52546296296296302</c:v>
                </c:pt>
                <c:pt idx="17">
                  <c:v>0.52546296296296302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9B-4A4F-8730-63F2FFCE9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'01'!$D$6:$D$23</c:f>
              <c:strCache>
                <c:ptCount val="17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4">
                  <c:v>8LEAD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'01'!$L$6:$L$23</c:f>
              <c:numCache>
                <c:formatCode>_(* #,##0_);_(* \(#,##0\);_(* "-"_);_(@_)</c:formatCode>
                <c:ptCount val="18"/>
                <c:pt idx="0">
                  <c:v>5382</c:v>
                </c:pt>
                <c:pt idx="2">
                  <c:v>5409</c:v>
                </c:pt>
                <c:pt idx="3">
                  <c:v>5591</c:v>
                </c:pt>
                <c:pt idx="4">
                  <c:v>41808</c:v>
                </c:pt>
                <c:pt idx="5">
                  <c:v>4141</c:v>
                </c:pt>
                <c:pt idx="6">
                  <c:v>3656</c:v>
                </c:pt>
                <c:pt idx="7">
                  <c:v>828</c:v>
                </c:pt>
                <c:pt idx="8">
                  <c:v>5328</c:v>
                </c:pt>
                <c:pt idx="11">
                  <c:v>5458</c:v>
                </c:pt>
                <c:pt idx="13">
                  <c:v>1797</c:v>
                </c:pt>
                <c:pt idx="14">
                  <c:v>1042</c:v>
                </c:pt>
                <c:pt idx="15">
                  <c:v>5062</c:v>
                </c:pt>
                <c:pt idx="16">
                  <c:v>1413</c:v>
                </c:pt>
                <c:pt idx="17">
                  <c:v>17283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0-43E5-80EF-5603BBCEFCF4}"/>
            </c:ext>
          </c:extLst>
        </c:ser>
        <c:ser>
          <c:idx val="1"/>
          <c:order val="1"/>
          <c:tx>
            <c:v>계획</c:v>
          </c:tx>
          <c:cat>
            <c:strRef>
              <c:f>'01'!$D$6:$D$23</c:f>
              <c:strCache>
                <c:ptCount val="17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4">
                  <c:v>8LEAD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'01'!$J$6:$J$23</c:f>
              <c:numCache>
                <c:formatCode>_(* #,##0_);_(* \(#,##0\);_(* "-"_);_(@_)</c:formatCode>
                <c:ptCount val="18"/>
                <c:pt idx="0">
                  <c:v>5382</c:v>
                </c:pt>
                <c:pt idx="1">
                  <c:v>1223</c:v>
                </c:pt>
                <c:pt idx="2">
                  <c:v>5409</c:v>
                </c:pt>
                <c:pt idx="3">
                  <c:v>5591</c:v>
                </c:pt>
                <c:pt idx="4">
                  <c:v>41808</c:v>
                </c:pt>
                <c:pt idx="5">
                  <c:v>4141</c:v>
                </c:pt>
                <c:pt idx="6">
                  <c:v>3656</c:v>
                </c:pt>
                <c:pt idx="7">
                  <c:v>828</c:v>
                </c:pt>
                <c:pt idx="8">
                  <c:v>5328</c:v>
                </c:pt>
                <c:pt idx="9">
                  <c:v>339</c:v>
                </c:pt>
                <c:pt idx="10">
                  <c:v>3839</c:v>
                </c:pt>
                <c:pt idx="11">
                  <c:v>5458</c:v>
                </c:pt>
                <c:pt idx="12">
                  <c:v>16824</c:v>
                </c:pt>
                <c:pt idx="13">
                  <c:v>1797</c:v>
                </c:pt>
                <c:pt idx="14">
                  <c:v>1042</c:v>
                </c:pt>
                <c:pt idx="15">
                  <c:v>5062</c:v>
                </c:pt>
                <c:pt idx="16">
                  <c:v>1413</c:v>
                </c:pt>
                <c:pt idx="17">
                  <c:v>17283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0-43E5-80EF-5603BBCEF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'01'!$AD$6:$AD$23</c:f>
              <c:strCache>
                <c:ptCount val="18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83%</c:v>
                </c:pt>
                <c:pt idx="6">
                  <c:v>67%</c:v>
                </c:pt>
                <c:pt idx="7">
                  <c:v>21%</c:v>
                </c:pt>
                <c:pt idx="8">
                  <c:v>71%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25%</c:v>
                </c:pt>
                <c:pt idx="14">
                  <c:v>21%</c:v>
                </c:pt>
                <c:pt idx="15">
                  <c:v>100%</c:v>
                </c:pt>
                <c:pt idx="16">
                  <c:v>33%</c:v>
                </c:pt>
                <c:pt idx="17">
                  <c:v>25%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4">
                  <c:v>8LEAD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'01'!$AD$6:$AD$23</c:f>
              <c:numCache>
                <c:formatCode>0%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0.83333333333333337</c:v>
                </c:pt>
                <c:pt idx="6">
                  <c:v>0.66666666666666663</c:v>
                </c:pt>
                <c:pt idx="7">
                  <c:v>0.20833333333333334</c:v>
                </c:pt>
                <c:pt idx="8">
                  <c:v>0.70833333333333337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0.25</c:v>
                </c:pt>
                <c:pt idx="14">
                  <c:v>0.20833333333333334</c:v>
                </c:pt>
                <c:pt idx="15">
                  <c:v>1</c:v>
                </c:pt>
                <c:pt idx="16">
                  <c:v>0.33333333333333331</c:v>
                </c:pt>
                <c:pt idx="17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A-4481-B486-CEB75C1EC0E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6A-4481-B486-CEB75C1EC0E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4">
                  <c:v>8LEAD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'01'!$AE$6:$AE$23</c:f>
              <c:numCache>
                <c:formatCode>0%</c:formatCode>
                <c:ptCount val="18"/>
                <c:pt idx="0">
                  <c:v>0.25</c:v>
                </c:pt>
                <c:pt idx="1">
                  <c:v>0.52546296296296302</c:v>
                </c:pt>
                <c:pt idx="2">
                  <c:v>0.52546296296296302</c:v>
                </c:pt>
                <c:pt idx="3">
                  <c:v>0.52546296296296302</c:v>
                </c:pt>
                <c:pt idx="4">
                  <c:v>0.52546296296296302</c:v>
                </c:pt>
                <c:pt idx="5">
                  <c:v>0.52546296296296302</c:v>
                </c:pt>
                <c:pt idx="6">
                  <c:v>0.52546296296296302</c:v>
                </c:pt>
                <c:pt idx="7">
                  <c:v>0.52546296296296302</c:v>
                </c:pt>
                <c:pt idx="8">
                  <c:v>0.52546296296296302</c:v>
                </c:pt>
                <c:pt idx="9">
                  <c:v>0.52546296296296302</c:v>
                </c:pt>
                <c:pt idx="10">
                  <c:v>0.52546296296296302</c:v>
                </c:pt>
                <c:pt idx="11">
                  <c:v>0.52546296296296302</c:v>
                </c:pt>
                <c:pt idx="12">
                  <c:v>0.52546296296296302</c:v>
                </c:pt>
                <c:pt idx="13">
                  <c:v>0.52546296296296302</c:v>
                </c:pt>
                <c:pt idx="14">
                  <c:v>0.52546296296296302</c:v>
                </c:pt>
                <c:pt idx="15">
                  <c:v>0.52546296296296302</c:v>
                </c:pt>
                <c:pt idx="16">
                  <c:v>0.52546296296296302</c:v>
                </c:pt>
                <c:pt idx="17">
                  <c:v>0.52546296296296302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6A-4481-B486-CEB75C1EC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FAB-46C8-9374-C3282AE50B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B-46C8-9374-C3282AE50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FAB-46C8-9374-C3282AE50B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AB-46C8-9374-C3282AE50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8LEAD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0">
                  <c:v>2467</c:v>
                </c:pt>
                <c:pt idx="2">
                  <c:v>5469</c:v>
                </c:pt>
                <c:pt idx="3">
                  <c:v>4275</c:v>
                </c:pt>
                <c:pt idx="4">
                  <c:v>39572</c:v>
                </c:pt>
                <c:pt idx="5">
                  <c:v>4654</c:v>
                </c:pt>
                <c:pt idx="6">
                  <c:v>4456</c:v>
                </c:pt>
                <c:pt idx="7">
                  <c:v>12076</c:v>
                </c:pt>
                <c:pt idx="8">
                  <c:v>376</c:v>
                </c:pt>
                <c:pt idx="10">
                  <c:v>5463</c:v>
                </c:pt>
                <c:pt idx="12">
                  <c:v>3116</c:v>
                </c:pt>
                <c:pt idx="13">
                  <c:v>4583</c:v>
                </c:pt>
                <c:pt idx="14">
                  <c:v>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2-4726-9728-0697BA562720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8LEAD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2467</c:v>
                </c:pt>
                <c:pt idx="1">
                  <c:v>1223</c:v>
                </c:pt>
                <c:pt idx="2">
                  <c:v>5469</c:v>
                </c:pt>
                <c:pt idx="3">
                  <c:v>4275</c:v>
                </c:pt>
                <c:pt idx="4">
                  <c:v>39572</c:v>
                </c:pt>
                <c:pt idx="5">
                  <c:v>4654</c:v>
                </c:pt>
                <c:pt idx="6">
                  <c:v>4456</c:v>
                </c:pt>
                <c:pt idx="7">
                  <c:v>12076</c:v>
                </c:pt>
                <c:pt idx="8">
                  <c:v>376</c:v>
                </c:pt>
                <c:pt idx="9">
                  <c:v>3839</c:v>
                </c:pt>
                <c:pt idx="10">
                  <c:v>5463</c:v>
                </c:pt>
                <c:pt idx="11">
                  <c:v>16824</c:v>
                </c:pt>
                <c:pt idx="12">
                  <c:v>3116</c:v>
                </c:pt>
                <c:pt idx="13">
                  <c:v>4583</c:v>
                </c:pt>
                <c:pt idx="14">
                  <c:v>464</c:v>
                </c:pt>
                <c:pt idx="15">
                  <c:v>17283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02-4726-9728-0697BA562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50%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92%</c:v>
                </c:pt>
                <c:pt idx="6">
                  <c:v>88%</c:v>
                </c:pt>
                <c:pt idx="7">
                  <c:v>100%</c:v>
                </c:pt>
                <c:pt idx="8">
                  <c:v>25%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79%</c:v>
                </c:pt>
                <c:pt idx="13">
                  <c:v>100%</c:v>
                </c:pt>
                <c:pt idx="14">
                  <c:v>13%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8LEAD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0.5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0.91666666666666663</c:v>
                </c:pt>
                <c:pt idx="6">
                  <c:v>0.875</c:v>
                </c:pt>
                <c:pt idx="7">
                  <c:v>1</c:v>
                </c:pt>
                <c:pt idx="8">
                  <c:v>0.25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0.79166666666666663</c:v>
                </c:pt>
                <c:pt idx="13">
                  <c:v>1</c:v>
                </c:pt>
                <c:pt idx="14">
                  <c:v>0.125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B9-47DC-88E2-53847D78B9F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6B9-47DC-88E2-53847D78B9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8LEAD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</c:v>
                </c:pt>
                <c:pt idx="1">
                  <c:v>0.58333333333333337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0.58333333333333337</c:v>
                </c:pt>
                <c:pt idx="6">
                  <c:v>0.58333333333333337</c:v>
                </c:pt>
                <c:pt idx="7">
                  <c:v>0.58333333333333337</c:v>
                </c:pt>
                <c:pt idx="8">
                  <c:v>0.58333333333333337</c:v>
                </c:pt>
                <c:pt idx="9">
                  <c:v>0.58333333333333337</c:v>
                </c:pt>
                <c:pt idx="10">
                  <c:v>0.58333333333333337</c:v>
                </c:pt>
                <c:pt idx="11">
                  <c:v>0.58333333333333337</c:v>
                </c:pt>
                <c:pt idx="12">
                  <c:v>0.58333333333333337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B9-47DC-88E2-53847D78B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8LEAD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0">
                  <c:v>2467</c:v>
                </c:pt>
                <c:pt idx="2">
                  <c:v>5469</c:v>
                </c:pt>
                <c:pt idx="3">
                  <c:v>4275</c:v>
                </c:pt>
                <c:pt idx="4">
                  <c:v>39572</c:v>
                </c:pt>
                <c:pt idx="5">
                  <c:v>4654</c:v>
                </c:pt>
                <c:pt idx="6">
                  <c:v>4456</c:v>
                </c:pt>
                <c:pt idx="7">
                  <c:v>12076</c:v>
                </c:pt>
                <c:pt idx="8">
                  <c:v>376</c:v>
                </c:pt>
                <c:pt idx="10">
                  <c:v>5463</c:v>
                </c:pt>
                <c:pt idx="12">
                  <c:v>3116</c:v>
                </c:pt>
                <c:pt idx="13">
                  <c:v>4583</c:v>
                </c:pt>
                <c:pt idx="14">
                  <c:v>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F-4DD6-B41C-0C13968573EE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8LEAD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2467</c:v>
                </c:pt>
                <c:pt idx="1">
                  <c:v>1223</c:v>
                </c:pt>
                <c:pt idx="2">
                  <c:v>5469</c:v>
                </c:pt>
                <c:pt idx="3">
                  <c:v>4275</c:v>
                </c:pt>
                <c:pt idx="4">
                  <c:v>39572</c:v>
                </c:pt>
                <c:pt idx="5">
                  <c:v>4654</c:v>
                </c:pt>
                <c:pt idx="6">
                  <c:v>4456</c:v>
                </c:pt>
                <c:pt idx="7">
                  <c:v>12076</c:v>
                </c:pt>
                <c:pt idx="8">
                  <c:v>376</c:v>
                </c:pt>
                <c:pt idx="9">
                  <c:v>3839</c:v>
                </c:pt>
                <c:pt idx="10">
                  <c:v>5463</c:v>
                </c:pt>
                <c:pt idx="11">
                  <c:v>16824</c:v>
                </c:pt>
                <c:pt idx="12">
                  <c:v>3116</c:v>
                </c:pt>
                <c:pt idx="13">
                  <c:v>4583</c:v>
                </c:pt>
                <c:pt idx="14">
                  <c:v>464</c:v>
                </c:pt>
                <c:pt idx="15">
                  <c:v>17283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F-4DD6-B41C-0C1396857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50%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92%</c:v>
                </c:pt>
                <c:pt idx="6">
                  <c:v>88%</c:v>
                </c:pt>
                <c:pt idx="7">
                  <c:v>100%</c:v>
                </c:pt>
                <c:pt idx="8">
                  <c:v>25%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79%</c:v>
                </c:pt>
                <c:pt idx="13">
                  <c:v>100%</c:v>
                </c:pt>
                <c:pt idx="14">
                  <c:v>13%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8LEAD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0.5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0.91666666666666663</c:v>
                </c:pt>
                <c:pt idx="6">
                  <c:v>0.875</c:v>
                </c:pt>
                <c:pt idx="7">
                  <c:v>1</c:v>
                </c:pt>
                <c:pt idx="8">
                  <c:v>0.25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0.79166666666666663</c:v>
                </c:pt>
                <c:pt idx="13">
                  <c:v>1</c:v>
                </c:pt>
                <c:pt idx="14">
                  <c:v>0.125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82-4BF7-978C-33FFBEDBE4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82-4BF7-978C-33FFBEDBE4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8LEAD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</c:v>
                </c:pt>
                <c:pt idx="1">
                  <c:v>0.58333333333333337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0.58333333333333337</c:v>
                </c:pt>
                <c:pt idx="6">
                  <c:v>0.58333333333333337</c:v>
                </c:pt>
                <c:pt idx="7">
                  <c:v>0.58333333333333337</c:v>
                </c:pt>
                <c:pt idx="8">
                  <c:v>0.58333333333333337</c:v>
                </c:pt>
                <c:pt idx="9">
                  <c:v>0.58333333333333337</c:v>
                </c:pt>
                <c:pt idx="10">
                  <c:v>0.58333333333333337</c:v>
                </c:pt>
                <c:pt idx="11">
                  <c:v>0.58333333333333337</c:v>
                </c:pt>
                <c:pt idx="12">
                  <c:v>0.58333333333333337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82-4BF7-978C-33FFBEDBE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75E-4E6A-9F4D-254EDAABD8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E-4E6A-9F4D-254EDAABD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75E-4E6A-9F4D-254EDAABD8F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5E-4E6A-9F4D-254EDAABD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'04'!$L$6:$L$22</c:f>
              <c:numCache>
                <c:formatCode>_(* #,##0_);_(* \(#,##0\);_(* "-"_);_(@_)</c:formatCode>
                <c:ptCount val="17"/>
                <c:pt idx="2">
                  <c:v>1721</c:v>
                </c:pt>
                <c:pt idx="3">
                  <c:v>4281</c:v>
                </c:pt>
                <c:pt idx="4">
                  <c:v>33444</c:v>
                </c:pt>
                <c:pt idx="5">
                  <c:v>5072</c:v>
                </c:pt>
                <c:pt idx="7">
                  <c:v>9770</c:v>
                </c:pt>
                <c:pt idx="10">
                  <c:v>6564</c:v>
                </c:pt>
                <c:pt idx="12">
                  <c:v>1150</c:v>
                </c:pt>
                <c:pt idx="13">
                  <c:v>2915</c:v>
                </c:pt>
                <c:pt idx="14">
                  <c:v>2066</c:v>
                </c:pt>
                <c:pt idx="15">
                  <c:v>2031</c:v>
                </c:pt>
                <c:pt idx="16">
                  <c:v>27600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F-4F54-A414-2D4B8952B571}"/>
            </c:ext>
          </c:extLst>
        </c:ser>
        <c:ser>
          <c:idx val="1"/>
          <c:order val="1"/>
          <c:tx>
            <c:v>계획</c:v>
          </c:tx>
          <c:cat>
            <c:strRef>
              <c:f>'04'!$D$6:$D$22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'04'!$J$6:$J$22</c:f>
              <c:numCache>
                <c:formatCode>_(* #,##0_);_(* \(#,##0\);_(* "-"_);_(@_)</c:formatCode>
                <c:ptCount val="17"/>
                <c:pt idx="0">
                  <c:v>2467</c:v>
                </c:pt>
                <c:pt idx="1">
                  <c:v>1223</c:v>
                </c:pt>
                <c:pt idx="2">
                  <c:v>1721</c:v>
                </c:pt>
                <c:pt idx="3">
                  <c:v>4281</c:v>
                </c:pt>
                <c:pt idx="4">
                  <c:v>33444</c:v>
                </c:pt>
                <c:pt idx="5">
                  <c:v>5072</c:v>
                </c:pt>
                <c:pt idx="6">
                  <c:v>4456</c:v>
                </c:pt>
                <c:pt idx="7">
                  <c:v>9770</c:v>
                </c:pt>
                <c:pt idx="8">
                  <c:v>376</c:v>
                </c:pt>
                <c:pt idx="9">
                  <c:v>3839</c:v>
                </c:pt>
                <c:pt idx="10">
                  <c:v>6564</c:v>
                </c:pt>
                <c:pt idx="11">
                  <c:v>16824</c:v>
                </c:pt>
                <c:pt idx="12">
                  <c:v>1150</c:v>
                </c:pt>
                <c:pt idx="13">
                  <c:v>2915</c:v>
                </c:pt>
                <c:pt idx="14">
                  <c:v>2066</c:v>
                </c:pt>
                <c:pt idx="15">
                  <c:v>2031</c:v>
                </c:pt>
                <c:pt idx="16">
                  <c:v>27600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DF-4F54-A414-2D4B8952B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88%</c:v>
                </c:pt>
                <c:pt idx="4">
                  <c:v>88%</c:v>
                </c:pt>
                <c:pt idx="5">
                  <c:v>100%</c:v>
                </c:pt>
                <c:pt idx="6">
                  <c:v>0%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67%</c:v>
                </c:pt>
                <c:pt idx="11">
                  <c:v>0%</c:v>
                </c:pt>
                <c:pt idx="12">
                  <c:v>25%</c:v>
                </c:pt>
                <c:pt idx="13">
                  <c:v>63%</c:v>
                </c:pt>
                <c:pt idx="14">
                  <c:v>54%</c:v>
                </c:pt>
                <c:pt idx="15">
                  <c:v>42%</c:v>
                </c:pt>
                <c:pt idx="16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0.875</c:v>
                </c:pt>
                <c:pt idx="4">
                  <c:v>0.875</c:v>
                </c:pt>
                <c:pt idx="5">
                  <c:v>1</c:v>
                </c:pt>
                <c:pt idx="6">
                  <c:v>0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0.66666666666666663</c:v>
                </c:pt>
                <c:pt idx="11">
                  <c:v>0</c:v>
                </c:pt>
                <c:pt idx="12">
                  <c:v>0.25</c:v>
                </c:pt>
                <c:pt idx="13">
                  <c:v>0.625</c:v>
                </c:pt>
                <c:pt idx="14">
                  <c:v>0.54166666666666663</c:v>
                </c:pt>
                <c:pt idx="15">
                  <c:v>0.41666666666666669</c:v>
                </c:pt>
                <c:pt idx="16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91-44CF-B3AF-36CE483A8F2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391-44CF-B3AF-36CE483A8F2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'04'!$AE$6:$AE$22</c:f>
              <c:numCache>
                <c:formatCode>0%</c:formatCode>
                <c:ptCount val="17"/>
                <c:pt idx="0">
                  <c:v>0.33333333333333331</c:v>
                </c:pt>
                <c:pt idx="1">
                  <c:v>0.40686274509803927</c:v>
                </c:pt>
                <c:pt idx="2">
                  <c:v>0.40686274509803927</c:v>
                </c:pt>
                <c:pt idx="3">
                  <c:v>0.40686274509803927</c:v>
                </c:pt>
                <c:pt idx="4">
                  <c:v>0.40686274509803927</c:v>
                </c:pt>
                <c:pt idx="5">
                  <c:v>0.40686274509803927</c:v>
                </c:pt>
                <c:pt idx="6">
                  <c:v>0.40686274509803927</c:v>
                </c:pt>
                <c:pt idx="7">
                  <c:v>0.40686274509803927</c:v>
                </c:pt>
                <c:pt idx="8">
                  <c:v>0.40686274509803927</c:v>
                </c:pt>
                <c:pt idx="9">
                  <c:v>0.40686274509803927</c:v>
                </c:pt>
                <c:pt idx="10">
                  <c:v>0.40686274509803927</c:v>
                </c:pt>
                <c:pt idx="11">
                  <c:v>0.40686274509803927</c:v>
                </c:pt>
                <c:pt idx="12">
                  <c:v>0.40686274509803927</c:v>
                </c:pt>
                <c:pt idx="13">
                  <c:v>0.40686274509803927</c:v>
                </c:pt>
                <c:pt idx="14">
                  <c:v>0.40686274509803927</c:v>
                </c:pt>
                <c:pt idx="15">
                  <c:v>0.40686274509803927</c:v>
                </c:pt>
                <c:pt idx="16">
                  <c:v>0.40686274509803927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91-44CF-B3AF-36CE483A8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'04'!$L$6:$L$22</c:f>
              <c:numCache>
                <c:formatCode>_(* #,##0_);_(* \(#,##0\);_(* "-"_);_(@_)</c:formatCode>
                <c:ptCount val="17"/>
                <c:pt idx="2">
                  <c:v>1721</c:v>
                </c:pt>
                <c:pt idx="3">
                  <c:v>4281</c:v>
                </c:pt>
                <c:pt idx="4">
                  <c:v>33444</c:v>
                </c:pt>
                <c:pt idx="5">
                  <c:v>5072</c:v>
                </c:pt>
                <c:pt idx="7">
                  <c:v>9770</c:v>
                </c:pt>
                <c:pt idx="10">
                  <c:v>6564</c:v>
                </c:pt>
                <c:pt idx="12">
                  <c:v>1150</c:v>
                </c:pt>
                <c:pt idx="13">
                  <c:v>2915</c:v>
                </c:pt>
                <c:pt idx="14">
                  <c:v>2066</c:v>
                </c:pt>
                <c:pt idx="15">
                  <c:v>2031</c:v>
                </c:pt>
                <c:pt idx="16">
                  <c:v>27600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27-4F0E-B6C0-DA833AB92A18}"/>
            </c:ext>
          </c:extLst>
        </c:ser>
        <c:ser>
          <c:idx val="1"/>
          <c:order val="1"/>
          <c:tx>
            <c:v>계획</c:v>
          </c:tx>
          <c:cat>
            <c:strRef>
              <c:f>'04'!$D$6:$D$22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'04'!$J$6:$J$22</c:f>
              <c:numCache>
                <c:formatCode>_(* #,##0_);_(* \(#,##0\);_(* "-"_);_(@_)</c:formatCode>
                <c:ptCount val="17"/>
                <c:pt idx="0">
                  <c:v>2467</c:v>
                </c:pt>
                <c:pt idx="1">
                  <c:v>1223</c:v>
                </c:pt>
                <c:pt idx="2">
                  <c:v>1721</c:v>
                </c:pt>
                <c:pt idx="3">
                  <c:v>4281</c:v>
                </c:pt>
                <c:pt idx="4">
                  <c:v>33444</c:v>
                </c:pt>
                <c:pt idx="5">
                  <c:v>5072</c:v>
                </c:pt>
                <c:pt idx="6">
                  <c:v>4456</c:v>
                </c:pt>
                <c:pt idx="7">
                  <c:v>9770</c:v>
                </c:pt>
                <c:pt idx="8">
                  <c:v>376</c:v>
                </c:pt>
                <c:pt idx="9">
                  <c:v>3839</c:v>
                </c:pt>
                <c:pt idx="10">
                  <c:v>6564</c:v>
                </c:pt>
                <c:pt idx="11">
                  <c:v>16824</c:v>
                </c:pt>
                <c:pt idx="12">
                  <c:v>1150</c:v>
                </c:pt>
                <c:pt idx="13">
                  <c:v>2915</c:v>
                </c:pt>
                <c:pt idx="14">
                  <c:v>2066</c:v>
                </c:pt>
                <c:pt idx="15">
                  <c:v>2031</c:v>
                </c:pt>
                <c:pt idx="16">
                  <c:v>27600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27-4F0E-B6C0-DA833AB9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88%</c:v>
                </c:pt>
                <c:pt idx="4">
                  <c:v>88%</c:v>
                </c:pt>
                <c:pt idx="5">
                  <c:v>100%</c:v>
                </c:pt>
                <c:pt idx="6">
                  <c:v>0%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67%</c:v>
                </c:pt>
                <c:pt idx="11">
                  <c:v>0%</c:v>
                </c:pt>
                <c:pt idx="12">
                  <c:v>25%</c:v>
                </c:pt>
                <c:pt idx="13">
                  <c:v>63%</c:v>
                </c:pt>
                <c:pt idx="14">
                  <c:v>54%</c:v>
                </c:pt>
                <c:pt idx="15">
                  <c:v>42%</c:v>
                </c:pt>
                <c:pt idx="16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0.875</c:v>
                </c:pt>
                <c:pt idx="4">
                  <c:v>0.875</c:v>
                </c:pt>
                <c:pt idx="5">
                  <c:v>1</c:v>
                </c:pt>
                <c:pt idx="6">
                  <c:v>0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0.66666666666666663</c:v>
                </c:pt>
                <c:pt idx="11">
                  <c:v>0</c:v>
                </c:pt>
                <c:pt idx="12">
                  <c:v>0.25</c:v>
                </c:pt>
                <c:pt idx="13">
                  <c:v>0.625</c:v>
                </c:pt>
                <c:pt idx="14">
                  <c:v>0.54166666666666663</c:v>
                </c:pt>
                <c:pt idx="15">
                  <c:v>0.41666666666666669</c:v>
                </c:pt>
                <c:pt idx="16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3-47AA-9DDE-8187A8E3E75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A3-47AA-9DDE-8187A8E3E75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COVER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'04'!$AE$6:$AE$22</c:f>
              <c:numCache>
                <c:formatCode>0%</c:formatCode>
                <c:ptCount val="17"/>
                <c:pt idx="0">
                  <c:v>0.33333333333333331</c:v>
                </c:pt>
                <c:pt idx="1">
                  <c:v>0.40686274509803927</c:v>
                </c:pt>
                <c:pt idx="2">
                  <c:v>0.40686274509803927</c:v>
                </c:pt>
                <c:pt idx="3">
                  <c:v>0.40686274509803927</c:v>
                </c:pt>
                <c:pt idx="4">
                  <c:v>0.40686274509803927</c:v>
                </c:pt>
                <c:pt idx="5">
                  <c:v>0.40686274509803927</c:v>
                </c:pt>
                <c:pt idx="6">
                  <c:v>0.40686274509803927</c:v>
                </c:pt>
                <c:pt idx="7">
                  <c:v>0.40686274509803927</c:v>
                </c:pt>
                <c:pt idx="8">
                  <c:v>0.40686274509803927</c:v>
                </c:pt>
                <c:pt idx="9">
                  <c:v>0.40686274509803927</c:v>
                </c:pt>
                <c:pt idx="10">
                  <c:v>0.40686274509803927</c:v>
                </c:pt>
                <c:pt idx="11">
                  <c:v>0.40686274509803927</c:v>
                </c:pt>
                <c:pt idx="12">
                  <c:v>0.40686274509803927</c:v>
                </c:pt>
                <c:pt idx="13">
                  <c:v>0.40686274509803927</c:v>
                </c:pt>
                <c:pt idx="14">
                  <c:v>0.40686274509803927</c:v>
                </c:pt>
                <c:pt idx="15">
                  <c:v>0.40686274509803927</c:v>
                </c:pt>
                <c:pt idx="16">
                  <c:v>0.40686274509803927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A3-47AA-9DDE-8187A8E3E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EAB-4D9D-BD8E-7E72635697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AB-4D9D-BD8E-7E7263569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EAB-4D9D-BD8E-7E726356977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AB-4D9D-BD8E-7E7263569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0">
                  <c:v>5034</c:v>
                </c:pt>
                <c:pt idx="2">
                  <c:v>5318</c:v>
                </c:pt>
                <c:pt idx="3">
                  <c:v>3934</c:v>
                </c:pt>
                <c:pt idx="4">
                  <c:v>41972</c:v>
                </c:pt>
                <c:pt idx="5">
                  <c:v>5297</c:v>
                </c:pt>
                <c:pt idx="6">
                  <c:v>3648</c:v>
                </c:pt>
                <c:pt idx="7">
                  <c:v>11344</c:v>
                </c:pt>
                <c:pt idx="10">
                  <c:v>12528</c:v>
                </c:pt>
                <c:pt idx="12">
                  <c:v>5415</c:v>
                </c:pt>
                <c:pt idx="13">
                  <c:v>5108</c:v>
                </c:pt>
                <c:pt idx="14">
                  <c:v>1384</c:v>
                </c:pt>
                <c:pt idx="15">
                  <c:v>41540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F-44E2-9611-EB0E867C3187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5034</c:v>
                </c:pt>
                <c:pt idx="1">
                  <c:v>1223</c:v>
                </c:pt>
                <c:pt idx="2">
                  <c:v>5318</c:v>
                </c:pt>
                <c:pt idx="3">
                  <c:v>3934</c:v>
                </c:pt>
                <c:pt idx="4">
                  <c:v>41972</c:v>
                </c:pt>
                <c:pt idx="5">
                  <c:v>5297</c:v>
                </c:pt>
                <c:pt idx="6">
                  <c:v>3648</c:v>
                </c:pt>
                <c:pt idx="7">
                  <c:v>11344</c:v>
                </c:pt>
                <c:pt idx="8">
                  <c:v>376</c:v>
                </c:pt>
                <c:pt idx="9">
                  <c:v>3839</c:v>
                </c:pt>
                <c:pt idx="10">
                  <c:v>12528</c:v>
                </c:pt>
                <c:pt idx="11">
                  <c:v>16824</c:v>
                </c:pt>
                <c:pt idx="12">
                  <c:v>5415</c:v>
                </c:pt>
                <c:pt idx="13">
                  <c:v>5108</c:v>
                </c:pt>
                <c:pt idx="14">
                  <c:v>1384</c:v>
                </c:pt>
                <c:pt idx="15">
                  <c:v>41540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F-44E2-9611-EB0E867C3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100%</c:v>
                </c:pt>
                <c:pt idx="6">
                  <c:v>67%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29%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1</c:v>
                </c:pt>
                <c:pt idx="6">
                  <c:v>0.66666666666666663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0.29166666666666669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D-4E56-A4CB-02957DD6441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5D-4E56-A4CB-02957DD644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0.5</c:v>
                </c:pt>
                <c:pt idx="1">
                  <c:v>0.64062499999999989</c:v>
                </c:pt>
                <c:pt idx="2">
                  <c:v>0.64062499999999989</c:v>
                </c:pt>
                <c:pt idx="3">
                  <c:v>0.64062499999999989</c:v>
                </c:pt>
                <c:pt idx="4">
                  <c:v>0.64062499999999989</c:v>
                </c:pt>
                <c:pt idx="5">
                  <c:v>0.64062499999999989</c:v>
                </c:pt>
                <c:pt idx="6">
                  <c:v>0.64062499999999989</c:v>
                </c:pt>
                <c:pt idx="7">
                  <c:v>0.64062499999999989</c:v>
                </c:pt>
                <c:pt idx="8">
                  <c:v>0.64062499999999989</c:v>
                </c:pt>
                <c:pt idx="9">
                  <c:v>0.64062499999999989</c:v>
                </c:pt>
                <c:pt idx="10">
                  <c:v>0.64062499999999989</c:v>
                </c:pt>
                <c:pt idx="11">
                  <c:v>0.64062499999999989</c:v>
                </c:pt>
                <c:pt idx="12">
                  <c:v>0.64062499999999989</c:v>
                </c:pt>
                <c:pt idx="13">
                  <c:v>0.64062499999999989</c:v>
                </c:pt>
                <c:pt idx="14">
                  <c:v>0.64062499999999989</c:v>
                </c:pt>
                <c:pt idx="15">
                  <c:v>0.64062499999999989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5D-4E56-A4CB-02957DD64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0">
                  <c:v>5034</c:v>
                </c:pt>
                <c:pt idx="2">
                  <c:v>5318</c:v>
                </c:pt>
                <c:pt idx="3">
                  <c:v>3934</c:v>
                </c:pt>
                <c:pt idx="4">
                  <c:v>41972</c:v>
                </c:pt>
                <c:pt idx="5">
                  <c:v>5297</c:v>
                </c:pt>
                <c:pt idx="6">
                  <c:v>3648</c:v>
                </c:pt>
                <c:pt idx="7">
                  <c:v>11344</c:v>
                </c:pt>
                <c:pt idx="10">
                  <c:v>12528</c:v>
                </c:pt>
                <c:pt idx="12">
                  <c:v>5415</c:v>
                </c:pt>
                <c:pt idx="13">
                  <c:v>5108</c:v>
                </c:pt>
                <c:pt idx="14">
                  <c:v>1384</c:v>
                </c:pt>
                <c:pt idx="15">
                  <c:v>41540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E-441E-ABE2-600F84F96F92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5034</c:v>
                </c:pt>
                <c:pt idx="1">
                  <c:v>1223</c:v>
                </c:pt>
                <c:pt idx="2">
                  <c:v>5318</c:v>
                </c:pt>
                <c:pt idx="3">
                  <c:v>3934</c:v>
                </c:pt>
                <c:pt idx="4">
                  <c:v>41972</c:v>
                </c:pt>
                <c:pt idx="5">
                  <c:v>5297</c:v>
                </c:pt>
                <c:pt idx="6">
                  <c:v>3648</c:v>
                </c:pt>
                <c:pt idx="7">
                  <c:v>11344</c:v>
                </c:pt>
                <c:pt idx="8">
                  <c:v>376</c:v>
                </c:pt>
                <c:pt idx="9">
                  <c:v>3839</c:v>
                </c:pt>
                <c:pt idx="10">
                  <c:v>12528</c:v>
                </c:pt>
                <c:pt idx="11">
                  <c:v>16824</c:v>
                </c:pt>
                <c:pt idx="12">
                  <c:v>5415</c:v>
                </c:pt>
                <c:pt idx="13">
                  <c:v>5108</c:v>
                </c:pt>
                <c:pt idx="14">
                  <c:v>1384</c:v>
                </c:pt>
                <c:pt idx="15">
                  <c:v>41540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E-441E-ABE2-600F84F96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100%</c:v>
                </c:pt>
                <c:pt idx="6">
                  <c:v>67%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29%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1</c:v>
                </c:pt>
                <c:pt idx="6">
                  <c:v>0.66666666666666663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0.29166666666666669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7-4D3D-93FC-6416262F6AF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F7-4D3D-93FC-6416262F6AF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0.5</c:v>
                </c:pt>
                <c:pt idx="1">
                  <c:v>0.64062499999999989</c:v>
                </c:pt>
                <c:pt idx="2">
                  <c:v>0.64062499999999989</c:v>
                </c:pt>
                <c:pt idx="3">
                  <c:v>0.64062499999999989</c:v>
                </c:pt>
                <c:pt idx="4">
                  <c:v>0.64062499999999989</c:v>
                </c:pt>
                <c:pt idx="5">
                  <c:v>0.64062499999999989</c:v>
                </c:pt>
                <c:pt idx="6">
                  <c:v>0.64062499999999989</c:v>
                </c:pt>
                <c:pt idx="7">
                  <c:v>0.64062499999999989</c:v>
                </c:pt>
                <c:pt idx="8">
                  <c:v>0.64062499999999989</c:v>
                </c:pt>
                <c:pt idx="9">
                  <c:v>0.64062499999999989</c:v>
                </c:pt>
                <c:pt idx="10">
                  <c:v>0.64062499999999989</c:v>
                </c:pt>
                <c:pt idx="11">
                  <c:v>0.64062499999999989</c:v>
                </c:pt>
                <c:pt idx="12">
                  <c:v>0.64062499999999989</c:v>
                </c:pt>
                <c:pt idx="13">
                  <c:v>0.64062499999999989</c:v>
                </c:pt>
                <c:pt idx="14">
                  <c:v>0.64062499999999989</c:v>
                </c:pt>
                <c:pt idx="15">
                  <c:v>0.64062499999999989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F7-4D3D-93FC-6416262F6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923-4C99-AEF6-ADCA9BB713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23-4C99-AEF6-ADCA9BB71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923-4C99-AEF6-ADCA9BB713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23-4C99-AEF6-ADCA9BB71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0">
                  <c:v>5492</c:v>
                </c:pt>
                <c:pt idx="2">
                  <c:v>5828</c:v>
                </c:pt>
                <c:pt idx="3">
                  <c:v>3095</c:v>
                </c:pt>
                <c:pt idx="4">
                  <c:v>41496</c:v>
                </c:pt>
                <c:pt idx="5">
                  <c:v>2363</c:v>
                </c:pt>
                <c:pt idx="6">
                  <c:v>5388</c:v>
                </c:pt>
                <c:pt idx="7">
                  <c:v>9078</c:v>
                </c:pt>
                <c:pt idx="10">
                  <c:v>9524</c:v>
                </c:pt>
                <c:pt idx="11">
                  <c:v>3425</c:v>
                </c:pt>
                <c:pt idx="12">
                  <c:v>5350</c:v>
                </c:pt>
                <c:pt idx="13">
                  <c:v>3291</c:v>
                </c:pt>
                <c:pt idx="14">
                  <c:v>2779</c:v>
                </c:pt>
                <c:pt idx="15">
                  <c:v>42440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8-49F1-AE73-B6D30D958718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5492</c:v>
                </c:pt>
                <c:pt idx="1">
                  <c:v>1223</c:v>
                </c:pt>
                <c:pt idx="2">
                  <c:v>5828</c:v>
                </c:pt>
                <c:pt idx="3">
                  <c:v>3095</c:v>
                </c:pt>
                <c:pt idx="4">
                  <c:v>41496</c:v>
                </c:pt>
                <c:pt idx="5">
                  <c:v>2363</c:v>
                </c:pt>
                <c:pt idx="6">
                  <c:v>5388</c:v>
                </c:pt>
                <c:pt idx="7">
                  <c:v>9078</c:v>
                </c:pt>
                <c:pt idx="8">
                  <c:v>376</c:v>
                </c:pt>
                <c:pt idx="9">
                  <c:v>3839</c:v>
                </c:pt>
                <c:pt idx="10">
                  <c:v>9524</c:v>
                </c:pt>
                <c:pt idx="11">
                  <c:v>3425</c:v>
                </c:pt>
                <c:pt idx="12">
                  <c:v>5350</c:v>
                </c:pt>
                <c:pt idx="13">
                  <c:v>3291</c:v>
                </c:pt>
                <c:pt idx="14">
                  <c:v>2779</c:v>
                </c:pt>
                <c:pt idx="15">
                  <c:v>42440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8-49F1-AE73-B6D30D958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63%</c:v>
                </c:pt>
                <c:pt idx="4">
                  <c:v>100%</c:v>
                </c:pt>
                <c:pt idx="5">
                  <c:v>50%</c:v>
                </c:pt>
                <c:pt idx="6">
                  <c:v>67%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83%</c:v>
                </c:pt>
                <c:pt idx="12">
                  <c:v>100%</c:v>
                </c:pt>
                <c:pt idx="13">
                  <c:v>67%</c:v>
                </c:pt>
                <c:pt idx="14">
                  <c:v>58%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0.625</c:v>
                </c:pt>
                <c:pt idx="4">
                  <c:v>1</c:v>
                </c:pt>
                <c:pt idx="5">
                  <c:v>0.5</c:v>
                </c:pt>
                <c:pt idx="6">
                  <c:v>0.66666666666666663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0.83333333333333337</c:v>
                </c:pt>
                <c:pt idx="12">
                  <c:v>1</c:v>
                </c:pt>
                <c:pt idx="13">
                  <c:v>0.66666666666666663</c:v>
                </c:pt>
                <c:pt idx="14">
                  <c:v>0.58333333333333337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C-4D6D-BA2C-79A2756CA2A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AC-4D6D-BA2C-79A2756CA2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0.5</c:v>
                </c:pt>
                <c:pt idx="1">
                  <c:v>0.640625</c:v>
                </c:pt>
                <c:pt idx="2">
                  <c:v>0.640625</c:v>
                </c:pt>
                <c:pt idx="3">
                  <c:v>0.640625</c:v>
                </c:pt>
                <c:pt idx="4">
                  <c:v>0.640625</c:v>
                </c:pt>
                <c:pt idx="5">
                  <c:v>0.640625</c:v>
                </c:pt>
                <c:pt idx="6">
                  <c:v>0.640625</c:v>
                </c:pt>
                <c:pt idx="7">
                  <c:v>0.640625</c:v>
                </c:pt>
                <c:pt idx="8">
                  <c:v>0.640625</c:v>
                </c:pt>
                <c:pt idx="9">
                  <c:v>0.640625</c:v>
                </c:pt>
                <c:pt idx="10">
                  <c:v>0.640625</c:v>
                </c:pt>
                <c:pt idx="11">
                  <c:v>0.640625</c:v>
                </c:pt>
                <c:pt idx="12">
                  <c:v>0.640625</c:v>
                </c:pt>
                <c:pt idx="13">
                  <c:v>0.640625</c:v>
                </c:pt>
                <c:pt idx="14">
                  <c:v>0.640625</c:v>
                </c:pt>
                <c:pt idx="15">
                  <c:v>0.640625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AC-4D6D-BA2C-79A2756CA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0">
                  <c:v>5492</c:v>
                </c:pt>
                <c:pt idx="2">
                  <c:v>5828</c:v>
                </c:pt>
                <c:pt idx="3">
                  <c:v>3095</c:v>
                </c:pt>
                <c:pt idx="4">
                  <c:v>41496</c:v>
                </c:pt>
                <c:pt idx="5">
                  <c:v>2363</c:v>
                </c:pt>
                <c:pt idx="6">
                  <c:v>5388</c:v>
                </c:pt>
                <c:pt idx="7">
                  <c:v>9078</c:v>
                </c:pt>
                <c:pt idx="10">
                  <c:v>9524</c:v>
                </c:pt>
                <c:pt idx="11">
                  <c:v>3425</c:v>
                </c:pt>
                <c:pt idx="12">
                  <c:v>5350</c:v>
                </c:pt>
                <c:pt idx="13">
                  <c:v>3291</c:v>
                </c:pt>
                <c:pt idx="14">
                  <c:v>2779</c:v>
                </c:pt>
                <c:pt idx="15">
                  <c:v>42440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9-424D-91CF-DE9FB1CC6423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5492</c:v>
                </c:pt>
                <c:pt idx="1">
                  <c:v>1223</c:v>
                </c:pt>
                <c:pt idx="2">
                  <c:v>5828</c:v>
                </c:pt>
                <c:pt idx="3">
                  <c:v>3095</c:v>
                </c:pt>
                <c:pt idx="4">
                  <c:v>41496</c:v>
                </c:pt>
                <c:pt idx="5">
                  <c:v>2363</c:v>
                </c:pt>
                <c:pt idx="6">
                  <c:v>5388</c:v>
                </c:pt>
                <c:pt idx="7">
                  <c:v>9078</c:v>
                </c:pt>
                <c:pt idx="8">
                  <c:v>376</c:v>
                </c:pt>
                <c:pt idx="9">
                  <c:v>3839</c:v>
                </c:pt>
                <c:pt idx="10">
                  <c:v>9524</c:v>
                </c:pt>
                <c:pt idx="11">
                  <c:v>3425</c:v>
                </c:pt>
                <c:pt idx="12">
                  <c:v>5350</c:v>
                </c:pt>
                <c:pt idx="13">
                  <c:v>3291</c:v>
                </c:pt>
                <c:pt idx="14">
                  <c:v>2779</c:v>
                </c:pt>
                <c:pt idx="15">
                  <c:v>42440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E9-424D-91CF-DE9FB1CC6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63%</c:v>
                </c:pt>
                <c:pt idx="4">
                  <c:v>100%</c:v>
                </c:pt>
                <c:pt idx="5">
                  <c:v>50%</c:v>
                </c:pt>
                <c:pt idx="6">
                  <c:v>67%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83%</c:v>
                </c:pt>
                <c:pt idx="12">
                  <c:v>100%</c:v>
                </c:pt>
                <c:pt idx="13">
                  <c:v>67%</c:v>
                </c:pt>
                <c:pt idx="14">
                  <c:v>58%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0.625</c:v>
                </c:pt>
                <c:pt idx="4">
                  <c:v>1</c:v>
                </c:pt>
                <c:pt idx="5">
                  <c:v>0.5</c:v>
                </c:pt>
                <c:pt idx="6">
                  <c:v>0.66666666666666663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0.83333333333333337</c:v>
                </c:pt>
                <c:pt idx="12">
                  <c:v>1</c:v>
                </c:pt>
                <c:pt idx="13">
                  <c:v>0.66666666666666663</c:v>
                </c:pt>
                <c:pt idx="14">
                  <c:v>0.58333333333333337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8E-4520-8DB8-54E65C7015C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8E-4520-8DB8-54E65C7015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0.5</c:v>
                </c:pt>
                <c:pt idx="1">
                  <c:v>0.640625</c:v>
                </c:pt>
                <c:pt idx="2">
                  <c:v>0.640625</c:v>
                </c:pt>
                <c:pt idx="3">
                  <c:v>0.640625</c:v>
                </c:pt>
                <c:pt idx="4">
                  <c:v>0.640625</c:v>
                </c:pt>
                <c:pt idx="5">
                  <c:v>0.640625</c:v>
                </c:pt>
                <c:pt idx="6">
                  <c:v>0.640625</c:v>
                </c:pt>
                <c:pt idx="7">
                  <c:v>0.640625</c:v>
                </c:pt>
                <c:pt idx="8">
                  <c:v>0.640625</c:v>
                </c:pt>
                <c:pt idx="9">
                  <c:v>0.640625</c:v>
                </c:pt>
                <c:pt idx="10">
                  <c:v>0.640625</c:v>
                </c:pt>
                <c:pt idx="11">
                  <c:v>0.640625</c:v>
                </c:pt>
                <c:pt idx="12">
                  <c:v>0.640625</c:v>
                </c:pt>
                <c:pt idx="13">
                  <c:v>0.640625</c:v>
                </c:pt>
                <c:pt idx="14">
                  <c:v>0.640625</c:v>
                </c:pt>
                <c:pt idx="15">
                  <c:v>0.640625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8E-4520-8DB8-54E65C701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CC2-46DD-81B4-150E46A7F3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C2-46DD-81B4-150E46A7F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CC2-46DD-81B4-150E46A7F30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C2-46DD-81B4-150E46A7F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'07'!$L$6:$L$22</c:f>
              <c:numCache>
                <c:formatCode>_(* #,##0_);_(* \(#,##0\);_(* "-"_);_(@_)</c:formatCode>
                <c:ptCount val="17"/>
                <c:pt idx="1">
                  <c:v>4354</c:v>
                </c:pt>
                <c:pt idx="2">
                  <c:v>5388</c:v>
                </c:pt>
                <c:pt idx="3">
                  <c:v>2209</c:v>
                </c:pt>
                <c:pt idx="4">
                  <c:v>41236</c:v>
                </c:pt>
                <c:pt idx="6">
                  <c:v>5312</c:v>
                </c:pt>
                <c:pt idx="7">
                  <c:v>450</c:v>
                </c:pt>
                <c:pt idx="8">
                  <c:v>7554</c:v>
                </c:pt>
                <c:pt idx="10">
                  <c:v>726</c:v>
                </c:pt>
                <c:pt idx="11">
                  <c:v>11762</c:v>
                </c:pt>
                <c:pt idx="12">
                  <c:v>8006</c:v>
                </c:pt>
                <c:pt idx="13">
                  <c:v>5233</c:v>
                </c:pt>
                <c:pt idx="14">
                  <c:v>4204</c:v>
                </c:pt>
                <c:pt idx="15">
                  <c:v>3110</c:v>
                </c:pt>
                <c:pt idx="16">
                  <c:v>43780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2F-4EC5-A448-E7ED1D40FCF6}"/>
            </c:ext>
          </c:extLst>
        </c:ser>
        <c:ser>
          <c:idx val="1"/>
          <c:order val="1"/>
          <c:tx>
            <c:v>계획</c:v>
          </c:tx>
          <c:cat>
            <c:strRef>
              <c:f>'07'!$D$6:$D$22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'07'!$J$6:$J$22</c:f>
              <c:numCache>
                <c:formatCode>_(* #,##0_);_(* \(#,##0\);_(* "-"_);_(@_)</c:formatCode>
                <c:ptCount val="17"/>
                <c:pt idx="0">
                  <c:v>5492</c:v>
                </c:pt>
                <c:pt idx="1">
                  <c:v>4354</c:v>
                </c:pt>
                <c:pt idx="2">
                  <c:v>5388</c:v>
                </c:pt>
                <c:pt idx="3">
                  <c:v>2209</c:v>
                </c:pt>
                <c:pt idx="4">
                  <c:v>41236</c:v>
                </c:pt>
                <c:pt idx="5">
                  <c:v>2363</c:v>
                </c:pt>
                <c:pt idx="6">
                  <c:v>5312</c:v>
                </c:pt>
                <c:pt idx="7">
                  <c:v>450</c:v>
                </c:pt>
                <c:pt idx="8">
                  <c:v>7554</c:v>
                </c:pt>
                <c:pt idx="9">
                  <c:v>376</c:v>
                </c:pt>
                <c:pt idx="10">
                  <c:v>726</c:v>
                </c:pt>
                <c:pt idx="11">
                  <c:v>11762</c:v>
                </c:pt>
                <c:pt idx="12">
                  <c:v>8006</c:v>
                </c:pt>
                <c:pt idx="13">
                  <c:v>5233</c:v>
                </c:pt>
                <c:pt idx="14">
                  <c:v>4204</c:v>
                </c:pt>
                <c:pt idx="15">
                  <c:v>3110</c:v>
                </c:pt>
                <c:pt idx="16">
                  <c:v>43780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2F-4EC5-A448-E7ED1D40F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'07'!$AD$6:$AD$22</c:f>
              <c:strCache>
                <c:ptCount val="17"/>
                <c:pt idx="0">
                  <c:v>0%</c:v>
                </c:pt>
                <c:pt idx="1">
                  <c:v>88%</c:v>
                </c:pt>
                <c:pt idx="2">
                  <c:v>100%</c:v>
                </c:pt>
                <c:pt idx="3">
                  <c:v>46%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25%</c:v>
                </c:pt>
                <c:pt idx="8">
                  <c:v>50%</c:v>
                </c:pt>
                <c:pt idx="9">
                  <c:v>0%</c:v>
                </c:pt>
                <c:pt idx="10">
                  <c:v>21%</c:v>
                </c:pt>
                <c:pt idx="11">
                  <c:v>100%</c:v>
                </c:pt>
                <c:pt idx="12">
                  <c:v>71%</c:v>
                </c:pt>
                <c:pt idx="13">
                  <c:v>100%</c:v>
                </c:pt>
                <c:pt idx="14">
                  <c:v>92%</c:v>
                </c:pt>
                <c:pt idx="15">
                  <c:v>67%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'07'!$AD$6:$AD$22</c:f>
              <c:numCache>
                <c:formatCode>0%</c:formatCode>
                <c:ptCount val="17"/>
                <c:pt idx="0">
                  <c:v>0</c:v>
                </c:pt>
                <c:pt idx="1">
                  <c:v>0.875</c:v>
                </c:pt>
                <c:pt idx="2">
                  <c:v>1</c:v>
                </c:pt>
                <c:pt idx="3">
                  <c:v>0.45833333333333331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0.25</c:v>
                </c:pt>
                <c:pt idx="8">
                  <c:v>0.5</c:v>
                </c:pt>
                <c:pt idx="9">
                  <c:v>0</c:v>
                </c:pt>
                <c:pt idx="10">
                  <c:v>0.20833333333333334</c:v>
                </c:pt>
                <c:pt idx="11">
                  <c:v>1</c:v>
                </c:pt>
                <c:pt idx="12">
                  <c:v>0.70833333333333337</c:v>
                </c:pt>
                <c:pt idx="13">
                  <c:v>1</c:v>
                </c:pt>
                <c:pt idx="14">
                  <c:v>0.91666666666666663</c:v>
                </c:pt>
                <c:pt idx="15">
                  <c:v>0.66666666666666663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5C-4CBF-8220-570BADDA08E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5C-4CBF-8220-570BADDA08E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'07'!$AE$6:$AE$22</c:f>
              <c:numCache>
                <c:formatCode>0%</c:formatCode>
                <c:ptCount val="17"/>
                <c:pt idx="0">
                  <c:v>0.5</c:v>
                </c:pt>
                <c:pt idx="1">
                  <c:v>0.59313725490196068</c:v>
                </c:pt>
                <c:pt idx="2">
                  <c:v>0.59313725490196068</c:v>
                </c:pt>
                <c:pt idx="3">
                  <c:v>0.59313725490196068</c:v>
                </c:pt>
                <c:pt idx="4">
                  <c:v>0.59313725490196068</c:v>
                </c:pt>
                <c:pt idx="5">
                  <c:v>0.59313725490196068</c:v>
                </c:pt>
                <c:pt idx="6">
                  <c:v>0.59313725490196068</c:v>
                </c:pt>
                <c:pt idx="7">
                  <c:v>0.59313725490196068</c:v>
                </c:pt>
                <c:pt idx="8">
                  <c:v>0.59313725490196068</c:v>
                </c:pt>
                <c:pt idx="9">
                  <c:v>0.59313725490196068</c:v>
                </c:pt>
                <c:pt idx="10">
                  <c:v>0.59313725490196068</c:v>
                </c:pt>
                <c:pt idx="11">
                  <c:v>0.59313725490196068</c:v>
                </c:pt>
                <c:pt idx="12">
                  <c:v>0.59313725490196068</c:v>
                </c:pt>
                <c:pt idx="13">
                  <c:v>0.59313725490196068</c:v>
                </c:pt>
                <c:pt idx="14">
                  <c:v>0.59313725490196068</c:v>
                </c:pt>
                <c:pt idx="15">
                  <c:v>0.59313725490196068</c:v>
                </c:pt>
                <c:pt idx="16">
                  <c:v>0.59313725490196068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5C-4CBF-8220-570BADDA0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'07'!$L$6:$L$22</c:f>
              <c:numCache>
                <c:formatCode>_(* #,##0_);_(* \(#,##0\);_(* "-"_);_(@_)</c:formatCode>
                <c:ptCount val="17"/>
                <c:pt idx="1">
                  <c:v>4354</c:v>
                </c:pt>
                <c:pt idx="2">
                  <c:v>5388</c:v>
                </c:pt>
                <c:pt idx="3">
                  <c:v>2209</c:v>
                </c:pt>
                <c:pt idx="4">
                  <c:v>41236</c:v>
                </c:pt>
                <c:pt idx="6">
                  <c:v>5312</c:v>
                </c:pt>
                <c:pt idx="7">
                  <c:v>450</c:v>
                </c:pt>
                <c:pt idx="8">
                  <c:v>7554</c:v>
                </c:pt>
                <c:pt idx="10">
                  <c:v>726</c:v>
                </c:pt>
                <c:pt idx="11">
                  <c:v>11762</c:v>
                </c:pt>
                <c:pt idx="12">
                  <c:v>8006</c:v>
                </c:pt>
                <c:pt idx="13">
                  <c:v>5233</c:v>
                </c:pt>
                <c:pt idx="14">
                  <c:v>4204</c:v>
                </c:pt>
                <c:pt idx="15">
                  <c:v>3110</c:v>
                </c:pt>
                <c:pt idx="16">
                  <c:v>43780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4-49B0-8CA3-C84580F1B211}"/>
            </c:ext>
          </c:extLst>
        </c:ser>
        <c:ser>
          <c:idx val="1"/>
          <c:order val="1"/>
          <c:tx>
            <c:v>계획</c:v>
          </c:tx>
          <c:cat>
            <c:strRef>
              <c:f>'07'!$D$6:$D$22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'07'!$J$6:$J$22</c:f>
              <c:numCache>
                <c:formatCode>_(* #,##0_);_(* \(#,##0\);_(* "-"_);_(@_)</c:formatCode>
                <c:ptCount val="17"/>
                <c:pt idx="0">
                  <c:v>5492</c:v>
                </c:pt>
                <c:pt idx="1">
                  <c:v>4354</c:v>
                </c:pt>
                <c:pt idx="2">
                  <c:v>5388</c:v>
                </c:pt>
                <c:pt idx="3">
                  <c:v>2209</c:v>
                </c:pt>
                <c:pt idx="4">
                  <c:v>41236</c:v>
                </c:pt>
                <c:pt idx="5">
                  <c:v>2363</c:v>
                </c:pt>
                <c:pt idx="6">
                  <c:v>5312</c:v>
                </c:pt>
                <c:pt idx="7">
                  <c:v>450</c:v>
                </c:pt>
                <c:pt idx="8">
                  <c:v>7554</c:v>
                </c:pt>
                <c:pt idx="9">
                  <c:v>376</c:v>
                </c:pt>
                <c:pt idx="10">
                  <c:v>726</c:v>
                </c:pt>
                <c:pt idx="11">
                  <c:v>11762</c:v>
                </c:pt>
                <c:pt idx="12">
                  <c:v>8006</c:v>
                </c:pt>
                <c:pt idx="13">
                  <c:v>5233</c:v>
                </c:pt>
                <c:pt idx="14">
                  <c:v>4204</c:v>
                </c:pt>
                <c:pt idx="15">
                  <c:v>3110</c:v>
                </c:pt>
                <c:pt idx="16">
                  <c:v>43780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4-49B0-8CA3-C84580F1B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'07'!$AD$6:$AD$22</c:f>
              <c:strCache>
                <c:ptCount val="17"/>
                <c:pt idx="0">
                  <c:v>0%</c:v>
                </c:pt>
                <c:pt idx="1">
                  <c:v>88%</c:v>
                </c:pt>
                <c:pt idx="2">
                  <c:v>100%</c:v>
                </c:pt>
                <c:pt idx="3">
                  <c:v>46%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25%</c:v>
                </c:pt>
                <c:pt idx="8">
                  <c:v>50%</c:v>
                </c:pt>
                <c:pt idx="9">
                  <c:v>0%</c:v>
                </c:pt>
                <c:pt idx="10">
                  <c:v>21%</c:v>
                </c:pt>
                <c:pt idx="11">
                  <c:v>100%</c:v>
                </c:pt>
                <c:pt idx="12">
                  <c:v>71%</c:v>
                </c:pt>
                <c:pt idx="13">
                  <c:v>100%</c:v>
                </c:pt>
                <c:pt idx="14">
                  <c:v>92%</c:v>
                </c:pt>
                <c:pt idx="15">
                  <c:v>67%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'07'!$AD$6:$AD$22</c:f>
              <c:numCache>
                <c:formatCode>0%</c:formatCode>
                <c:ptCount val="17"/>
                <c:pt idx="0">
                  <c:v>0</c:v>
                </c:pt>
                <c:pt idx="1">
                  <c:v>0.875</c:v>
                </c:pt>
                <c:pt idx="2">
                  <c:v>1</c:v>
                </c:pt>
                <c:pt idx="3">
                  <c:v>0.45833333333333331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0.25</c:v>
                </c:pt>
                <c:pt idx="8">
                  <c:v>0.5</c:v>
                </c:pt>
                <c:pt idx="9">
                  <c:v>0</c:v>
                </c:pt>
                <c:pt idx="10">
                  <c:v>0.20833333333333334</c:v>
                </c:pt>
                <c:pt idx="11">
                  <c:v>1</c:v>
                </c:pt>
                <c:pt idx="12">
                  <c:v>0.70833333333333337</c:v>
                </c:pt>
                <c:pt idx="13">
                  <c:v>1</c:v>
                </c:pt>
                <c:pt idx="14">
                  <c:v>0.91666666666666663</c:v>
                </c:pt>
                <c:pt idx="15">
                  <c:v>0.66666666666666663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FF-4D33-87EA-5BFFCD409F3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FF-4D33-87EA-5BFFCD409F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'07'!$AE$6:$AE$22</c:f>
              <c:numCache>
                <c:formatCode>0%</c:formatCode>
                <c:ptCount val="17"/>
                <c:pt idx="0">
                  <c:v>0.5</c:v>
                </c:pt>
                <c:pt idx="1">
                  <c:v>0.59313725490196068</c:v>
                </c:pt>
                <c:pt idx="2">
                  <c:v>0.59313725490196068</c:v>
                </c:pt>
                <c:pt idx="3">
                  <c:v>0.59313725490196068</c:v>
                </c:pt>
                <c:pt idx="4">
                  <c:v>0.59313725490196068</c:v>
                </c:pt>
                <c:pt idx="5">
                  <c:v>0.59313725490196068</c:v>
                </c:pt>
                <c:pt idx="6">
                  <c:v>0.59313725490196068</c:v>
                </c:pt>
                <c:pt idx="7">
                  <c:v>0.59313725490196068</c:v>
                </c:pt>
                <c:pt idx="8">
                  <c:v>0.59313725490196068</c:v>
                </c:pt>
                <c:pt idx="9">
                  <c:v>0.59313725490196068</c:v>
                </c:pt>
                <c:pt idx="10">
                  <c:v>0.59313725490196068</c:v>
                </c:pt>
                <c:pt idx="11">
                  <c:v>0.59313725490196068</c:v>
                </c:pt>
                <c:pt idx="12">
                  <c:v>0.59313725490196068</c:v>
                </c:pt>
                <c:pt idx="13">
                  <c:v>0.59313725490196068</c:v>
                </c:pt>
                <c:pt idx="14">
                  <c:v>0.59313725490196068</c:v>
                </c:pt>
                <c:pt idx="15">
                  <c:v>0.59313725490196068</c:v>
                </c:pt>
                <c:pt idx="16">
                  <c:v>0.59313725490196068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FF-4D33-87EA-5BFFCD409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F44-4E73-B841-E5BE097E46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4-4E73-B841-E5BE097E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F44-4E73-B841-E5BE097E460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44-4E73-B841-E5BE097E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STOPPER</c:v>
                </c:pt>
                <c:pt idx="14">
                  <c:v>TOP/BOTTOM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'08'!$L$6:$L$23</c:f>
              <c:numCache>
                <c:formatCode>_(* #,##0_);_(* \(#,##0\);_(* "-"_);_(@_)</c:formatCode>
                <c:ptCount val="18"/>
                <c:pt idx="0">
                  <c:v>5378</c:v>
                </c:pt>
                <c:pt idx="3">
                  <c:v>2640</c:v>
                </c:pt>
                <c:pt idx="4">
                  <c:v>41760</c:v>
                </c:pt>
                <c:pt idx="5">
                  <c:v>3623</c:v>
                </c:pt>
                <c:pt idx="6">
                  <c:v>1641</c:v>
                </c:pt>
                <c:pt idx="7">
                  <c:v>3305</c:v>
                </c:pt>
                <c:pt idx="8">
                  <c:v>15096</c:v>
                </c:pt>
                <c:pt idx="11">
                  <c:v>12146</c:v>
                </c:pt>
                <c:pt idx="12">
                  <c:v>13914</c:v>
                </c:pt>
                <c:pt idx="13">
                  <c:v>2794</c:v>
                </c:pt>
                <c:pt idx="14">
                  <c:v>739</c:v>
                </c:pt>
                <c:pt idx="15">
                  <c:v>4329</c:v>
                </c:pt>
                <c:pt idx="16">
                  <c:v>1852</c:v>
                </c:pt>
                <c:pt idx="17">
                  <c:v>40264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2-4987-8621-8A7381C8E43D}"/>
            </c:ext>
          </c:extLst>
        </c:ser>
        <c:ser>
          <c:idx val="1"/>
          <c:order val="1"/>
          <c:tx>
            <c:v>계획</c:v>
          </c:tx>
          <c:cat>
            <c:strRef>
              <c:f>'08'!$D$6:$D$23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STOPPER</c:v>
                </c:pt>
                <c:pt idx="14">
                  <c:v>TOP/BOTTOM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'08'!$J$6:$J$23</c:f>
              <c:numCache>
                <c:formatCode>_(* #,##0_);_(* \(#,##0\);_(* "-"_);_(@_)</c:formatCode>
                <c:ptCount val="18"/>
                <c:pt idx="0">
                  <c:v>5378</c:v>
                </c:pt>
                <c:pt idx="1">
                  <c:v>4354</c:v>
                </c:pt>
                <c:pt idx="2">
                  <c:v>5388</c:v>
                </c:pt>
                <c:pt idx="3">
                  <c:v>2640</c:v>
                </c:pt>
                <c:pt idx="4">
                  <c:v>41760</c:v>
                </c:pt>
                <c:pt idx="5">
                  <c:v>3623</c:v>
                </c:pt>
                <c:pt idx="6">
                  <c:v>1641</c:v>
                </c:pt>
                <c:pt idx="7">
                  <c:v>3305</c:v>
                </c:pt>
                <c:pt idx="8">
                  <c:v>15096</c:v>
                </c:pt>
                <c:pt idx="9">
                  <c:v>376</c:v>
                </c:pt>
                <c:pt idx="10">
                  <c:v>726</c:v>
                </c:pt>
                <c:pt idx="11">
                  <c:v>12146</c:v>
                </c:pt>
                <c:pt idx="12">
                  <c:v>13914</c:v>
                </c:pt>
                <c:pt idx="13">
                  <c:v>2794</c:v>
                </c:pt>
                <c:pt idx="14">
                  <c:v>739</c:v>
                </c:pt>
                <c:pt idx="15">
                  <c:v>4329</c:v>
                </c:pt>
                <c:pt idx="16">
                  <c:v>1852</c:v>
                </c:pt>
                <c:pt idx="17">
                  <c:v>40264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22-4987-8621-8A7381C8E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'08'!$AD$6:$AD$23</c:f>
              <c:strCache>
                <c:ptCount val="18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58%</c:v>
                </c:pt>
                <c:pt idx="4">
                  <c:v>100%</c:v>
                </c:pt>
                <c:pt idx="5">
                  <c:v>63%</c:v>
                </c:pt>
                <c:pt idx="6">
                  <c:v>33%</c:v>
                </c:pt>
                <c:pt idx="7">
                  <c:v>63%</c:v>
                </c:pt>
                <c:pt idx="8">
                  <c:v>83%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46%</c:v>
                </c:pt>
                <c:pt idx="14">
                  <c:v>21%</c:v>
                </c:pt>
                <c:pt idx="15">
                  <c:v>75%</c:v>
                </c:pt>
                <c:pt idx="16">
                  <c:v>46%</c:v>
                </c:pt>
                <c:pt idx="17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STOPPER</c:v>
                </c:pt>
                <c:pt idx="14">
                  <c:v>TOP/BOTTOM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'08'!$AD$6:$AD$23</c:f>
              <c:numCache>
                <c:formatCode>0%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0.58333333333333337</c:v>
                </c:pt>
                <c:pt idx="4">
                  <c:v>1</c:v>
                </c:pt>
                <c:pt idx="5">
                  <c:v>0.625</c:v>
                </c:pt>
                <c:pt idx="6">
                  <c:v>0.33333333333333331</c:v>
                </c:pt>
                <c:pt idx="7">
                  <c:v>0.625</c:v>
                </c:pt>
                <c:pt idx="8">
                  <c:v>0.83333333333333337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0.45833333333333331</c:v>
                </c:pt>
                <c:pt idx="14">
                  <c:v>0.20833333333333334</c:v>
                </c:pt>
                <c:pt idx="15">
                  <c:v>0.75</c:v>
                </c:pt>
                <c:pt idx="16">
                  <c:v>0.45833333333333331</c:v>
                </c:pt>
                <c:pt idx="1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AE-4E91-9BE9-9C74A8D3FDE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AE-4E91-9BE9-9C74A8D3FDE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STOPPER</c:v>
                </c:pt>
                <c:pt idx="14">
                  <c:v>TOP/BOTTOM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'08'!$AE$6:$AE$23</c:f>
              <c:numCache>
                <c:formatCode>0%</c:formatCode>
                <c:ptCount val="18"/>
                <c:pt idx="0">
                  <c:v>0.5</c:v>
                </c:pt>
                <c:pt idx="1">
                  <c:v>0.52083333333333337</c:v>
                </c:pt>
                <c:pt idx="2">
                  <c:v>0.52083333333333337</c:v>
                </c:pt>
                <c:pt idx="3">
                  <c:v>0.52083333333333337</c:v>
                </c:pt>
                <c:pt idx="4">
                  <c:v>0.52083333333333337</c:v>
                </c:pt>
                <c:pt idx="5">
                  <c:v>0.52083333333333337</c:v>
                </c:pt>
                <c:pt idx="6">
                  <c:v>0.52083333333333337</c:v>
                </c:pt>
                <c:pt idx="7">
                  <c:v>0.52083333333333337</c:v>
                </c:pt>
                <c:pt idx="8">
                  <c:v>0.52083333333333337</c:v>
                </c:pt>
                <c:pt idx="9">
                  <c:v>0.52083333333333337</c:v>
                </c:pt>
                <c:pt idx="10">
                  <c:v>0.52083333333333337</c:v>
                </c:pt>
                <c:pt idx="11">
                  <c:v>0.52083333333333337</c:v>
                </c:pt>
                <c:pt idx="12">
                  <c:v>0.52083333333333337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0.52083333333333337</c:v>
                </c:pt>
                <c:pt idx="16">
                  <c:v>0.52083333333333337</c:v>
                </c:pt>
                <c:pt idx="17">
                  <c:v>0.52083333333333337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AE-4E91-9BE9-9C74A8D3F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STOPPER</c:v>
                </c:pt>
                <c:pt idx="14">
                  <c:v>TOP/BOTTOM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'08'!$L$6:$L$23</c:f>
              <c:numCache>
                <c:formatCode>_(* #,##0_);_(* \(#,##0\);_(* "-"_);_(@_)</c:formatCode>
                <c:ptCount val="18"/>
                <c:pt idx="0">
                  <c:v>5378</c:v>
                </c:pt>
                <c:pt idx="3">
                  <c:v>2640</c:v>
                </c:pt>
                <c:pt idx="4">
                  <c:v>41760</c:v>
                </c:pt>
                <c:pt idx="5">
                  <c:v>3623</c:v>
                </c:pt>
                <c:pt idx="6">
                  <c:v>1641</c:v>
                </c:pt>
                <c:pt idx="7">
                  <c:v>3305</c:v>
                </c:pt>
                <c:pt idx="8">
                  <c:v>15096</c:v>
                </c:pt>
                <c:pt idx="11">
                  <c:v>12146</c:v>
                </c:pt>
                <c:pt idx="12">
                  <c:v>13914</c:v>
                </c:pt>
                <c:pt idx="13">
                  <c:v>2794</c:v>
                </c:pt>
                <c:pt idx="14">
                  <c:v>739</c:v>
                </c:pt>
                <c:pt idx="15">
                  <c:v>4329</c:v>
                </c:pt>
                <c:pt idx="16">
                  <c:v>1852</c:v>
                </c:pt>
                <c:pt idx="17">
                  <c:v>40264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8-4B8C-A532-B5E39FC64223}"/>
            </c:ext>
          </c:extLst>
        </c:ser>
        <c:ser>
          <c:idx val="1"/>
          <c:order val="1"/>
          <c:tx>
            <c:v>계획</c:v>
          </c:tx>
          <c:cat>
            <c:strRef>
              <c:f>'08'!$D$6:$D$23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STOPPER</c:v>
                </c:pt>
                <c:pt idx="14">
                  <c:v>TOP/BOTTOM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'08'!$J$6:$J$23</c:f>
              <c:numCache>
                <c:formatCode>_(* #,##0_);_(* \(#,##0\);_(* "-"_);_(@_)</c:formatCode>
                <c:ptCount val="18"/>
                <c:pt idx="0">
                  <c:v>5378</c:v>
                </c:pt>
                <c:pt idx="1">
                  <c:v>4354</c:v>
                </c:pt>
                <c:pt idx="2">
                  <c:v>5388</c:v>
                </c:pt>
                <c:pt idx="3">
                  <c:v>2640</c:v>
                </c:pt>
                <c:pt idx="4">
                  <c:v>41760</c:v>
                </c:pt>
                <c:pt idx="5">
                  <c:v>3623</c:v>
                </c:pt>
                <c:pt idx="6">
                  <c:v>1641</c:v>
                </c:pt>
                <c:pt idx="7">
                  <c:v>3305</c:v>
                </c:pt>
                <c:pt idx="8">
                  <c:v>15096</c:v>
                </c:pt>
                <c:pt idx="9">
                  <c:v>376</c:v>
                </c:pt>
                <c:pt idx="10">
                  <c:v>726</c:v>
                </c:pt>
                <c:pt idx="11">
                  <c:v>12146</c:v>
                </c:pt>
                <c:pt idx="12">
                  <c:v>13914</c:v>
                </c:pt>
                <c:pt idx="13">
                  <c:v>2794</c:v>
                </c:pt>
                <c:pt idx="14">
                  <c:v>739</c:v>
                </c:pt>
                <c:pt idx="15">
                  <c:v>4329</c:v>
                </c:pt>
                <c:pt idx="16">
                  <c:v>1852</c:v>
                </c:pt>
                <c:pt idx="17">
                  <c:v>40264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18-4B8C-A532-B5E39FC64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'08'!$AD$6:$AD$23</c:f>
              <c:strCache>
                <c:ptCount val="18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58%</c:v>
                </c:pt>
                <c:pt idx="4">
                  <c:v>100%</c:v>
                </c:pt>
                <c:pt idx="5">
                  <c:v>63%</c:v>
                </c:pt>
                <c:pt idx="6">
                  <c:v>33%</c:v>
                </c:pt>
                <c:pt idx="7">
                  <c:v>63%</c:v>
                </c:pt>
                <c:pt idx="8">
                  <c:v>83%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46%</c:v>
                </c:pt>
                <c:pt idx="14">
                  <c:v>21%</c:v>
                </c:pt>
                <c:pt idx="15">
                  <c:v>75%</c:v>
                </c:pt>
                <c:pt idx="16">
                  <c:v>46%</c:v>
                </c:pt>
                <c:pt idx="17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STOPPER</c:v>
                </c:pt>
                <c:pt idx="14">
                  <c:v>TOP/BOTTOM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'08'!$AD$6:$AD$23</c:f>
              <c:numCache>
                <c:formatCode>0%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0.58333333333333337</c:v>
                </c:pt>
                <c:pt idx="4">
                  <c:v>1</c:v>
                </c:pt>
                <c:pt idx="5">
                  <c:v>0.625</c:v>
                </c:pt>
                <c:pt idx="6">
                  <c:v>0.33333333333333331</c:v>
                </c:pt>
                <c:pt idx="7">
                  <c:v>0.625</c:v>
                </c:pt>
                <c:pt idx="8">
                  <c:v>0.83333333333333337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0.45833333333333331</c:v>
                </c:pt>
                <c:pt idx="14">
                  <c:v>0.20833333333333334</c:v>
                </c:pt>
                <c:pt idx="15">
                  <c:v>0.75</c:v>
                </c:pt>
                <c:pt idx="16">
                  <c:v>0.45833333333333331</c:v>
                </c:pt>
                <c:pt idx="1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D-41E4-A986-08234BC1EEF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2DD-41E4-A986-08234BC1EE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LATCH</c:v>
                </c:pt>
                <c:pt idx="13">
                  <c:v>STOPPER</c:v>
                </c:pt>
                <c:pt idx="14">
                  <c:v>TOP/BOTTOM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'08'!$AE$6:$AE$23</c:f>
              <c:numCache>
                <c:formatCode>0%</c:formatCode>
                <c:ptCount val="18"/>
                <c:pt idx="0">
                  <c:v>0.5</c:v>
                </c:pt>
                <c:pt idx="1">
                  <c:v>0.52083333333333337</c:v>
                </c:pt>
                <c:pt idx="2">
                  <c:v>0.52083333333333337</c:v>
                </c:pt>
                <c:pt idx="3">
                  <c:v>0.52083333333333337</c:v>
                </c:pt>
                <c:pt idx="4">
                  <c:v>0.52083333333333337</c:v>
                </c:pt>
                <c:pt idx="5">
                  <c:v>0.52083333333333337</c:v>
                </c:pt>
                <c:pt idx="6">
                  <c:v>0.52083333333333337</c:v>
                </c:pt>
                <c:pt idx="7">
                  <c:v>0.52083333333333337</c:v>
                </c:pt>
                <c:pt idx="8">
                  <c:v>0.52083333333333337</c:v>
                </c:pt>
                <c:pt idx="9">
                  <c:v>0.52083333333333337</c:v>
                </c:pt>
                <c:pt idx="10">
                  <c:v>0.52083333333333337</c:v>
                </c:pt>
                <c:pt idx="11">
                  <c:v>0.52083333333333337</c:v>
                </c:pt>
                <c:pt idx="12">
                  <c:v>0.52083333333333337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0.52083333333333337</c:v>
                </c:pt>
                <c:pt idx="16">
                  <c:v>0.52083333333333337</c:v>
                </c:pt>
                <c:pt idx="17">
                  <c:v>0.52083333333333337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DD-41E4-A986-08234BC1E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135-49FD-8DC9-C69ED75085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5-49FD-8DC9-C69ED7508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135-49FD-8DC9-C69ED75085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35-49FD-8DC9-C69ED7508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LATCH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3561</c:v>
                </c:pt>
                <c:pt idx="1">
                  <c:v>3036</c:v>
                </c:pt>
                <c:pt idx="3">
                  <c:v>1825</c:v>
                </c:pt>
                <c:pt idx="4">
                  <c:v>41172</c:v>
                </c:pt>
                <c:pt idx="5">
                  <c:v>5937</c:v>
                </c:pt>
                <c:pt idx="6">
                  <c:v>4969</c:v>
                </c:pt>
                <c:pt idx="7">
                  <c:v>13713</c:v>
                </c:pt>
                <c:pt idx="10">
                  <c:v>1640</c:v>
                </c:pt>
                <c:pt idx="11">
                  <c:v>13080</c:v>
                </c:pt>
                <c:pt idx="12">
                  <c:v>4538</c:v>
                </c:pt>
                <c:pt idx="13">
                  <c:v>2187</c:v>
                </c:pt>
                <c:pt idx="14">
                  <c:v>2502</c:v>
                </c:pt>
                <c:pt idx="15">
                  <c:v>40128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D0-4C5B-B664-E60EBC82CFF2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LATCH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3561</c:v>
                </c:pt>
                <c:pt idx="1">
                  <c:v>3036</c:v>
                </c:pt>
                <c:pt idx="2">
                  <c:v>5388</c:v>
                </c:pt>
                <c:pt idx="3">
                  <c:v>1825</c:v>
                </c:pt>
                <c:pt idx="4">
                  <c:v>41172</c:v>
                </c:pt>
                <c:pt idx="5">
                  <c:v>5937</c:v>
                </c:pt>
                <c:pt idx="6">
                  <c:v>4969</c:v>
                </c:pt>
                <c:pt idx="7">
                  <c:v>13713</c:v>
                </c:pt>
                <c:pt idx="8">
                  <c:v>376</c:v>
                </c:pt>
                <c:pt idx="9">
                  <c:v>726</c:v>
                </c:pt>
                <c:pt idx="10">
                  <c:v>1640</c:v>
                </c:pt>
                <c:pt idx="11">
                  <c:v>13080</c:v>
                </c:pt>
                <c:pt idx="12">
                  <c:v>4538</c:v>
                </c:pt>
                <c:pt idx="13">
                  <c:v>2187</c:v>
                </c:pt>
                <c:pt idx="14">
                  <c:v>2502</c:v>
                </c:pt>
                <c:pt idx="15">
                  <c:v>40128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D0-4C5B-B664-E60EBC82C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75%</c:v>
                </c:pt>
                <c:pt idx="1">
                  <c:v>58%</c:v>
                </c:pt>
                <c:pt idx="2">
                  <c:v>0%</c:v>
                </c:pt>
                <c:pt idx="3">
                  <c:v>42%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21%</c:v>
                </c:pt>
                <c:pt idx="11">
                  <c:v>100%</c:v>
                </c:pt>
                <c:pt idx="12">
                  <c:v>88%</c:v>
                </c:pt>
                <c:pt idx="13">
                  <c:v>58%</c:v>
                </c:pt>
                <c:pt idx="14">
                  <c:v>46%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LATCH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0.75</c:v>
                </c:pt>
                <c:pt idx="1">
                  <c:v>0.58333333333333337</c:v>
                </c:pt>
                <c:pt idx="2">
                  <c:v>0</c:v>
                </c:pt>
                <c:pt idx="3">
                  <c:v>0.41666666666666669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0.20833333333333334</c:v>
                </c:pt>
                <c:pt idx="11">
                  <c:v>1</c:v>
                </c:pt>
                <c:pt idx="12">
                  <c:v>0.875</c:v>
                </c:pt>
                <c:pt idx="13">
                  <c:v>0.58333333333333337</c:v>
                </c:pt>
                <c:pt idx="14">
                  <c:v>0.45833333333333331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D7-4414-B0F5-146B1ED461F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D7-4414-B0F5-146B1ED461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LATCH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0.5</c:v>
                </c:pt>
                <c:pt idx="1">
                  <c:v>0.57552083333333337</c:v>
                </c:pt>
                <c:pt idx="2">
                  <c:v>0.57552083333333337</c:v>
                </c:pt>
                <c:pt idx="3">
                  <c:v>0.57552083333333337</c:v>
                </c:pt>
                <c:pt idx="4">
                  <c:v>0.57552083333333337</c:v>
                </c:pt>
                <c:pt idx="5">
                  <c:v>0.57552083333333337</c:v>
                </c:pt>
                <c:pt idx="6">
                  <c:v>0.57552083333333337</c:v>
                </c:pt>
                <c:pt idx="7">
                  <c:v>0.57552083333333337</c:v>
                </c:pt>
                <c:pt idx="8">
                  <c:v>0.57552083333333337</c:v>
                </c:pt>
                <c:pt idx="9">
                  <c:v>0.57552083333333337</c:v>
                </c:pt>
                <c:pt idx="10">
                  <c:v>0.57552083333333337</c:v>
                </c:pt>
                <c:pt idx="11">
                  <c:v>0.57552083333333337</c:v>
                </c:pt>
                <c:pt idx="12">
                  <c:v>0.57552083333333337</c:v>
                </c:pt>
                <c:pt idx="13">
                  <c:v>0.57552083333333337</c:v>
                </c:pt>
                <c:pt idx="14">
                  <c:v>0.57552083333333337</c:v>
                </c:pt>
                <c:pt idx="15">
                  <c:v>0.57552083333333337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D7-4414-B0F5-146B1ED46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LATCH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3561</c:v>
                </c:pt>
                <c:pt idx="1">
                  <c:v>3036</c:v>
                </c:pt>
                <c:pt idx="3">
                  <c:v>1825</c:v>
                </c:pt>
                <c:pt idx="4">
                  <c:v>41172</c:v>
                </c:pt>
                <c:pt idx="5">
                  <c:v>5937</c:v>
                </c:pt>
                <c:pt idx="6">
                  <c:v>4969</c:v>
                </c:pt>
                <c:pt idx="7">
                  <c:v>13713</c:v>
                </c:pt>
                <c:pt idx="10">
                  <c:v>1640</c:v>
                </c:pt>
                <c:pt idx="11">
                  <c:v>13080</c:v>
                </c:pt>
                <c:pt idx="12">
                  <c:v>4538</c:v>
                </c:pt>
                <c:pt idx="13">
                  <c:v>2187</c:v>
                </c:pt>
                <c:pt idx="14">
                  <c:v>2502</c:v>
                </c:pt>
                <c:pt idx="15">
                  <c:v>40128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1-4A44-BE87-562A5D0A2A57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LATCH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3561</c:v>
                </c:pt>
                <c:pt idx="1">
                  <c:v>3036</c:v>
                </c:pt>
                <c:pt idx="2">
                  <c:v>5388</c:v>
                </c:pt>
                <c:pt idx="3">
                  <c:v>1825</c:v>
                </c:pt>
                <c:pt idx="4">
                  <c:v>41172</c:v>
                </c:pt>
                <c:pt idx="5">
                  <c:v>5937</c:v>
                </c:pt>
                <c:pt idx="6">
                  <c:v>4969</c:v>
                </c:pt>
                <c:pt idx="7">
                  <c:v>13713</c:v>
                </c:pt>
                <c:pt idx="8">
                  <c:v>376</c:v>
                </c:pt>
                <c:pt idx="9">
                  <c:v>726</c:v>
                </c:pt>
                <c:pt idx="10">
                  <c:v>1640</c:v>
                </c:pt>
                <c:pt idx="11">
                  <c:v>13080</c:v>
                </c:pt>
                <c:pt idx="12">
                  <c:v>4538</c:v>
                </c:pt>
                <c:pt idx="13">
                  <c:v>2187</c:v>
                </c:pt>
                <c:pt idx="14">
                  <c:v>2502</c:v>
                </c:pt>
                <c:pt idx="15">
                  <c:v>40128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1-4A44-BE87-562A5D0A2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75%</c:v>
                </c:pt>
                <c:pt idx="1">
                  <c:v>58%</c:v>
                </c:pt>
                <c:pt idx="2">
                  <c:v>0%</c:v>
                </c:pt>
                <c:pt idx="3">
                  <c:v>42%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21%</c:v>
                </c:pt>
                <c:pt idx="11">
                  <c:v>100%</c:v>
                </c:pt>
                <c:pt idx="12">
                  <c:v>88%</c:v>
                </c:pt>
                <c:pt idx="13">
                  <c:v>58%</c:v>
                </c:pt>
                <c:pt idx="14">
                  <c:v>46%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LATCH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0.75</c:v>
                </c:pt>
                <c:pt idx="1">
                  <c:v>0.58333333333333337</c:v>
                </c:pt>
                <c:pt idx="2">
                  <c:v>0</c:v>
                </c:pt>
                <c:pt idx="3">
                  <c:v>0.41666666666666669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0.20833333333333334</c:v>
                </c:pt>
                <c:pt idx="11">
                  <c:v>1</c:v>
                </c:pt>
                <c:pt idx="12">
                  <c:v>0.875</c:v>
                </c:pt>
                <c:pt idx="13">
                  <c:v>0.58333333333333337</c:v>
                </c:pt>
                <c:pt idx="14">
                  <c:v>0.45833333333333331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2-41D9-B6E1-733E3051BF1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02-41D9-B6E1-733E3051BF1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LATCH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0.5</c:v>
                </c:pt>
                <c:pt idx="1">
                  <c:v>0.57552083333333337</c:v>
                </c:pt>
                <c:pt idx="2">
                  <c:v>0.57552083333333337</c:v>
                </c:pt>
                <c:pt idx="3">
                  <c:v>0.57552083333333337</c:v>
                </c:pt>
                <c:pt idx="4">
                  <c:v>0.57552083333333337</c:v>
                </c:pt>
                <c:pt idx="5">
                  <c:v>0.57552083333333337</c:v>
                </c:pt>
                <c:pt idx="6">
                  <c:v>0.57552083333333337</c:v>
                </c:pt>
                <c:pt idx="7">
                  <c:v>0.57552083333333337</c:v>
                </c:pt>
                <c:pt idx="8">
                  <c:v>0.57552083333333337</c:v>
                </c:pt>
                <c:pt idx="9">
                  <c:v>0.57552083333333337</c:v>
                </c:pt>
                <c:pt idx="10">
                  <c:v>0.57552083333333337</c:v>
                </c:pt>
                <c:pt idx="11">
                  <c:v>0.57552083333333337</c:v>
                </c:pt>
                <c:pt idx="12">
                  <c:v>0.57552083333333337</c:v>
                </c:pt>
                <c:pt idx="13">
                  <c:v>0.57552083333333337</c:v>
                </c:pt>
                <c:pt idx="14">
                  <c:v>0.57552083333333337</c:v>
                </c:pt>
                <c:pt idx="15">
                  <c:v>0.57552083333333337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02-41D9-B6E1-733E3051B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F05-4C64-AFAF-FD5FF7FC5C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5-4C64-AFAF-FD5FF7FC5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F05-4C64-AFAF-FD5FF7FC5C2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05-4C64-AFAF-FD5FF7FC5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0">
                  <c:v>1716</c:v>
                </c:pt>
                <c:pt idx="1">
                  <c:v>2875</c:v>
                </c:pt>
                <c:pt idx="4">
                  <c:v>18144</c:v>
                </c:pt>
                <c:pt idx="5">
                  <c:v>2571</c:v>
                </c:pt>
                <c:pt idx="6">
                  <c:v>2245</c:v>
                </c:pt>
                <c:pt idx="7">
                  <c:v>7584</c:v>
                </c:pt>
                <c:pt idx="11">
                  <c:v>5108</c:v>
                </c:pt>
                <c:pt idx="12">
                  <c:v>2171</c:v>
                </c:pt>
                <c:pt idx="13">
                  <c:v>624</c:v>
                </c:pt>
                <c:pt idx="14">
                  <c:v>433</c:v>
                </c:pt>
                <c:pt idx="15">
                  <c:v>41532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48-4795-AC58-4A80D49637CE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1716</c:v>
                </c:pt>
                <c:pt idx="1">
                  <c:v>2875</c:v>
                </c:pt>
                <c:pt idx="2">
                  <c:v>5388</c:v>
                </c:pt>
                <c:pt idx="3">
                  <c:v>1825</c:v>
                </c:pt>
                <c:pt idx="4">
                  <c:v>18144</c:v>
                </c:pt>
                <c:pt idx="5">
                  <c:v>2571</c:v>
                </c:pt>
                <c:pt idx="6">
                  <c:v>2245</c:v>
                </c:pt>
                <c:pt idx="7">
                  <c:v>7584</c:v>
                </c:pt>
                <c:pt idx="8">
                  <c:v>376</c:v>
                </c:pt>
                <c:pt idx="9">
                  <c:v>726</c:v>
                </c:pt>
                <c:pt idx="10">
                  <c:v>1640</c:v>
                </c:pt>
                <c:pt idx="11">
                  <c:v>5108</c:v>
                </c:pt>
                <c:pt idx="12">
                  <c:v>2171</c:v>
                </c:pt>
                <c:pt idx="13">
                  <c:v>624</c:v>
                </c:pt>
                <c:pt idx="14">
                  <c:v>433</c:v>
                </c:pt>
                <c:pt idx="15">
                  <c:v>41532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48-4795-AC58-4A80D496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38%</c:v>
                </c:pt>
                <c:pt idx="1">
                  <c:v>46%</c:v>
                </c:pt>
                <c:pt idx="2">
                  <c:v>0%</c:v>
                </c:pt>
                <c:pt idx="3">
                  <c:v>0%</c:v>
                </c:pt>
                <c:pt idx="4">
                  <c:v>46%</c:v>
                </c:pt>
                <c:pt idx="5">
                  <c:v>46%</c:v>
                </c:pt>
                <c:pt idx="6">
                  <c:v>46%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38%</c:v>
                </c:pt>
                <c:pt idx="12">
                  <c:v>42%</c:v>
                </c:pt>
                <c:pt idx="13">
                  <c:v>21%</c:v>
                </c:pt>
                <c:pt idx="14">
                  <c:v>17%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0.375</c:v>
                </c:pt>
                <c:pt idx="1">
                  <c:v>0.45833333333333331</c:v>
                </c:pt>
                <c:pt idx="2">
                  <c:v>0</c:v>
                </c:pt>
                <c:pt idx="3">
                  <c:v>0</c:v>
                </c:pt>
                <c:pt idx="4">
                  <c:v>0.45833333333333331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0.375</c:v>
                </c:pt>
                <c:pt idx="12">
                  <c:v>0.41666666666666669</c:v>
                </c:pt>
                <c:pt idx="13">
                  <c:v>0.20833333333333334</c:v>
                </c:pt>
                <c:pt idx="14">
                  <c:v>0.16666666666666666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9-4D18-B8BD-B964AF0FD8A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3C9-4D18-B8BD-B964AF0FD8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0.45833333333333331</c:v>
                </c:pt>
                <c:pt idx="1">
                  <c:v>0.26822916666666663</c:v>
                </c:pt>
                <c:pt idx="2">
                  <c:v>0.26822916666666663</c:v>
                </c:pt>
                <c:pt idx="3">
                  <c:v>0.26822916666666663</c:v>
                </c:pt>
                <c:pt idx="4">
                  <c:v>0.26822916666666663</c:v>
                </c:pt>
                <c:pt idx="5">
                  <c:v>0.26822916666666663</c:v>
                </c:pt>
                <c:pt idx="6">
                  <c:v>0.26822916666666663</c:v>
                </c:pt>
                <c:pt idx="7">
                  <c:v>0.26822916666666663</c:v>
                </c:pt>
                <c:pt idx="8">
                  <c:v>0.26822916666666663</c:v>
                </c:pt>
                <c:pt idx="9">
                  <c:v>0.26822916666666663</c:v>
                </c:pt>
                <c:pt idx="10">
                  <c:v>0.26822916666666663</c:v>
                </c:pt>
                <c:pt idx="11">
                  <c:v>0.26822916666666663</c:v>
                </c:pt>
                <c:pt idx="12">
                  <c:v>0.26822916666666663</c:v>
                </c:pt>
                <c:pt idx="13">
                  <c:v>0.26822916666666663</c:v>
                </c:pt>
                <c:pt idx="14">
                  <c:v>0.26822916666666663</c:v>
                </c:pt>
                <c:pt idx="15">
                  <c:v>0.26822916666666663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C9-4D18-B8BD-B964AF0FD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0">
                  <c:v>1716</c:v>
                </c:pt>
                <c:pt idx="1">
                  <c:v>2875</c:v>
                </c:pt>
                <c:pt idx="4">
                  <c:v>18144</c:v>
                </c:pt>
                <c:pt idx="5">
                  <c:v>2571</c:v>
                </c:pt>
                <c:pt idx="6">
                  <c:v>2245</c:v>
                </c:pt>
                <c:pt idx="7">
                  <c:v>7584</c:v>
                </c:pt>
                <c:pt idx="11">
                  <c:v>5108</c:v>
                </c:pt>
                <c:pt idx="12">
                  <c:v>2171</c:v>
                </c:pt>
                <c:pt idx="13">
                  <c:v>624</c:v>
                </c:pt>
                <c:pt idx="14">
                  <c:v>433</c:v>
                </c:pt>
                <c:pt idx="15">
                  <c:v>41532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0-46D5-9139-25528805410F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1716</c:v>
                </c:pt>
                <c:pt idx="1">
                  <c:v>2875</c:v>
                </c:pt>
                <c:pt idx="2">
                  <c:v>5388</c:v>
                </c:pt>
                <c:pt idx="3">
                  <c:v>1825</c:v>
                </c:pt>
                <c:pt idx="4">
                  <c:v>18144</c:v>
                </c:pt>
                <c:pt idx="5">
                  <c:v>2571</c:v>
                </c:pt>
                <c:pt idx="6">
                  <c:v>2245</c:v>
                </c:pt>
                <c:pt idx="7">
                  <c:v>7584</c:v>
                </c:pt>
                <c:pt idx="8">
                  <c:v>376</c:v>
                </c:pt>
                <c:pt idx="9">
                  <c:v>726</c:v>
                </c:pt>
                <c:pt idx="10">
                  <c:v>1640</c:v>
                </c:pt>
                <c:pt idx="11">
                  <c:v>5108</c:v>
                </c:pt>
                <c:pt idx="12">
                  <c:v>2171</c:v>
                </c:pt>
                <c:pt idx="13">
                  <c:v>624</c:v>
                </c:pt>
                <c:pt idx="14">
                  <c:v>433</c:v>
                </c:pt>
                <c:pt idx="15">
                  <c:v>41532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B0-46D5-9139-255288054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38%</c:v>
                </c:pt>
                <c:pt idx="1">
                  <c:v>46%</c:v>
                </c:pt>
                <c:pt idx="2">
                  <c:v>0%</c:v>
                </c:pt>
                <c:pt idx="3">
                  <c:v>0%</c:v>
                </c:pt>
                <c:pt idx="4">
                  <c:v>46%</c:v>
                </c:pt>
                <c:pt idx="5">
                  <c:v>46%</c:v>
                </c:pt>
                <c:pt idx="6">
                  <c:v>46%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38%</c:v>
                </c:pt>
                <c:pt idx="12">
                  <c:v>42%</c:v>
                </c:pt>
                <c:pt idx="13">
                  <c:v>21%</c:v>
                </c:pt>
                <c:pt idx="14">
                  <c:v>17%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0.375</c:v>
                </c:pt>
                <c:pt idx="1">
                  <c:v>0.45833333333333331</c:v>
                </c:pt>
                <c:pt idx="2">
                  <c:v>0</c:v>
                </c:pt>
                <c:pt idx="3">
                  <c:v>0</c:v>
                </c:pt>
                <c:pt idx="4">
                  <c:v>0.45833333333333331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0.375</c:v>
                </c:pt>
                <c:pt idx="12">
                  <c:v>0.41666666666666669</c:v>
                </c:pt>
                <c:pt idx="13">
                  <c:v>0.20833333333333334</c:v>
                </c:pt>
                <c:pt idx="14">
                  <c:v>0.16666666666666666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0-4859-B605-AFED0E1CD33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F0-4859-B605-AFED0E1CD3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PLATE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STOPPER</c:v>
                </c:pt>
                <c:pt idx="13">
                  <c:v>BASE/LID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0.45833333333333331</c:v>
                </c:pt>
                <c:pt idx="1">
                  <c:v>0.26822916666666663</c:v>
                </c:pt>
                <c:pt idx="2">
                  <c:v>0.26822916666666663</c:v>
                </c:pt>
                <c:pt idx="3">
                  <c:v>0.26822916666666663</c:v>
                </c:pt>
                <c:pt idx="4">
                  <c:v>0.26822916666666663</c:v>
                </c:pt>
                <c:pt idx="5">
                  <c:v>0.26822916666666663</c:v>
                </c:pt>
                <c:pt idx="6">
                  <c:v>0.26822916666666663</c:v>
                </c:pt>
                <c:pt idx="7">
                  <c:v>0.26822916666666663</c:v>
                </c:pt>
                <c:pt idx="8">
                  <c:v>0.26822916666666663</c:v>
                </c:pt>
                <c:pt idx="9">
                  <c:v>0.26822916666666663</c:v>
                </c:pt>
                <c:pt idx="10">
                  <c:v>0.26822916666666663</c:v>
                </c:pt>
                <c:pt idx="11">
                  <c:v>0.26822916666666663</c:v>
                </c:pt>
                <c:pt idx="12">
                  <c:v>0.26822916666666663</c:v>
                </c:pt>
                <c:pt idx="13">
                  <c:v>0.26822916666666663</c:v>
                </c:pt>
                <c:pt idx="14">
                  <c:v>0.26822916666666663</c:v>
                </c:pt>
                <c:pt idx="15">
                  <c:v>0.26822916666666663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F0-4859-B605-AFED0E1CD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1BF-4698-B9CA-545BFFC460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F-4698-B9CA-545BFFC46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1BF-4698-B9CA-545BFFC460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BF-4698-B9CA-545BFFC46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COVER</c:v>
                </c:pt>
                <c:pt idx="13">
                  <c:v>BASE/LID</c:v>
                </c:pt>
                <c:pt idx="15">
                  <c:v>BASE</c:v>
                </c:pt>
              </c:strCache>
            </c:strRef>
          </c:cat>
          <c:val>
            <c:numRef>
              <c:f>'11'!$L$6:$L$22</c:f>
              <c:numCache>
                <c:formatCode>_(* #,##0_);_(* \(#,##0\);_(* "-"_);_(@_)</c:formatCode>
                <c:ptCount val="17"/>
                <c:pt idx="0">
                  <c:v>1642</c:v>
                </c:pt>
                <c:pt idx="1">
                  <c:v>6063</c:v>
                </c:pt>
                <c:pt idx="2">
                  <c:v>4748</c:v>
                </c:pt>
                <c:pt idx="3">
                  <c:v>2633</c:v>
                </c:pt>
                <c:pt idx="4">
                  <c:v>37804</c:v>
                </c:pt>
                <c:pt idx="5">
                  <c:v>2300</c:v>
                </c:pt>
                <c:pt idx="6">
                  <c:v>4865</c:v>
                </c:pt>
                <c:pt idx="7">
                  <c:v>9832</c:v>
                </c:pt>
                <c:pt idx="11">
                  <c:v>3136</c:v>
                </c:pt>
                <c:pt idx="12">
                  <c:v>740</c:v>
                </c:pt>
                <c:pt idx="13">
                  <c:v>1199</c:v>
                </c:pt>
                <c:pt idx="14">
                  <c:v>3157</c:v>
                </c:pt>
                <c:pt idx="15">
                  <c:v>3718</c:v>
                </c:pt>
                <c:pt idx="16">
                  <c:v>30884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9-4D3A-A6B7-491282966CD7}"/>
            </c:ext>
          </c:extLst>
        </c:ser>
        <c:ser>
          <c:idx val="1"/>
          <c:order val="1"/>
          <c:tx>
            <c:v>계획</c:v>
          </c:tx>
          <c:cat>
            <c:strRef>
              <c:f>'11'!$D$6:$D$22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COVER</c:v>
                </c:pt>
                <c:pt idx="13">
                  <c:v>BASE/LID</c:v>
                </c:pt>
                <c:pt idx="15">
                  <c:v>BASE</c:v>
                </c:pt>
              </c:strCache>
            </c:strRef>
          </c:cat>
          <c:val>
            <c:numRef>
              <c:f>'11'!$J$6:$J$22</c:f>
              <c:numCache>
                <c:formatCode>_(* #,##0_);_(* \(#,##0\);_(* "-"_);_(@_)</c:formatCode>
                <c:ptCount val="17"/>
                <c:pt idx="0">
                  <c:v>1642</c:v>
                </c:pt>
                <c:pt idx="1">
                  <c:v>6063</c:v>
                </c:pt>
                <c:pt idx="2">
                  <c:v>4748</c:v>
                </c:pt>
                <c:pt idx="3">
                  <c:v>2633</c:v>
                </c:pt>
                <c:pt idx="4">
                  <c:v>37804</c:v>
                </c:pt>
                <c:pt idx="5">
                  <c:v>2300</c:v>
                </c:pt>
                <c:pt idx="6">
                  <c:v>4865</c:v>
                </c:pt>
                <c:pt idx="7">
                  <c:v>9832</c:v>
                </c:pt>
                <c:pt idx="8">
                  <c:v>376</c:v>
                </c:pt>
                <c:pt idx="9">
                  <c:v>726</c:v>
                </c:pt>
                <c:pt idx="10">
                  <c:v>1640</c:v>
                </c:pt>
                <c:pt idx="11">
                  <c:v>3136</c:v>
                </c:pt>
                <c:pt idx="12">
                  <c:v>740</c:v>
                </c:pt>
                <c:pt idx="13">
                  <c:v>1199</c:v>
                </c:pt>
                <c:pt idx="14">
                  <c:v>3157</c:v>
                </c:pt>
                <c:pt idx="15">
                  <c:v>3718</c:v>
                </c:pt>
                <c:pt idx="16">
                  <c:v>30884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9-4D3A-A6B7-491282966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'11'!$AD$6:$AD$22</c:f>
              <c:strCache>
                <c:ptCount val="17"/>
                <c:pt idx="0">
                  <c:v>42%</c:v>
                </c:pt>
                <c:pt idx="1">
                  <c:v>100%</c:v>
                </c:pt>
                <c:pt idx="2">
                  <c:v>92%</c:v>
                </c:pt>
                <c:pt idx="3">
                  <c:v>58%</c:v>
                </c:pt>
                <c:pt idx="4">
                  <c:v>100%</c:v>
                </c:pt>
                <c:pt idx="5">
                  <c:v>54%</c:v>
                </c:pt>
                <c:pt idx="6">
                  <c:v>100%</c:v>
                </c:pt>
                <c:pt idx="7">
                  <c:v>54%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21%</c:v>
                </c:pt>
                <c:pt idx="13">
                  <c:v>25%</c:v>
                </c:pt>
                <c:pt idx="14">
                  <c:v>71%</c:v>
                </c:pt>
                <c:pt idx="15">
                  <c:v>79%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COVER</c:v>
                </c:pt>
                <c:pt idx="13">
                  <c:v>BASE/LID</c:v>
                </c:pt>
                <c:pt idx="15">
                  <c:v>BASE</c:v>
                </c:pt>
              </c:strCache>
            </c:strRef>
          </c:cat>
          <c:val>
            <c:numRef>
              <c:f>'11'!$AD$6:$AD$22</c:f>
              <c:numCache>
                <c:formatCode>0%</c:formatCode>
                <c:ptCount val="17"/>
                <c:pt idx="0">
                  <c:v>0.41666666666666669</c:v>
                </c:pt>
                <c:pt idx="1">
                  <c:v>1</c:v>
                </c:pt>
                <c:pt idx="2">
                  <c:v>0.91666666666666663</c:v>
                </c:pt>
                <c:pt idx="3">
                  <c:v>0.58333333333333337</c:v>
                </c:pt>
                <c:pt idx="4">
                  <c:v>1</c:v>
                </c:pt>
                <c:pt idx="5">
                  <c:v>0.54166666666666663</c:v>
                </c:pt>
                <c:pt idx="6">
                  <c:v>1</c:v>
                </c:pt>
                <c:pt idx="7">
                  <c:v>0.54166666666666663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0.20833333333333334</c:v>
                </c:pt>
                <c:pt idx="13">
                  <c:v>0.25</c:v>
                </c:pt>
                <c:pt idx="14">
                  <c:v>0.70833333333333337</c:v>
                </c:pt>
                <c:pt idx="15">
                  <c:v>0.79166666666666663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B-42D8-865D-8458C142C5C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FB-42D8-865D-8458C142C5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COVER</c:v>
                </c:pt>
                <c:pt idx="13">
                  <c:v>BASE/LID</c:v>
                </c:pt>
                <c:pt idx="15">
                  <c:v>BASE</c:v>
                </c:pt>
              </c:strCache>
            </c:strRef>
          </c:cat>
          <c:val>
            <c:numRef>
              <c:f>'11'!$AE$6:$AE$22</c:f>
              <c:numCache>
                <c:formatCode>0%</c:formatCode>
                <c:ptCount val="17"/>
                <c:pt idx="0">
                  <c:v>0.50980392156862753</c:v>
                </c:pt>
                <c:pt idx="1">
                  <c:v>0.50980392156862753</c:v>
                </c:pt>
                <c:pt idx="2">
                  <c:v>0.50980392156862753</c:v>
                </c:pt>
                <c:pt idx="3">
                  <c:v>0.50980392156862753</c:v>
                </c:pt>
                <c:pt idx="4">
                  <c:v>0.50980392156862753</c:v>
                </c:pt>
                <c:pt idx="5">
                  <c:v>0.50980392156862753</c:v>
                </c:pt>
                <c:pt idx="6">
                  <c:v>0.50980392156862753</c:v>
                </c:pt>
                <c:pt idx="7">
                  <c:v>0.50980392156862753</c:v>
                </c:pt>
                <c:pt idx="8">
                  <c:v>0.50980392156862753</c:v>
                </c:pt>
                <c:pt idx="9">
                  <c:v>0.50980392156862753</c:v>
                </c:pt>
                <c:pt idx="10">
                  <c:v>0.50980392156862753</c:v>
                </c:pt>
                <c:pt idx="11">
                  <c:v>0.50980392156862753</c:v>
                </c:pt>
                <c:pt idx="12">
                  <c:v>0.50980392156862753</c:v>
                </c:pt>
                <c:pt idx="13">
                  <c:v>0.50980392156862753</c:v>
                </c:pt>
                <c:pt idx="14">
                  <c:v>0.50980392156862753</c:v>
                </c:pt>
                <c:pt idx="15">
                  <c:v>0.50980392156862753</c:v>
                </c:pt>
                <c:pt idx="16">
                  <c:v>0.50980392156862753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FB-42D8-865D-8458C14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COVER</c:v>
                </c:pt>
                <c:pt idx="13">
                  <c:v>BASE/LID</c:v>
                </c:pt>
                <c:pt idx="15">
                  <c:v>BASE</c:v>
                </c:pt>
              </c:strCache>
            </c:strRef>
          </c:cat>
          <c:val>
            <c:numRef>
              <c:f>'11'!$L$6:$L$22</c:f>
              <c:numCache>
                <c:formatCode>_(* #,##0_);_(* \(#,##0\);_(* "-"_);_(@_)</c:formatCode>
                <c:ptCount val="17"/>
                <c:pt idx="0">
                  <c:v>1642</c:v>
                </c:pt>
                <c:pt idx="1">
                  <c:v>6063</c:v>
                </c:pt>
                <c:pt idx="2">
                  <c:v>4748</c:v>
                </c:pt>
                <c:pt idx="3">
                  <c:v>2633</c:v>
                </c:pt>
                <c:pt idx="4">
                  <c:v>37804</c:v>
                </c:pt>
                <c:pt idx="5">
                  <c:v>2300</c:v>
                </c:pt>
                <c:pt idx="6">
                  <c:v>4865</c:v>
                </c:pt>
                <c:pt idx="7">
                  <c:v>9832</c:v>
                </c:pt>
                <c:pt idx="11">
                  <c:v>3136</c:v>
                </c:pt>
                <c:pt idx="12">
                  <c:v>740</c:v>
                </c:pt>
                <c:pt idx="13">
                  <c:v>1199</c:v>
                </c:pt>
                <c:pt idx="14">
                  <c:v>3157</c:v>
                </c:pt>
                <c:pt idx="15">
                  <c:v>3718</c:v>
                </c:pt>
                <c:pt idx="16">
                  <c:v>30884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A-44C3-AAD5-E23375D31833}"/>
            </c:ext>
          </c:extLst>
        </c:ser>
        <c:ser>
          <c:idx val="1"/>
          <c:order val="1"/>
          <c:tx>
            <c:v>계획</c:v>
          </c:tx>
          <c:cat>
            <c:strRef>
              <c:f>'11'!$D$6:$D$22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COVER</c:v>
                </c:pt>
                <c:pt idx="13">
                  <c:v>BASE/LID</c:v>
                </c:pt>
                <c:pt idx="15">
                  <c:v>BASE</c:v>
                </c:pt>
              </c:strCache>
            </c:strRef>
          </c:cat>
          <c:val>
            <c:numRef>
              <c:f>'11'!$J$6:$J$22</c:f>
              <c:numCache>
                <c:formatCode>_(* #,##0_);_(* \(#,##0\);_(* "-"_);_(@_)</c:formatCode>
                <c:ptCount val="17"/>
                <c:pt idx="0">
                  <c:v>1642</c:v>
                </c:pt>
                <c:pt idx="1">
                  <c:v>6063</c:v>
                </c:pt>
                <c:pt idx="2">
                  <c:v>4748</c:v>
                </c:pt>
                <c:pt idx="3">
                  <c:v>2633</c:v>
                </c:pt>
                <c:pt idx="4">
                  <c:v>37804</c:v>
                </c:pt>
                <c:pt idx="5">
                  <c:v>2300</c:v>
                </c:pt>
                <c:pt idx="6">
                  <c:v>4865</c:v>
                </c:pt>
                <c:pt idx="7">
                  <c:v>9832</c:v>
                </c:pt>
                <c:pt idx="8">
                  <c:v>376</c:v>
                </c:pt>
                <c:pt idx="9">
                  <c:v>726</c:v>
                </c:pt>
                <c:pt idx="10">
                  <c:v>1640</c:v>
                </c:pt>
                <c:pt idx="11">
                  <c:v>3136</c:v>
                </c:pt>
                <c:pt idx="12">
                  <c:v>740</c:v>
                </c:pt>
                <c:pt idx="13">
                  <c:v>1199</c:v>
                </c:pt>
                <c:pt idx="14">
                  <c:v>3157</c:v>
                </c:pt>
                <c:pt idx="15">
                  <c:v>3718</c:v>
                </c:pt>
                <c:pt idx="16">
                  <c:v>30884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A-44C3-AAD5-E23375D31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'11'!$AD$6:$AD$22</c:f>
              <c:strCache>
                <c:ptCount val="17"/>
                <c:pt idx="0">
                  <c:v>42%</c:v>
                </c:pt>
                <c:pt idx="1">
                  <c:v>100%</c:v>
                </c:pt>
                <c:pt idx="2">
                  <c:v>92%</c:v>
                </c:pt>
                <c:pt idx="3">
                  <c:v>58%</c:v>
                </c:pt>
                <c:pt idx="4">
                  <c:v>100%</c:v>
                </c:pt>
                <c:pt idx="5">
                  <c:v>54%</c:v>
                </c:pt>
                <c:pt idx="6">
                  <c:v>100%</c:v>
                </c:pt>
                <c:pt idx="7">
                  <c:v>54%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21%</c:v>
                </c:pt>
                <c:pt idx="13">
                  <c:v>25%</c:v>
                </c:pt>
                <c:pt idx="14">
                  <c:v>71%</c:v>
                </c:pt>
                <c:pt idx="15">
                  <c:v>79%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COVER</c:v>
                </c:pt>
                <c:pt idx="13">
                  <c:v>BASE/LID</c:v>
                </c:pt>
                <c:pt idx="15">
                  <c:v>BASE</c:v>
                </c:pt>
              </c:strCache>
            </c:strRef>
          </c:cat>
          <c:val>
            <c:numRef>
              <c:f>'11'!$AD$6:$AD$22</c:f>
              <c:numCache>
                <c:formatCode>0%</c:formatCode>
                <c:ptCount val="17"/>
                <c:pt idx="0">
                  <c:v>0.41666666666666669</c:v>
                </c:pt>
                <c:pt idx="1">
                  <c:v>1</c:v>
                </c:pt>
                <c:pt idx="2">
                  <c:v>0.91666666666666663</c:v>
                </c:pt>
                <c:pt idx="3">
                  <c:v>0.58333333333333337</c:v>
                </c:pt>
                <c:pt idx="4">
                  <c:v>1</c:v>
                </c:pt>
                <c:pt idx="5">
                  <c:v>0.54166666666666663</c:v>
                </c:pt>
                <c:pt idx="6">
                  <c:v>1</c:v>
                </c:pt>
                <c:pt idx="7">
                  <c:v>0.54166666666666663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0.20833333333333334</c:v>
                </c:pt>
                <c:pt idx="13">
                  <c:v>0.25</c:v>
                </c:pt>
                <c:pt idx="14">
                  <c:v>0.70833333333333337</c:v>
                </c:pt>
                <c:pt idx="15">
                  <c:v>0.79166666666666663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8-4948-B196-406CCE239AF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68-4948-B196-406CCE239A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COVER</c:v>
                </c:pt>
                <c:pt idx="13">
                  <c:v>BASE/LID</c:v>
                </c:pt>
                <c:pt idx="15">
                  <c:v>BASE</c:v>
                </c:pt>
              </c:strCache>
            </c:strRef>
          </c:cat>
          <c:val>
            <c:numRef>
              <c:f>'11'!$AE$6:$AE$22</c:f>
              <c:numCache>
                <c:formatCode>0%</c:formatCode>
                <c:ptCount val="17"/>
                <c:pt idx="0">
                  <c:v>0.50980392156862753</c:v>
                </c:pt>
                <c:pt idx="1">
                  <c:v>0.50980392156862753</c:v>
                </c:pt>
                <c:pt idx="2">
                  <c:v>0.50980392156862753</c:v>
                </c:pt>
                <c:pt idx="3">
                  <c:v>0.50980392156862753</c:v>
                </c:pt>
                <c:pt idx="4">
                  <c:v>0.50980392156862753</c:v>
                </c:pt>
                <c:pt idx="5">
                  <c:v>0.50980392156862753</c:v>
                </c:pt>
                <c:pt idx="6">
                  <c:v>0.50980392156862753</c:v>
                </c:pt>
                <c:pt idx="7">
                  <c:v>0.50980392156862753</c:v>
                </c:pt>
                <c:pt idx="8">
                  <c:v>0.50980392156862753</c:v>
                </c:pt>
                <c:pt idx="9">
                  <c:v>0.50980392156862753</c:v>
                </c:pt>
                <c:pt idx="10">
                  <c:v>0.50980392156862753</c:v>
                </c:pt>
                <c:pt idx="11">
                  <c:v>0.50980392156862753</c:v>
                </c:pt>
                <c:pt idx="12">
                  <c:v>0.50980392156862753</c:v>
                </c:pt>
                <c:pt idx="13">
                  <c:v>0.50980392156862753</c:v>
                </c:pt>
                <c:pt idx="14">
                  <c:v>0.50980392156862753</c:v>
                </c:pt>
                <c:pt idx="15">
                  <c:v>0.50980392156862753</c:v>
                </c:pt>
                <c:pt idx="16">
                  <c:v>0.50980392156862753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68-4948-B196-406CCE239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663-4CB0-ABEF-734F72E079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63-4CB0-ABEF-734F72E07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663-4CB0-ABEF-734F72E0795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63-4CB0-ABEF-734F72E07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'12'!$D$6:$D$24</c:f>
              <c:strCache>
                <c:ptCount val="18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BOTTOM</c:v>
                </c:pt>
                <c:pt idx="6">
                  <c:v>ST/HO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BODY</c:v>
                </c:pt>
                <c:pt idx="17">
                  <c:v>BASE</c:v>
                </c:pt>
              </c:strCache>
            </c:strRef>
          </c:cat>
          <c:val>
            <c:numRef>
              <c:f>'12'!$L$6:$L$24</c:f>
              <c:numCache>
                <c:formatCode>_(* #,##0_);_(* \(#,##0\);_(* "-"_);_(@_)</c:formatCode>
                <c:ptCount val="19"/>
                <c:pt idx="0">
                  <c:v>4554</c:v>
                </c:pt>
                <c:pt idx="1">
                  <c:v>2208</c:v>
                </c:pt>
                <c:pt idx="2">
                  <c:v>4697</c:v>
                </c:pt>
                <c:pt idx="3">
                  <c:v>4060</c:v>
                </c:pt>
                <c:pt idx="4">
                  <c:v>42332</c:v>
                </c:pt>
                <c:pt idx="5">
                  <c:v>2027</c:v>
                </c:pt>
                <c:pt idx="6">
                  <c:v>2390</c:v>
                </c:pt>
                <c:pt idx="7">
                  <c:v>1368</c:v>
                </c:pt>
                <c:pt idx="8">
                  <c:v>1569</c:v>
                </c:pt>
                <c:pt idx="9">
                  <c:v>23464</c:v>
                </c:pt>
                <c:pt idx="14">
                  <c:v>4160</c:v>
                </c:pt>
                <c:pt idx="15">
                  <c:v>2553</c:v>
                </c:pt>
                <c:pt idx="16">
                  <c:v>2291</c:v>
                </c:pt>
                <c:pt idx="17">
                  <c:v>4936</c:v>
                </c:pt>
                <c:pt idx="18">
                  <c:v>39576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9-4CB4-828E-D94B3BA162E0}"/>
            </c:ext>
          </c:extLst>
        </c:ser>
        <c:ser>
          <c:idx val="1"/>
          <c:order val="1"/>
          <c:tx>
            <c:v>계획</c:v>
          </c:tx>
          <c:cat>
            <c:strRef>
              <c:f>'12'!$D$6:$D$24</c:f>
              <c:strCache>
                <c:ptCount val="18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BOTTOM</c:v>
                </c:pt>
                <c:pt idx="6">
                  <c:v>ST/HO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BODY</c:v>
                </c:pt>
                <c:pt idx="17">
                  <c:v>BASE</c:v>
                </c:pt>
              </c:strCache>
            </c:strRef>
          </c:cat>
          <c:val>
            <c:numRef>
              <c:f>'12'!$J$6:$J$24</c:f>
              <c:numCache>
                <c:formatCode>_(* #,##0_);_(* \(#,##0\);_(* "-"_);_(@_)</c:formatCode>
                <c:ptCount val="19"/>
                <c:pt idx="0">
                  <c:v>4554</c:v>
                </c:pt>
                <c:pt idx="1">
                  <c:v>2208</c:v>
                </c:pt>
                <c:pt idx="2">
                  <c:v>4697</c:v>
                </c:pt>
                <c:pt idx="3">
                  <c:v>4060</c:v>
                </c:pt>
                <c:pt idx="4">
                  <c:v>42332</c:v>
                </c:pt>
                <c:pt idx="5">
                  <c:v>2027</c:v>
                </c:pt>
                <c:pt idx="6">
                  <c:v>2390</c:v>
                </c:pt>
                <c:pt idx="7">
                  <c:v>1368</c:v>
                </c:pt>
                <c:pt idx="8">
                  <c:v>1569</c:v>
                </c:pt>
                <c:pt idx="9">
                  <c:v>23464</c:v>
                </c:pt>
                <c:pt idx="10">
                  <c:v>376</c:v>
                </c:pt>
                <c:pt idx="11">
                  <c:v>726</c:v>
                </c:pt>
                <c:pt idx="12">
                  <c:v>1640</c:v>
                </c:pt>
                <c:pt idx="13">
                  <c:v>3136</c:v>
                </c:pt>
                <c:pt idx="14">
                  <c:v>4160</c:v>
                </c:pt>
                <c:pt idx="15">
                  <c:v>2553</c:v>
                </c:pt>
                <c:pt idx="16">
                  <c:v>2291</c:v>
                </c:pt>
                <c:pt idx="17">
                  <c:v>4936</c:v>
                </c:pt>
                <c:pt idx="18">
                  <c:v>39576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9-4CB4-828E-D94B3BA16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'12'!$AD$6:$AD$24</c:f>
              <c:strCache>
                <c:ptCount val="19"/>
                <c:pt idx="0">
                  <c:v>92%</c:v>
                </c:pt>
                <c:pt idx="1">
                  <c:v>42%</c:v>
                </c:pt>
                <c:pt idx="2">
                  <c:v>88%</c:v>
                </c:pt>
                <c:pt idx="3">
                  <c:v>88%</c:v>
                </c:pt>
                <c:pt idx="4">
                  <c:v>100%</c:v>
                </c:pt>
                <c:pt idx="5">
                  <c:v>42%</c:v>
                </c:pt>
                <c:pt idx="6">
                  <c:v>50%</c:v>
                </c:pt>
                <c:pt idx="7">
                  <c:v>33%</c:v>
                </c:pt>
                <c:pt idx="8">
                  <c:v>38%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83%</c:v>
                </c:pt>
                <c:pt idx="15">
                  <c:v>54%</c:v>
                </c:pt>
                <c:pt idx="16">
                  <c:v>38%</c:v>
                </c:pt>
                <c:pt idx="17">
                  <c:v>92%</c:v>
                </c:pt>
                <c:pt idx="18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'12'!$D$6:$D$24</c:f>
              <c:strCache>
                <c:ptCount val="18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BOTTOM</c:v>
                </c:pt>
                <c:pt idx="6">
                  <c:v>ST/HO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BODY</c:v>
                </c:pt>
                <c:pt idx="17">
                  <c:v>BASE</c:v>
                </c:pt>
              </c:strCache>
            </c:strRef>
          </c:cat>
          <c:val>
            <c:numRef>
              <c:f>'12'!$AD$6:$AD$24</c:f>
              <c:numCache>
                <c:formatCode>0%</c:formatCode>
                <c:ptCount val="19"/>
                <c:pt idx="0">
                  <c:v>0.91666666666666663</c:v>
                </c:pt>
                <c:pt idx="1">
                  <c:v>0.41666666666666669</c:v>
                </c:pt>
                <c:pt idx="2">
                  <c:v>0.875</c:v>
                </c:pt>
                <c:pt idx="3">
                  <c:v>0.875</c:v>
                </c:pt>
                <c:pt idx="4">
                  <c:v>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0.33333333333333331</c:v>
                </c:pt>
                <c:pt idx="8">
                  <c:v>0.375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0.83333333333333337</c:v>
                </c:pt>
                <c:pt idx="15">
                  <c:v>0.54166666666666663</c:v>
                </c:pt>
                <c:pt idx="16">
                  <c:v>0.375</c:v>
                </c:pt>
                <c:pt idx="17">
                  <c:v>0.91666666666666663</c:v>
                </c:pt>
                <c:pt idx="18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6-44DB-B05C-FA712417DAF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06-44DB-B05C-FA712417DA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'12'!$D$6:$D$24</c:f>
              <c:strCache>
                <c:ptCount val="18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BOTTOM</c:v>
                </c:pt>
                <c:pt idx="6">
                  <c:v>ST/HO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BODY</c:v>
                </c:pt>
                <c:pt idx="17">
                  <c:v>BASE</c:v>
                </c:pt>
              </c:strCache>
            </c:strRef>
          </c:cat>
          <c:val>
            <c:numRef>
              <c:f>'12'!$AE$6:$AE$24</c:f>
              <c:numCache>
                <c:formatCode>0%</c:formatCode>
                <c:ptCount val="19"/>
                <c:pt idx="0">
                  <c:v>0.51754385964912275</c:v>
                </c:pt>
                <c:pt idx="1">
                  <c:v>0.51754385964912275</c:v>
                </c:pt>
                <c:pt idx="2">
                  <c:v>0.51754385964912275</c:v>
                </c:pt>
                <c:pt idx="3">
                  <c:v>0.51754385964912275</c:v>
                </c:pt>
                <c:pt idx="4">
                  <c:v>0.51754385964912275</c:v>
                </c:pt>
                <c:pt idx="5">
                  <c:v>0.51754385964912275</c:v>
                </c:pt>
                <c:pt idx="6">
                  <c:v>0.51754385964912275</c:v>
                </c:pt>
                <c:pt idx="7">
                  <c:v>0.51754385964912275</c:v>
                </c:pt>
                <c:pt idx="8">
                  <c:v>0.51754385964912275</c:v>
                </c:pt>
                <c:pt idx="9">
                  <c:v>0.51754385964912275</c:v>
                </c:pt>
                <c:pt idx="10">
                  <c:v>0.51754385964912275</c:v>
                </c:pt>
                <c:pt idx="11">
                  <c:v>0.51754385964912275</c:v>
                </c:pt>
                <c:pt idx="12">
                  <c:v>0.51754385964912275</c:v>
                </c:pt>
                <c:pt idx="13">
                  <c:v>0.51754385964912275</c:v>
                </c:pt>
                <c:pt idx="14">
                  <c:v>0.51754385964912275</c:v>
                </c:pt>
                <c:pt idx="15">
                  <c:v>0.51754385964912275</c:v>
                </c:pt>
                <c:pt idx="16">
                  <c:v>0.51754385964912275</c:v>
                </c:pt>
                <c:pt idx="17">
                  <c:v>0.51754385964912275</c:v>
                </c:pt>
                <c:pt idx="18">
                  <c:v>0.51754385964912275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06-44DB-B05C-FA712417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'12'!$D$6:$D$24</c:f>
              <c:strCache>
                <c:ptCount val="18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BOTTOM</c:v>
                </c:pt>
                <c:pt idx="6">
                  <c:v>ST/HO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BODY</c:v>
                </c:pt>
                <c:pt idx="17">
                  <c:v>BASE</c:v>
                </c:pt>
              </c:strCache>
            </c:strRef>
          </c:cat>
          <c:val>
            <c:numRef>
              <c:f>'12'!$L$6:$L$24</c:f>
              <c:numCache>
                <c:formatCode>_(* #,##0_);_(* \(#,##0\);_(* "-"_);_(@_)</c:formatCode>
                <c:ptCount val="19"/>
                <c:pt idx="0">
                  <c:v>4554</c:v>
                </c:pt>
                <c:pt idx="1">
                  <c:v>2208</c:v>
                </c:pt>
                <c:pt idx="2">
                  <c:v>4697</c:v>
                </c:pt>
                <c:pt idx="3">
                  <c:v>4060</c:v>
                </c:pt>
                <c:pt idx="4">
                  <c:v>42332</c:v>
                </c:pt>
                <c:pt idx="5">
                  <c:v>2027</c:v>
                </c:pt>
                <c:pt idx="6">
                  <c:v>2390</c:v>
                </c:pt>
                <c:pt idx="7">
                  <c:v>1368</c:v>
                </c:pt>
                <c:pt idx="8">
                  <c:v>1569</c:v>
                </c:pt>
                <c:pt idx="9">
                  <c:v>23464</c:v>
                </c:pt>
                <c:pt idx="14">
                  <c:v>4160</c:v>
                </c:pt>
                <c:pt idx="15">
                  <c:v>2553</c:v>
                </c:pt>
                <c:pt idx="16">
                  <c:v>2291</c:v>
                </c:pt>
                <c:pt idx="17">
                  <c:v>4936</c:v>
                </c:pt>
                <c:pt idx="18">
                  <c:v>39576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B-46CA-8B92-C8EBADD88DB5}"/>
            </c:ext>
          </c:extLst>
        </c:ser>
        <c:ser>
          <c:idx val="1"/>
          <c:order val="1"/>
          <c:tx>
            <c:v>계획</c:v>
          </c:tx>
          <c:cat>
            <c:strRef>
              <c:f>'12'!$D$6:$D$24</c:f>
              <c:strCache>
                <c:ptCount val="18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BOTTOM</c:v>
                </c:pt>
                <c:pt idx="6">
                  <c:v>ST/HO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BODY</c:v>
                </c:pt>
                <c:pt idx="17">
                  <c:v>BASE</c:v>
                </c:pt>
              </c:strCache>
            </c:strRef>
          </c:cat>
          <c:val>
            <c:numRef>
              <c:f>'12'!$J$6:$J$24</c:f>
              <c:numCache>
                <c:formatCode>_(* #,##0_);_(* \(#,##0\);_(* "-"_);_(@_)</c:formatCode>
                <c:ptCount val="19"/>
                <c:pt idx="0">
                  <c:v>4554</c:v>
                </c:pt>
                <c:pt idx="1">
                  <c:v>2208</c:v>
                </c:pt>
                <c:pt idx="2">
                  <c:v>4697</c:v>
                </c:pt>
                <c:pt idx="3">
                  <c:v>4060</c:v>
                </c:pt>
                <c:pt idx="4">
                  <c:v>42332</c:v>
                </c:pt>
                <c:pt idx="5">
                  <c:v>2027</c:v>
                </c:pt>
                <c:pt idx="6">
                  <c:v>2390</c:v>
                </c:pt>
                <c:pt idx="7">
                  <c:v>1368</c:v>
                </c:pt>
                <c:pt idx="8">
                  <c:v>1569</c:v>
                </c:pt>
                <c:pt idx="9">
                  <c:v>23464</c:v>
                </c:pt>
                <c:pt idx="10">
                  <c:v>376</c:v>
                </c:pt>
                <c:pt idx="11">
                  <c:v>726</c:v>
                </c:pt>
                <c:pt idx="12">
                  <c:v>1640</c:v>
                </c:pt>
                <c:pt idx="13">
                  <c:v>3136</c:v>
                </c:pt>
                <c:pt idx="14">
                  <c:v>4160</c:v>
                </c:pt>
                <c:pt idx="15">
                  <c:v>2553</c:v>
                </c:pt>
                <c:pt idx="16">
                  <c:v>2291</c:v>
                </c:pt>
                <c:pt idx="17">
                  <c:v>4936</c:v>
                </c:pt>
                <c:pt idx="18">
                  <c:v>39576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B-46CA-8B92-C8EBADD88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'12'!$AD$6:$AD$24</c:f>
              <c:strCache>
                <c:ptCount val="19"/>
                <c:pt idx="0">
                  <c:v>92%</c:v>
                </c:pt>
                <c:pt idx="1">
                  <c:v>42%</c:v>
                </c:pt>
                <c:pt idx="2">
                  <c:v>88%</c:v>
                </c:pt>
                <c:pt idx="3">
                  <c:v>88%</c:v>
                </c:pt>
                <c:pt idx="4">
                  <c:v>100%</c:v>
                </c:pt>
                <c:pt idx="5">
                  <c:v>42%</c:v>
                </c:pt>
                <c:pt idx="6">
                  <c:v>50%</c:v>
                </c:pt>
                <c:pt idx="7">
                  <c:v>33%</c:v>
                </c:pt>
                <c:pt idx="8">
                  <c:v>38%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83%</c:v>
                </c:pt>
                <c:pt idx="15">
                  <c:v>54%</c:v>
                </c:pt>
                <c:pt idx="16">
                  <c:v>38%</c:v>
                </c:pt>
                <c:pt idx="17">
                  <c:v>92%</c:v>
                </c:pt>
                <c:pt idx="18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'12'!$D$6:$D$24</c:f>
              <c:strCache>
                <c:ptCount val="18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BOTTOM</c:v>
                </c:pt>
                <c:pt idx="6">
                  <c:v>ST/HO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BODY</c:v>
                </c:pt>
                <c:pt idx="17">
                  <c:v>BASE</c:v>
                </c:pt>
              </c:strCache>
            </c:strRef>
          </c:cat>
          <c:val>
            <c:numRef>
              <c:f>'12'!$AD$6:$AD$24</c:f>
              <c:numCache>
                <c:formatCode>0%</c:formatCode>
                <c:ptCount val="19"/>
                <c:pt idx="0">
                  <c:v>0.91666666666666663</c:v>
                </c:pt>
                <c:pt idx="1">
                  <c:v>0.41666666666666669</c:v>
                </c:pt>
                <c:pt idx="2">
                  <c:v>0.875</c:v>
                </c:pt>
                <c:pt idx="3">
                  <c:v>0.875</c:v>
                </c:pt>
                <c:pt idx="4">
                  <c:v>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0.33333333333333331</c:v>
                </c:pt>
                <c:pt idx="8">
                  <c:v>0.375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0.83333333333333337</c:v>
                </c:pt>
                <c:pt idx="15">
                  <c:v>0.54166666666666663</c:v>
                </c:pt>
                <c:pt idx="16">
                  <c:v>0.375</c:v>
                </c:pt>
                <c:pt idx="17">
                  <c:v>0.91666666666666663</c:v>
                </c:pt>
                <c:pt idx="18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C-4F50-8F45-019142A15F4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9C-4F50-8F45-019142A15F4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'12'!$D$6:$D$24</c:f>
              <c:strCache>
                <c:ptCount val="18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BOTTOM</c:v>
                </c:pt>
                <c:pt idx="6">
                  <c:v>ST/HO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BODY</c:v>
                </c:pt>
                <c:pt idx="17">
                  <c:v>BASE</c:v>
                </c:pt>
              </c:strCache>
            </c:strRef>
          </c:cat>
          <c:val>
            <c:numRef>
              <c:f>'12'!$AE$6:$AE$24</c:f>
              <c:numCache>
                <c:formatCode>0%</c:formatCode>
                <c:ptCount val="19"/>
                <c:pt idx="0">
                  <c:v>0.51754385964912275</c:v>
                </c:pt>
                <c:pt idx="1">
                  <c:v>0.51754385964912275</c:v>
                </c:pt>
                <c:pt idx="2">
                  <c:v>0.51754385964912275</c:v>
                </c:pt>
                <c:pt idx="3">
                  <c:v>0.51754385964912275</c:v>
                </c:pt>
                <c:pt idx="4">
                  <c:v>0.51754385964912275</c:v>
                </c:pt>
                <c:pt idx="5">
                  <c:v>0.51754385964912275</c:v>
                </c:pt>
                <c:pt idx="6">
                  <c:v>0.51754385964912275</c:v>
                </c:pt>
                <c:pt idx="7">
                  <c:v>0.51754385964912275</c:v>
                </c:pt>
                <c:pt idx="8">
                  <c:v>0.51754385964912275</c:v>
                </c:pt>
                <c:pt idx="9">
                  <c:v>0.51754385964912275</c:v>
                </c:pt>
                <c:pt idx="10">
                  <c:v>0.51754385964912275</c:v>
                </c:pt>
                <c:pt idx="11">
                  <c:v>0.51754385964912275</c:v>
                </c:pt>
                <c:pt idx="12">
                  <c:v>0.51754385964912275</c:v>
                </c:pt>
                <c:pt idx="13">
                  <c:v>0.51754385964912275</c:v>
                </c:pt>
                <c:pt idx="14">
                  <c:v>0.51754385964912275</c:v>
                </c:pt>
                <c:pt idx="15">
                  <c:v>0.51754385964912275</c:v>
                </c:pt>
                <c:pt idx="16">
                  <c:v>0.51754385964912275</c:v>
                </c:pt>
                <c:pt idx="17">
                  <c:v>0.51754385964912275</c:v>
                </c:pt>
                <c:pt idx="18">
                  <c:v>0.51754385964912275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9C-4F50-8F45-019142A15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C2F-4899-A8E1-E4D3F8C63E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2F-4899-A8E1-E4D3F8C63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C2F-4899-A8E1-E4D3F8C63EE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2F-4899-A8E1-E4D3F8C63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ST/HO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BODY</c:v>
                </c:pt>
                <c:pt idx="14">
                  <c:v>PLANGE</c:v>
                </c:pt>
                <c:pt idx="15">
                  <c:v>BASE</c:v>
                </c:pt>
              </c:strCache>
            </c:strRef>
          </c:cat>
          <c:val>
            <c:numRef>
              <c:f>'13'!$L$6:$L$22</c:f>
              <c:numCache>
                <c:formatCode>_(* #,##0_);_(* \(#,##0\);_(* "-"_);_(@_)</c:formatCode>
                <c:ptCount val="17"/>
                <c:pt idx="0">
                  <c:v>3301</c:v>
                </c:pt>
                <c:pt idx="2">
                  <c:v>5949</c:v>
                </c:pt>
                <c:pt idx="3">
                  <c:v>4883</c:v>
                </c:pt>
                <c:pt idx="4">
                  <c:v>3936</c:v>
                </c:pt>
                <c:pt idx="5">
                  <c:v>4867</c:v>
                </c:pt>
                <c:pt idx="6">
                  <c:v>4714</c:v>
                </c:pt>
                <c:pt idx="7">
                  <c:v>13042</c:v>
                </c:pt>
                <c:pt idx="12">
                  <c:v>1219</c:v>
                </c:pt>
                <c:pt idx="13">
                  <c:v>1807</c:v>
                </c:pt>
                <c:pt idx="14">
                  <c:v>2170</c:v>
                </c:pt>
                <c:pt idx="15">
                  <c:v>4507</c:v>
                </c:pt>
                <c:pt idx="16">
                  <c:v>37400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0-406C-B3E2-874E65B6EE5D}"/>
            </c:ext>
          </c:extLst>
        </c:ser>
        <c:ser>
          <c:idx val="1"/>
          <c:order val="1"/>
          <c:tx>
            <c:v>계획</c:v>
          </c:tx>
          <c:cat>
            <c:strRef>
              <c:f>'13'!$D$6:$D$22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ST/HO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BODY</c:v>
                </c:pt>
                <c:pt idx="14">
                  <c:v>PLANGE</c:v>
                </c:pt>
                <c:pt idx="15">
                  <c:v>BASE</c:v>
                </c:pt>
              </c:strCache>
            </c:strRef>
          </c:cat>
          <c:val>
            <c:numRef>
              <c:f>'13'!$J$6:$J$22</c:f>
              <c:numCache>
                <c:formatCode>_(* #,##0_);_(* \(#,##0\);_(* "-"_);_(@_)</c:formatCode>
                <c:ptCount val="17"/>
                <c:pt idx="0">
                  <c:v>3301</c:v>
                </c:pt>
                <c:pt idx="1">
                  <c:v>2208</c:v>
                </c:pt>
                <c:pt idx="2">
                  <c:v>5949</c:v>
                </c:pt>
                <c:pt idx="3">
                  <c:v>4883</c:v>
                </c:pt>
                <c:pt idx="4">
                  <c:v>3936</c:v>
                </c:pt>
                <c:pt idx="5">
                  <c:v>4867</c:v>
                </c:pt>
                <c:pt idx="6">
                  <c:v>4714</c:v>
                </c:pt>
                <c:pt idx="7">
                  <c:v>13042</c:v>
                </c:pt>
                <c:pt idx="8">
                  <c:v>376</c:v>
                </c:pt>
                <c:pt idx="9">
                  <c:v>726</c:v>
                </c:pt>
                <c:pt idx="10">
                  <c:v>1640</c:v>
                </c:pt>
                <c:pt idx="11">
                  <c:v>3136</c:v>
                </c:pt>
                <c:pt idx="12">
                  <c:v>1219</c:v>
                </c:pt>
                <c:pt idx="13">
                  <c:v>1807</c:v>
                </c:pt>
                <c:pt idx="14">
                  <c:v>2170</c:v>
                </c:pt>
                <c:pt idx="15">
                  <c:v>4507</c:v>
                </c:pt>
                <c:pt idx="16">
                  <c:v>37400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F0-406C-B3E2-874E65B6E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'13'!$AD$6:$AD$22</c:f>
              <c:strCache>
                <c:ptCount val="17"/>
                <c:pt idx="0">
                  <c:v>67%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21%</c:v>
                </c:pt>
                <c:pt idx="5">
                  <c:v>92%</c:v>
                </c:pt>
                <c:pt idx="6">
                  <c:v>96%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29%</c:v>
                </c:pt>
                <c:pt idx="13">
                  <c:v>42%</c:v>
                </c:pt>
                <c:pt idx="14">
                  <c:v>50%</c:v>
                </c:pt>
                <c:pt idx="15">
                  <c:v>100%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ST/HO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BODY</c:v>
                </c:pt>
                <c:pt idx="14">
                  <c:v>PLANGE</c:v>
                </c:pt>
                <c:pt idx="15">
                  <c:v>BASE</c:v>
                </c:pt>
              </c:strCache>
            </c:strRef>
          </c:cat>
          <c:val>
            <c:numRef>
              <c:f>'13'!$AD$6:$AD$22</c:f>
              <c:numCache>
                <c:formatCode>0%</c:formatCode>
                <c:ptCount val="17"/>
                <c:pt idx="0">
                  <c:v>0.66666666666666663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0.20833333333333334</c:v>
                </c:pt>
                <c:pt idx="5">
                  <c:v>0.91666666666666663</c:v>
                </c:pt>
                <c:pt idx="6">
                  <c:v>0.95833333333333337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0.29166666666666669</c:v>
                </c:pt>
                <c:pt idx="13">
                  <c:v>0.41666666666666669</c:v>
                </c:pt>
                <c:pt idx="14">
                  <c:v>0.5</c:v>
                </c:pt>
                <c:pt idx="15">
                  <c:v>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9-4636-857E-E8419FCE5EE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E9-4636-857E-E8419FCE5EE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ST/HO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BODY</c:v>
                </c:pt>
                <c:pt idx="14">
                  <c:v>PLANGE</c:v>
                </c:pt>
                <c:pt idx="15">
                  <c:v>BASE</c:v>
                </c:pt>
              </c:strCache>
            </c:strRef>
          </c:cat>
          <c:val>
            <c:numRef>
              <c:f>'13'!$AE$6:$AE$22</c:f>
              <c:numCache>
                <c:formatCode>0%</c:formatCode>
                <c:ptCount val="17"/>
                <c:pt idx="0">
                  <c:v>0.48039215686274517</c:v>
                </c:pt>
                <c:pt idx="1">
                  <c:v>0.48039215686274517</c:v>
                </c:pt>
                <c:pt idx="2">
                  <c:v>0.48039215686274517</c:v>
                </c:pt>
                <c:pt idx="3">
                  <c:v>0.48039215686274517</c:v>
                </c:pt>
                <c:pt idx="4">
                  <c:v>0.48039215686274517</c:v>
                </c:pt>
                <c:pt idx="5">
                  <c:v>0.48039215686274517</c:v>
                </c:pt>
                <c:pt idx="6">
                  <c:v>0.48039215686274517</c:v>
                </c:pt>
                <c:pt idx="7">
                  <c:v>0.48039215686274517</c:v>
                </c:pt>
                <c:pt idx="8">
                  <c:v>0.48039215686274517</c:v>
                </c:pt>
                <c:pt idx="9">
                  <c:v>0.48039215686274517</c:v>
                </c:pt>
                <c:pt idx="10">
                  <c:v>0.48039215686274517</c:v>
                </c:pt>
                <c:pt idx="11">
                  <c:v>0.48039215686274517</c:v>
                </c:pt>
                <c:pt idx="12">
                  <c:v>0.48039215686274517</c:v>
                </c:pt>
                <c:pt idx="13">
                  <c:v>0.48039215686274517</c:v>
                </c:pt>
                <c:pt idx="14">
                  <c:v>0.48039215686274517</c:v>
                </c:pt>
                <c:pt idx="15">
                  <c:v>0.48039215686274517</c:v>
                </c:pt>
                <c:pt idx="16">
                  <c:v>0.48039215686274517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E9-4636-857E-E8419FCE5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ST/HO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BODY</c:v>
                </c:pt>
                <c:pt idx="14">
                  <c:v>PLANGE</c:v>
                </c:pt>
                <c:pt idx="15">
                  <c:v>BASE</c:v>
                </c:pt>
              </c:strCache>
            </c:strRef>
          </c:cat>
          <c:val>
            <c:numRef>
              <c:f>'13'!$L$6:$L$22</c:f>
              <c:numCache>
                <c:formatCode>_(* #,##0_);_(* \(#,##0\);_(* "-"_);_(@_)</c:formatCode>
                <c:ptCount val="17"/>
                <c:pt idx="0">
                  <c:v>3301</c:v>
                </c:pt>
                <c:pt idx="2">
                  <c:v>5949</c:v>
                </c:pt>
                <c:pt idx="3">
                  <c:v>4883</c:v>
                </c:pt>
                <c:pt idx="4">
                  <c:v>3936</c:v>
                </c:pt>
                <c:pt idx="5">
                  <c:v>4867</c:v>
                </c:pt>
                <c:pt idx="6">
                  <c:v>4714</c:v>
                </c:pt>
                <c:pt idx="7">
                  <c:v>13042</c:v>
                </c:pt>
                <c:pt idx="12">
                  <c:v>1219</c:v>
                </c:pt>
                <c:pt idx="13">
                  <c:v>1807</c:v>
                </c:pt>
                <c:pt idx="14">
                  <c:v>2170</c:v>
                </c:pt>
                <c:pt idx="15">
                  <c:v>4507</c:v>
                </c:pt>
                <c:pt idx="16">
                  <c:v>37400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6-4879-827D-58F005AFF6C3}"/>
            </c:ext>
          </c:extLst>
        </c:ser>
        <c:ser>
          <c:idx val="1"/>
          <c:order val="1"/>
          <c:tx>
            <c:v>계획</c:v>
          </c:tx>
          <c:cat>
            <c:strRef>
              <c:f>'13'!$D$6:$D$22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ST/HO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BODY</c:v>
                </c:pt>
                <c:pt idx="14">
                  <c:v>PLANGE</c:v>
                </c:pt>
                <c:pt idx="15">
                  <c:v>BASE</c:v>
                </c:pt>
              </c:strCache>
            </c:strRef>
          </c:cat>
          <c:val>
            <c:numRef>
              <c:f>'13'!$J$6:$J$22</c:f>
              <c:numCache>
                <c:formatCode>_(* #,##0_);_(* \(#,##0\);_(* "-"_);_(@_)</c:formatCode>
                <c:ptCount val="17"/>
                <c:pt idx="0">
                  <c:v>3301</c:v>
                </c:pt>
                <c:pt idx="1">
                  <c:v>2208</c:v>
                </c:pt>
                <c:pt idx="2">
                  <c:v>5949</c:v>
                </c:pt>
                <c:pt idx="3">
                  <c:v>4883</c:v>
                </c:pt>
                <c:pt idx="4">
                  <c:v>3936</c:v>
                </c:pt>
                <c:pt idx="5">
                  <c:v>4867</c:v>
                </c:pt>
                <c:pt idx="6">
                  <c:v>4714</c:v>
                </c:pt>
                <c:pt idx="7">
                  <c:v>13042</c:v>
                </c:pt>
                <c:pt idx="8">
                  <c:v>376</c:v>
                </c:pt>
                <c:pt idx="9">
                  <c:v>726</c:v>
                </c:pt>
                <c:pt idx="10">
                  <c:v>1640</c:v>
                </c:pt>
                <c:pt idx="11">
                  <c:v>3136</c:v>
                </c:pt>
                <c:pt idx="12">
                  <c:v>1219</c:v>
                </c:pt>
                <c:pt idx="13">
                  <c:v>1807</c:v>
                </c:pt>
                <c:pt idx="14">
                  <c:v>2170</c:v>
                </c:pt>
                <c:pt idx="15">
                  <c:v>4507</c:v>
                </c:pt>
                <c:pt idx="16">
                  <c:v>37400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96-4879-827D-58F005AFF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'13'!$AD$6:$AD$22</c:f>
              <c:strCache>
                <c:ptCount val="17"/>
                <c:pt idx="0">
                  <c:v>67%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21%</c:v>
                </c:pt>
                <c:pt idx="5">
                  <c:v>92%</c:v>
                </c:pt>
                <c:pt idx="6">
                  <c:v>96%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29%</c:v>
                </c:pt>
                <c:pt idx="13">
                  <c:v>42%</c:v>
                </c:pt>
                <c:pt idx="14">
                  <c:v>50%</c:v>
                </c:pt>
                <c:pt idx="15">
                  <c:v>100%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ST/HO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BODY</c:v>
                </c:pt>
                <c:pt idx="14">
                  <c:v>PLANGE</c:v>
                </c:pt>
                <c:pt idx="15">
                  <c:v>BASE</c:v>
                </c:pt>
              </c:strCache>
            </c:strRef>
          </c:cat>
          <c:val>
            <c:numRef>
              <c:f>'13'!$AD$6:$AD$22</c:f>
              <c:numCache>
                <c:formatCode>0%</c:formatCode>
                <c:ptCount val="17"/>
                <c:pt idx="0">
                  <c:v>0.66666666666666663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0.20833333333333334</c:v>
                </c:pt>
                <c:pt idx="5">
                  <c:v>0.91666666666666663</c:v>
                </c:pt>
                <c:pt idx="6">
                  <c:v>0.95833333333333337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0.29166666666666669</c:v>
                </c:pt>
                <c:pt idx="13">
                  <c:v>0.41666666666666669</c:v>
                </c:pt>
                <c:pt idx="14">
                  <c:v>0.5</c:v>
                </c:pt>
                <c:pt idx="15">
                  <c:v>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23-494B-B18F-8C19358DD39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23-494B-B18F-8C19358DD3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5">
                  <c:v>ST/HO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COVER</c:v>
                </c:pt>
                <c:pt idx="12">
                  <c:v>BODY</c:v>
                </c:pt>
                <c:pt idx="14">
                  <c:v>PLANGE</c:v>
                </c:pt>
                <c:pt idx="15">
                  <c:v>BASE</c:v>
                </c:pt>
              </c:strCache>
            </c:strRef>
          </c:cat>
          <c:val>
            <c:numRef>
              <c:f>'13'!$AE$6:$AE$22</c:f>
              <c:numCache>
                <c:formatCode>0%</c:formatCode>
                <c:ptCount val="17"/>
                <c:pt idx="0">
                  <c:v>0.48039215686274517</c:v>
                </c:pt>
                <c:pt idx="1">
                  <c:v>0.48039215686274517</c:v>
                </c:pt>
                <c:pt idx="2">
                  <c:v>0.48039215686274517</c:v>
                </c:pt>
                <c:pt idx="3">
                  <c:v>0.48039215686274517</c:v>
                </c:pt>
                <c:pt idx="4">
                  <c:v>0.48039215686274517</c:v>
                </c:pt>
                <c:pt idx="5">
                  <c:v>0.48039215686274517</c:v>
                </c:pt>
                <c:pt idx="6">
                  <c:v>0.48039215686274517</c:v>
                </c:pt>
                <c:pt idx="7">
                  <c:v>0.48039215686274517</c:v>
                </c:pt>
                <c:pt idx="8">
                  <c:v>0.48039215686274517</c:v>
                </c:pt>
                <c:pt idx="9">
                  <c:v>0.48039215686274517</c:v>
                </c:pt>
                <c:pt idx="10">
                  <c:v>0.48039215686274517</c:v>
                </c:pt>
                <c:pt idx="11">
                  <c:v>0.48039215686274517</c:v>
                </c:pt>
                <c:pt idx="12">
                  <c:v>0.48039215686274517</c:v>
                </c:pt>
                <c:pt idx="13">
                  <c:v>0.48039215686274517</c:v>
                </c:pt>
                <c:pt idx="14">
                  <c:v>0.48039215686274517</c:v>
                </c:pt>
                <c:pt idx="15">
                  <c:v>0.48039215686274517</c:v>
                </c:pt>
                <c:pt idx="16">
                  <c:v>0.48039215686274517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23-494B-B18F-8C19358DD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9F5-427C-BA8C-BE25AA5693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F5-427C-BA8C-BE25AA569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9F5-427C-BA8C-BE25AA5693A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F5-427C-BA8C-BE25AA569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'14'!$D$6:$D$25</c:f>
              <c:strCache>
                <c:ptCount val="19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ST/HO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LEAD GUIDE</c:v>
                </c:pt>
                <c:pt idx="16">
                  <c:v>BASE</c:v>
                </c:pt>
                <c:pt idx="17">
                  <c:v>PLANGE</c:v>
                </c:pt>
                <c:pt idx="18">
                  <c:v>BASE</c:v>
                </c:pt>
              </c:strCache>
            </c:strRef>
          </c:cat>
          <c:val>
            <c:numRef>
              <c:f>'14'!$L$6:$L$25</c:f>
              <c:numCache>
                <c:formatCode>_(* #,##0_);_(* \(#,##0\);_(* "-"_);_(@_)</c:formatCode>
                <c:ptCount val="20"/>
                <c:pt idx="2">
                  <c:v>6175</c:v>
                </c:pt>
                <c:pt idx="3">
                  <c:v>1666</c:v>
                </c:pt>
                <c:pt idx="4">
                  <c:v>1030</c:v>
                </c:pt>
                <c:pt idx="6">
                  <c:v>5391</c:v>
                </c:pt>
                <c:pt idx="7">
                  <c:v>5197</c:v>
                </c:pt>
                <c:pt idx="8">
                  <c:v>16776</c:v>
                </c:pt>
                <c:pt idx="13">
                  <c:v>1070</c:v>
                </c:pt>
                <c:pt idx="14">
                  <c:v>2320</c:v>
                </c:pt>
                <c:pt idx="15">
                  <c:v>1210</c:v>
                </c:pt>
                <c:pt idx="16">
                  <c:v>881</c:v>
                </c:pt>
                <c:pt idx="17">
                  <c:v>1679</c:v>
                </c:pt>
                <c:pt idx="18">
                  <c:v>624</c:v>
                </c:pt>
                <c:pt idx="19">
                  <c:v>26152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6C-4C8D-ADB0-E5E5C21906BB}"/>
            </c:ext>
          </c:extLst>
        </c:ser>
        <c:ser>
          <c:idx val="1"/>
          <c:order val="1"/>
          <c:tx>
            <c:v>계획</c:v>
          </c:tx>
          <c:cat>
            <c:strRef>
              <c:f>'14'!$D$6:$D$25</c:f>
              <c:strCache>
                <c:ptCount val="19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ST/HO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LEAD GUIDE</c:v>
                </c:pt>
                <c:pt idx="16">
                  <c:v>BASE</c:v>
                </c:pt>
                <c:pt idx="17">
                  <c:v>PLANGE</c:v>
                </c:pt>
                <c:pt idx="18">
                  <c:v>BASE</c:v>
                </c:pt>
              </c:strCache>
            </c:strRef>
          </c:cat>
          <c:val>
            <c:numRef>
              <c:f>'14'!$J$6:$J$25</c:f>
              <c:numCache>
                <c:formatCode>_(* #,##0_);_(* \(#,##0\);_(* "-"_);_(@_)</c:formatCode>
                <c:ptCount val="20"/>
                <c:pt idx="0">
                  <c:v>3301</c:v>
                </c:pt>
                <c:pt idx="1">
                  <c:v>2208</c:v>
                </c:pt>
                <c:pt idx="2">
                  <c:v>6175</c:v>
                </c:pt>
                <c:pt idx="3">
                  <c:v>1666</c:v>
                </c:pt>
                <c:pt idx="4">
                  <c:v>1030</c:v>
                </c:pt>
                <c:pt idx="5">
                  <c:v>3936</c:v>
                </c:pt>
                <c:pt idx="6">
                  <c:v>5391</c:v>
                </c:pt>
                <c:pt idx="7">
                  <c:v>5197</c:v>
                </c:pt>
                <c:pt idx="8">
                  <c:v>16776</c:v>
                </c:pt>
                <c:pt idx="9">
                  <c:v>376</c:v>
                </c:pt>
                <c:pt idx="10">
                  <c:v>726</c:v>
                </c:pt>
                <c:pt idx="11">
                  <c:v>1640</c:v>
                </c:pt>
                <c:pt idx="12">
                  <c:v>3136</c:v>
                </c:pt>
                <c:pt idx="13">
                  <c:v>1070</c:v>
                </c:pt>
                <c:pt idx="14">
                  <c:v>2320</c:v>
                </c:pt>
                <c:pt idx="15">
                  <c:v>1210</c:v>
                </c:pt>
                <c:pt idx="16">
                  <c:v>881</c:v>
                </c:pt>
                <c:pt idx="17">
                  <c:v>1679</c:v>
                </c:pt>
                <c:pt idx="18">
                  <c:v>624</c:v>
                </c:pt>
                <c:pt idx="19">
                  <c:v>26152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6C-4C8D-ADB0-E5E5C2190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'14'!$AD$6:$AD$25</c:f>
              <c:strCache>
                <c:ptCount val="20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25%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25%</c:v>
                </c:pt>
                <c:pt idx="14">
                  <c:v>25%</c:v>
                </c:pt>
                <c:pt idx="15">
                  <c:v>25%</c:v>
                </c:pt>
                <c:pt idx="16">
                  <c:v>21%</c:v>
                </c:pt>
                <c:pt idx="17">
                  <c:v>38%</c:v>
                </c:pt>
                <c:pt idx="18">
                  <c:v>17%</c:v>
                </c:pt>
                <c:pt idx="19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'14'!$D$6:$D$25</c:f>
              <c:strCache>
                <c:ptCount val="19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ST/HO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LEAD GUIDE</c:v>
                </c:pt>
                <c:pt idx="16">
                  <c:v>BASE</c:v>
                </c:pt>
                <c:pt idx="17">
                  <c:v>PLANGE</c:v>
                </c:pt>
                <c:pt idx="18">
                  <c:v>BASE</c:v>
                </c:pt>
              </c:strCache>
            </c:strRef>
          </c:cat>
          <c:val>
            <c:numRef>
              <c:f>'14'!$AD$6:$AD$25</c:f>
              <c:numCache>
                <c:formatCode>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0.25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0.20833333333333334</c:v>
                </c:pt>
                <c:pt idx="17">
                  <c:v>0.375</c:v>
                </c:pt>
                <c:pt idx="18">
                  <c:v>0.16666666666666666</c:v>
                </c:pt>
                <c:pt idx="19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6-4C64-A53F-B47913982E8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86-4C64-A53F-B47913982E8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'14'!$D$6:$D$25</c:f>
              <c:strCache>
                <c:ptCount val="19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ST/HO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LEAD GUIDE</c:v>
                </c:pt>
                <c:pt idx="16">
                  <c:v>BASE</c:v>
                </c:pt>
                <c:pt idx="17">
                  <c:v>PLANGE</c:v>
                </c:pt>
                <c:pt idx="18">
                  <c:v>BASE</c:v>
                </c:pt>
              </c:strCache>
            </c:strRef>
          </c:cat>
          <c:val>
            <c:numRef>
              <c:f>'14'!$AE$6:$AE$25</c:f>
              <c:numCache>
                <c:formatCode>0%</c:formatCode>
                <c:ptCount val="20"/>
                <c:pt idx="0">
                  <c:v>0.32500000000000001</c:v>
                </c:pt>
                <c:pt idx="1">
                  <c:v>0.32500000000000001</c:v>
                </c:pt>
                <c:pt idx="2">
                  <c:v>0.32500000000000001</c:v>
                </c:pt>
                <c:pt idx="3">
                  <c:v>0.32500000000000001</c:v>
                </c:pt>
                <c:pt idx="4">
                  <c:v>0.32500000000000001</c:v>
                </c:pt>
                <c:pt idx="5">
                  <c:v>0.32500000000000001</c:v>
                </c:pt>
                <c:pt idx="6">
                  <c:v>0.32500000000000001</c:v>
                </c:pt>
                <c:pt idx="7">
                  <c:v>0.32500000000000001</c:v>
                </c:pt>
                <c:pt idx="8">
                  <c:v>0.32500000000000001</c:v>
                </c:pt>
                <c:pt idx="9">
                  <c:v>0.32500000000000001</c:v>
                </c:pt>
                <c:pt idx="10">
                  <c:v>0.32500000000000001</c:v>
                </c:pt>
                <c:pt idx="11">
                  <c:v>0.32500000000000001</c:v>
                </c:pt>
                <c:pt idx="12">
                  <c:v>0.32500000000000001</c:v>
                </c:pt>
                <c:pt idx="13">
                  <c:v>0.32500000000000001</c:v>
                </c:pt>
                <c:pt idx="14">
                  <c:v>0.32500000000000001</c:v>
                </c:pt>
                <c:pt idx="15">
                  <c:v>0.32500000000000001</c:v>
                </c:pt>
                <c:pt idx="16">
                  <c:v>0.32500000000000001</c:v>
                </c:pt>
                <c:pt idx="17">
                  <c:v>0.32500000000000001</c:v>
                </c:pt>
                <c:pt idx="18">
                  <c:v>0.32500000000000001</c:v>
                </c:pt>
                <c:pt idx="19">
                  <c:v>0.32500000000000001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86-4C64-A53F-B47913982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'14'!$D$6:$D$25</c:f>
              <c:strCache>
                <c:ptCount val="19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ST/HO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LEAD GUIDE</c:v>
                </c:pt>
                <c:pt idx="16">
                  <c:v>BASE</c:v>
                </c:pt>
                <c:pt idx="17">
                  <c:v>PLANGE</c:v>
                </c:pt>
                <c:pt idx="18">
                  <c:v>BASE</c:v>
                </c:pt>
              </c:strCache>
            </c:strRef>
          </c:cat>
          <c:val>
            <c:numRef>
              <c:f>'14'!$L$6:$L$25</c:f>
              <c:numCache>
                <c:formatCode>_(* #,##0_);_(* \(#,##0\);_(* "-"_);_(@_)</c:formatCode>
                <c:ptCount val="20"/>
                <c:pt idx="2">
                  <c:v>6175</c:v>
                </c:pt>
                <c:pt idx="3">
                  <c:v>1666</c:v>
                </c:pt>
                <c:pt idx="4">
                  <c:v>1030</c:v>
                </c:pt>
                <c:pt idx="6">
                  <c:v>5391</c:v>
                </c:pt>
                <c:pt idx="7">
                  <c:v>5197</c:v>
                </c:pt>
                <c:pt idx="8">
                  <c:v>16776</c:v>
                </c:pt>
                <c:pt idx="13">
                  <c:v>1070</c:v>
                </c:pt>
                <c:pt idx="14">
                  <c:v>2320</c:v>
                </c:pt>
                <c:pt idx="15">
                  <c:v>1210</c:v>
                </c:pt>
                <c:pt idx="16">
                  <c:v>881</c:v>
                </c:pt>
                <c:pt idx="17">
                  <c:v>1679</c:v>
                </c:pt>
                <c:pt idx="18">
                  <c:v>624</c:v>
                </c:pt>
                <c:pt idx="19">
                  <c:v>26152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1-4B74-9D42-A24F81C7F479}"/>
            </c:ext>
          </c:extLst>
        </c:ser>
        <c:ser>
          <c:idx val="1"/>
          <c:order val="1"/>
          <c:tx>
            <c:v>계획</c:v>
          </c:tx>
          <c:cat>
            <c:strRef>
              <c:f>'14'!$D$6:$D$25</c:f>
              <c:strCache>
                <c:ptCount val="19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ST/HO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LEAD GUIDE</c:v>
                </c:pt>
                <c:pt idx="16">
                  <c:v>BASE</c:v>
                </c:pt>
                <c:pt idx="17">
                  <c:v>PLANGE</c:v>
                </c:pt>
                <c:pt idx="18">
                  <c:v>BASE</c:v>
                </c:pt>
              </c:strCache>
            </c:strRef>
          </c:cat>
          <c:val>
            <c:numRef>
              <c:f>'14'!$J$6:$J$25</c:f>
              <c:numCache>
                <c:formatCode>_(* #,##0_);_(* \(#,##0\);_(* "-"_);_(@_)</c:formatCode>
                <c:ptCount val="20"/>
                <c:pt idx="0">
                  <c:v>3301</c:v>
                </c:pt>
                <c:pt idx="1">
                  <c:v>2208</c:v>
                </c:pt>
                <c:pt idx="2">
                  <c:v>6175</c:v>
                </c:pt>
                <c:pt idx="3">
                  <c:v>1666</c:v>
                </c:pt>
                <c:pt idx="4">
                  <c:v>1030</c:v>
                </c:pt>
                <c:pt idx="5">
                  <c:v>3936</c:v>
                </c:pt>
                <c:pt idx="6">
                  <c:v>5391</c:v>
                </c:pt>
                <c:pt idx="7">
                  <c:v>5197</c:v>
                </c:pt>
                <c:pt idx="8">
                  <c:v>16776</c:v>
                </c:pt>
                <c:pt idx="9">
                  <c:v>376</c:v>
                </c:pt>
                <c:pt idx="10">
                  <c:v>726</c:v>
                </c:pt>
                <c:pt idx="11">
                  <c:v>1640</c:v>
                </c:pt>
                <c:pt idx="12">
                  <c:v>3136</c:v>
                </c:pt>
                <c:pt idx="13">
                  <c:v>1070</c:v>
                </c:pt>
                <c:pt idx="14">
                  <c:v>2320</c:v>
                </c:pt>
                <c:pt idx="15">
                  <c:v>1210</c:v>
                </c:pt>
                <c:pt idx="16">
                  <c:v>881</c:v>
                </c:pt>
                <c:pt idx="17">
                  <c:v>1679</c:v>
                </c:pt>
                <c:pt idx="18">
                  <c:v>624</c:v>
                </c:pt>
                <c:pt idx="19">
                  <c:v>26152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1-4B74-9D42-A24F81C7F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'14'!$AD$6:$AD$25</c:f>
              <c:strCache>
                <c:ptCount val="20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25%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25%</c:v>
                </c:pt>
                <c:pt idx="14">
                  <c:v>25%</c:v>
                </c:pt>
                <c:pt idx="15">
                  <c:v>25%</c:v>
                </c:pt>
                <c:pt idx="16">
                  <c:v>21%</c:v>
                </c:pt>
                <c:pt idx="17">
                  <c:v>38%</c:v>
                </c:pt>
                <c:pt idx="18">
                  <c:v>17%</c:v>
                </c:pt>
                <c:pt idx="19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'14'!$D$6:$D$25</c:f>
              <c:strCache>
                <c:ptCount val="19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ST/HO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LEAD GUIDE</c:v>
                </c:pt>
                <c:pt idx="16">
                  <c:v>BASE</c:v>
                </c:pt>
                <c:pt idx="17">
                  <c:v>PLANGE</c:v>
                </c:pt>
                <c:pt idx="18">
                  <c:v>BASE</c:v>
                </c:pt>
              </c:strCache>
            </c:strRef>
          </c:cat>
          <c:val>
            <c:numRef>
              <c:f>'14'!$AD$6:$AD$25</c:f>
              <c:numCache>
                <c:formatCode>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0.25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0.20833333333333334</c:v>
                </c:pt>
                <c:pt idx="17">
                  <c:v>0.375</c:v>
                </c:pt>
                <c:pt idx="18">
                  <c:v>0.16666666666666666</c:v>
                </c:pt>
                <c:pt idx="19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8-4FF2-B94C-675876C63EB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58-4FF2-B94C-675876C63E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'14'!$D$6:$D$25</c:f>
              <c:strCache>
                <c:ptCount val="19"/>
                <c:pt idx="0">
                  <c:v>F/ADAPTER</c:v>
                </c:pt>
                <c:pt idx="1">
                  <c:v>ADAPTER</c:v>
                </c:pt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6">
                  <c:v>ST/HO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LEAD GUIDE</c:v>
                </c:pt>
                <c:pt idx="16">
                  <c:v>BASE</c:v>
                </c:pt>
                <c:pt idx="17">
                  <c:v>PLANGE</c:v>
                </c:pt>
                <c:pt idx="18">
                  <c:v>BASE</c:v>
                </c:pt>
              </c:strCache>
            </c:strRef>
          </c:cat>
          <c:val>
            <c:numRef>
              <c:f>'14'!$AE$6:$AE$25</c:f>
              <c:numCache>
                <c:formatCode>0%</c:formatCode>
                <c:ptCount val="20"/>
                <c:pt idx="0">
                  <c:v>0.32500000000000001</c:v>
                </c:pt>
                <c:pt idx="1">
                  <c:v>0.32500000000000001</c:v>
                </c:pt>
                <c:pt idx="2">
                  <c:v>0.32500000000000001</c:v>
                </c:pt>
                <c:pt idx="3">
                  <c:v>0.32500000000000001</c:v>
                </c:pt>
                <c:pt idx="4">
                  <c:v>0.32500000000000001</c:v>
                </c:pt>
                <c:pt idx="5">
                  <c:v>0.32500000000000001</c:v>
                </c:pt>
                <c:pt idx="6">
                  <c:v>0.32500000000000001</c:v>
                </c:pt>
                <c:pt idx="7">
                  <c:v>0.32500000000000001</c:v>
                </c:pt>
                <c:pt idx="8">
                  <c:v>0.32500000000000001</c:v>
                </c:pt>
                <c:pt idx="9">
                  <c:v>0.32500000000000001</c:v>
                </c:pt>
                <c:pt idx="10">
                  <c:v>0.32500000000000001</c:v>
                </c:pt>
                <c:pt idx="11">
                  <c:v>0.32500000000000001</c:v>
                </c:pt>
                <c:pt idx="12">
                  <c:v>0.32500000000000001</c:v>
                </c:pt>
                <c:pt idx="13">
                  <c:v>0.32500000000000001</c:v>
                </c:pt>
                <c:pt idx="14">
                  <c:v>0.32500000000000001</c:v>
                </c:pt>
                <c:pt idx="15">
                  <c:v>0.32500000000000001</c:v>
                </c:pt>
                <c:pt idx="16">
                  <c:v>0.32500000000000001</c:v>
                </c:pt>
                <c:pt idx="17">
                  <c:v>0.32500000000000001</c:v>
                </c:pt>
                <c:pt idx="18">
                  <c:v>0.32500000000000001</c:v>
                </c:pt>
                <c:pt idx="19">
                  <c:v>0.32500000000000001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58-4FF2-B94C-675876C63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E8F-497A-A762-D721C2803D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F-497A-A762-D721C2803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E8F-497A-A762-D721C2803D3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8F-497A-A762-D721C2803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'15'!$D$6:$D$24</c:f>
              <c:strCache>
                <c:ptCount val="18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ACTUATOR</c:v>
                </c:pt>
                <c:pt idx="6">
                  <c:v>HOUSING</c:v>
                </c:pt>
                <c:pt idx="7">
                  <c:v>ST/HO</c:v>
                </c:pt>
                <c:pt idx="8">
                  <c:v>BOTTOM</c:v>
                </c:pt>
                <c:pt idx="9">
                  <c:v>TOP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'15'!$L$6:$L$24</c:f>
              <c:numCache>
                <c:formatCode>_(* #,##0_);_(* \(#,##0\);_(* "-"_);_(@_)</c:formatCode>
                <c:ptCount val="19"/>
                <c:pt idx="0">
                  <c:v>2398</c:v>
                </c:pt>
                <c:pt idx="2">
                  <c:v>5355</c:v>
                </c:pt>
                <c:pt idx="3">
                  <c:v>1010</c:v>
                </c:pt>
                <c:pt idx="4">
                  <c:v>3936</c:v>
                </c:pt>
                <c:pt idx="5">
                  <c:v>926</c:v>
                </c:pt>
                <c:pt idx="6">
                  <c:v>4950</c:v>
                </c:pt>
                <c:pt idx="7">
                  <c:v>5203</c:v>
                </c:pt>
                <c:pt idx="8">
                  <c:v>4975</c:v>
                </c:pt>
                <c:pt idx="9">
                  <c:v>2087</c:v>
                </c:pt>
                <c:pt idx="11">
                  <c:v>764</c:v>
                </c:pt>
                <c:pt idx="14">
                  <c:v>4492</c:v>
                </c:pt>
                <c:pt idx="15">
                  <c:v>768</c:v>
                </c:pt>
                <c:pt idx="16">
                  <c:v>2603</c:v>
                </c:pt>
                <c:pt idx="18">
                  <c:v>22788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56-4213-AA79-B9334C1575BC}"/>
            </c:ext>
          </c:extLst>
        </c:ser>
        <c:ser>
          <c:idx val="1"/>
          <c:order val="1"/>
          <c:tx>
            <c:v>계획</c:v>
          </c:tx>
          <c:cat>
            <c:strRef>
              <c:f>'15'!$D$6:$D$24</c:f>
              <c:strCache>
                <c:ptCount val="18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ACTUATOR</c:v>
                </c:pt>
                <c:pt idx="6">
                  <c:v>HOUSING</c:v>
                </c:pt>
                <c:pt idx="7">
                  <c:v>ST/HO</c:v>
                </c:pt>
                <c:pt idx="8">
                  <c:v>BOTTOM</c:v>
                </c:pt>
                <c:pt idx="9">
                  <c:v>TOP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'15'!$J$6:$J$24</c:f>
              <c:numCache>
                <c:formatCode>_(* #,##0_);_(* \(#,##0\);_(* "-"_);_(@_)</c:formatCode>
                <c:ptCount val="19"/>
                <c:pt idx="0">
                  <c:v>2398</c:v>
                </c:pt>
                <c:pt idx="1">
                  <c:v>2208</c:v>
                </c:pt>
                <c:pt idx="2">
                  <c:v>5355</c:v>
                </c:pt>
                <c:pt idx="3">
                  <c:v>1010</c:v>
                </c:pt>
                <c:pt idx="4">
                  <c:v>3936</c:v>
                </c:pt>
                <c:pt idx="5">
                  <c:v>926</c:v>
                </c:pt>
                <c:pt idx="6">
                  <c:v>4950</c:v>
                </c:pt>
                <c:pt idx="7">
                  <c:v>5203</c:v>
                </c:pt>
                <c:pt idx="8">
                  <c:v>4975</c:v>
                </c:pt>
                <c:pt idx="9">
                  <c:v>2087</c:v>
                </c:pt>
                <c:pt idx="10">
                  <c:v>376</c:v>
                </c:pt>
                <c:pt idx="11">
                  <c:v>764</c:v>
                </c:pt>
                <c:pt idx="12">
                  <c:v>1640</c:v>
                </c:pt>
                <c:pt idx="13">
                  <c:v>3136</c:v>
                </c:pt>
                <c:pt idx="14">
                  <c:v>4492</c:v>
                </c:pt>
                <c:pt idx="15">
                  <c:v>768</c:v>
                </c:pt>
                <c:pt idx="16">
                  <c:v>2603</c:v>
                </c:pt>
                <c:pt idx="17">
                  <c:v>624</c:v>
                </c:pt>
                <c:pt idx="18">
                  <c:v>22788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56-4213-AA79-B9334C157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'15'!$AD$6:$AD$24</c:f>
              <c:strCache>
                <c:ptCount val="19"/>
                <c:pt idx="0">
                  <c:v>58%</c:v>
                </c:pt>
                <c:pt idx="1">
                  <c:v>0%</c:v>
                </c:pt>
                <c:pt idx="2">
                  <c:v>100%</c:v>
                </c:pt>
                <c:pt idx="3">
                  <c:v>25%</c:v>
                </c:pt>
                <c:pt idx="4">
                  <c:v>67%</c:v>
                </c:pt>
                <c:pt idx="5">
                  <c:v>13%</c:v>
                </c:pt>
                <c:pt idx="6">
                  <c:v>67%</c:v>
                </c:pt>
                <c:pt idx="7">
                  <c:v>100%</c:v>
                </c:pt>
                <c:pt idx="8">
                  <c:v>100%</c:v>
                </c:pt>
                <c:pt idx="9">
                  <c:v>63%</c:v>
                </c:pt>
                <c:pt idx="10">
                  <c:v>0%</c:v>
                </c:pt>
                <c:pt idx="11">
                  <c:v>21%</c:v>
                </c:pt>
                <c:pt idx="12">
                  <c:v>0%</c:v>
                </c:pt>
                <c:pt idx="13">
                  <c:v>0%</c:v>
                </c:pt>
                <c:pt idx="14">
                  <c:v>96%</c:v>
                </c:pt>
                <c:pt idx="15">
                  <c:v>17%</c:v>
                </c:pt>
                <c:pt idx="16">
                  <c:v>63%</c:v>
                </c:pt>
                <c:pt idx="17">
                  <c:v>0%</c:v>
                </c:pt>
                <c:pt idx="18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'15'!$D$6:$D$24</c:f>
              <c:strCache>
                <c:ptCount val="18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ACTUATOR</c:v>
                </c:pt>
                <c:pt idx="6">
                  <c:v>HOUSING</c:v>
                </c:pt>
                <c:pt idx="7">
                  <c:v>ST/HO</c:v>
                </c:pt>
                <c:pt idx="8">
                  <c:v>BOTTOM</c:v>
                </c:pt>
                <c:pt idx="9">
                  <c:v>TOP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'15'!$AD$6:$AD$24</c:f>
              <c:numCache>
                <c:formatCode>0%</c:formatCode>
                <c:ptCount val="19"/>
                <c:pt idx="0">
                  <c:v>0.58333333333333337</c:v>
                </c:pt>
                <c:pt idx="1">
                  <c:v>0</c:v>
                </c:pt>
                <c:pt idx="2">
                  <c:v>1</c:v>
                </c:pt>
                <c:pt idx="3">
                  <c:v>0.25</c:v>
                </c:pt>
                <c:pt idx="4">
                  <c:v>0.66666666666666663</c:v>
                </c:pt>
                <c:pt idx="5">
                  <c:v>0.125</c:v>
                </c:pt>
                <c:pt idx="6">
                  <c:v>0.66666666666666663</c:v>
                </c:pt>
                <c:pt idx="7">
                  <c:v>1</c:v>
                </c:pt>
                <c:pt idx="8">
                  <c:v>1</c:v>
                </c:pt>
                <c:pt idx="9">
                  <c:v>0.625</c:v>
                </c:pt>
                <c:pt idx="10">
                  <c:v>0</c:v>
                </c:pt>
                <c:pt idx="11">
                  <c:v>0.20833333333333334</c:v>
                </c:pt>
                <c:pt idx="12">
                  <c:v>0</c:v>
                </c:pt>
                <c:pt idx="13">
                  <c:v>0</c:v>
                </c:pt>
                <c:pt idx="14">
                  <c:v>0.95833333333333337</c:v>
                </c:pt>
                <c:pt idx="15">
                  <c:v>0.16666666666666666</c:v>
                </c:pt>
                <c:pt idx="16">
                  <c:v>0.625</c:v>
                </c:pt>
                <c:pt idx="17">
                  <c:v>0</c:v>
                </c:pt>
                <c:pt idx="18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1-4B85-BB17-2EE34D16E3C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501-4B85-BB17-2EE34D16E3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'15'!$D$6:$D$24</c:f>
              <c:strCache>
                <c:ptCount val="18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ACTUATOR</c:v>
                </c:pt>
                <c:pt idx="6">
                  <c:v>HOUSING</c:v>
                </c:pt>
                <c:pt idx="7">
                  <c:v>ST/HO</c:v>
                </c:pt>
                <c:pt idx="8">
                  <c:v>BOTTOM</c:v>
                </c:pt>
                <c:pt idx="9">
                  <c:v>TOP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'15'!$AE$6:$AE$24</c:f>
              <c:numCache>
                <c:formatCode>0%</c:formatCode>
                <c:ptCount val="19"/>
                <c:pt idx="0">
                  <c:v>0.43640350877192979</c:v>
                </c:pt>
                <c:pt idx="1">
                  <c:v>0.43640350877192979</c:v>
                </c:pt>
                <c:pt idx="2">
                  <c:v>0.43640350877192979</c:v>
                </c:pt>
                <c:pt idx="3">
                  <c:v>0.43640350877192979</c:v>
                </c:pt>
                <c:pt idx="4">
                  <c:v>0.43640350877192979</c:v>
                </c:pt>
                <c:pt idx="5">
                  <c:v>0.43640350877192979</c:v>
                </c:pt>
                <c:pt idx="6">
                  <c:v>0.43640350877192979</c:v>
                </c:pt>
                <c:pt idx="7">
                  <c:v>0.43640350877192979</c:v>
                </c:pt>
                <c:pt idx="8">
                  <c:v>0.43640350877192979</c:v>
                </c:pt>
                <c:pt idx="9">
                  <c:v>0.43640350877192979</c:v>
                </c:pt>
                <c:pt idx="10">
                  <c:v>0.43640350877192979</c:v>
                </c:pt>
                <c:pt idx="11">
                  <c:v>0.43640350877192979</c:v>
                </c:pt>
                <c:pt idx="12">
                  <c:v>0.43640350877192979</c:v>
                </c:pt>
                <c:pt idx="13">
                  <c:v>0.43640350877192979</c:v>
                </c:pt>
                <c:pt idx="14">
                  <c:v>0.43640350877192979</c:v>
                </c:pt>
                <c:pt idx="15">
                  <c:v>0.43640350877192979</c:v>
                </c:pt>
                <c:pt idx="16">
                  <c:v>0.43640350877192979</c:v>
                </c:pt>
                <c:pt idx="17">
                  <c:v>0.43640350877192979</c:v>
                </c:pt>
                <c:pt idx="18">
                  <c:v>0.43640350877192979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01-4B85-BB17-2EE34D16E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'15'!$D$6:$D$24</c:f>
              <c:strCache>
                <c:ptCount val="18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ACTUATOR</c:v>
                </c:pt>
                <c:pt idx="6">
                  <c:v>HOUSING</c:v>
                </c:pt>
                <c:pt idx="7">
                  <c:v>ST/HO</c:v>
                </c:pt>
                <c:pt idx="8">
                  <c:v>BOTTOM</c:v>
                </c:pt>
                <c:pt idx="9">
                  <c:v>TOP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'15'!$L$6:$L$24</c:f>
              <c:numCache>
                <c:formatCode>_(* #,##0_);_(* \(#,##0\);_(* "-"_);_(@_)</c:formatCode>
                <c:ptCount val="19"/>
                <c:pt idx="0">
                  <c:v>2398</c:v>
                </c:pt>
                <c:pt idx="2">
                  <c:v>5355</c:v>
                </c:pt>
                <c:pt idx="3">
                  <c:v>1010</c:v>
                </c:pt>
                <c:pt idx="4">
                  <c:v>3936</c:v>
                </c:pt>
                <c:pt idx="5">
                  <c:v>926</c:v>
                </c:pt>
                <c:pt idx="6">
                  <c:v>4950</c:v>
                </c:pt>
                <c:pt idx="7">
                  <c:v>5203</c:v>
                </c:pt>
                <c:pt idx="8">
                  <c:v>4975</c:v>
                </c:pt>
                <c:pt idx="9">
                  <c:v>2087</c:v>
                </c:pt>
                <c:pt idx="11">
                  <c:v>764</c:v>
                </c:pt>
                <c:pt idx="14">
                  <c:v>4492</c:v>
                </c:pt>
                <c:pt idx="15">
                  <c:v>768</c:v>
                </c:pt>
                <c:pt idx="16">
                  <c:v>2603</c:v>
                </c:pt>
                <c:pt idx="18">
                  <c:v>22788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1-4709-BD15-7CA82774B7A6}"/>
            </c:ext>
          </c:extLst>
        </c:ser>
        <c:ser>
          <c:idx val="1"/>
          <c:order val="1"/>
          <c:tx>
            <c:v>계획</c:v>
          </c:tx>
          <c:cat>
            <c:strRef>
              <c:f>'15'!$D$6:$D$24</c:f>
              <c:strCache>
                <c:ptCount val="18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ACTUATOR</c:v>
                </c:pt>
                <c:pt idx="6">
                  <c:v>HOUSING</c:v>
                </c:pt>
                <c:pt idx="7">
                  <c:v>ST/HO</c:v>
                </c:pt>
                <c:pt idx="8">
                  <c:v>BOTTOM</c:v>
                </c:pt>
                <c:pt idx="9">
                  <c:v>TOP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'15'!$J$6:$J$24</c:f>
              <c:numCache>
                <c:formatCode>_(* #,##0_);_(* \(#,##0\);_(* "-"_);_(@_)</c:formatCode>
                <c:ptCount val="19"/>
                <c:pt idx="0">
                  <c:v>2398</c:v>
                </c:pt>
                <c:pt idx="1">
                  <c:v>2208</c:v>
                </c:pt>
                <c:pt idx="2">
                  <c:v>5355</c:v>
                </c:pt>
                <c:pt idx="3">
                  <c:v>1010</c:v>
                </c:pt>
                <c:pt idx="4">
                  <c:v>3936</c:v>
                </c:pt>
                <c:pt idx="5">
                  <c:v>926</c:v>
                </c:pt>
                <c:pt idx="6">
                  <c:v>4950</c:v>
                </c:pt>
                <c:pt idx="7">
                  <c:v>5203</c:v>
                </c:pt>
                <c:pt idx="8">
                  <c:v>4975</c:v>
                </c:pt>
                <c:pt idx="9">
                  <c:v>2087</c:v>
                </c:pt>
                <c:pt idx="10">
                  <c:v>376</c:v>
                </c:pt>
                <c:pt idx="11">
                  <c:v>764</c:v>
                </c:pt>
                <c:pt idx="12">
                  <c:v>1640</c:v>
                </c:pt>
                <c:pt idx="13">
                  <c:v>3136</c:v>
                </c:pt>
                <c:pt idx="14">
                  <c:v>4492</c:v>
                </c:pt>
                <c:pt idx="15">
                  <c:v>768</c:v>
                </c:pt>
                <c:pt idx="16">
                  <c:v>2603</c:v>
                </c:pt>
                <c:pt idx="17">
                  <c:v>624</c:v>
                </c:pt>
                <c:pt idx="18">
                  <c:v>22788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1-4709-BD15-7CA82774B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'15'!$AD$6:$AD$24</c:f>
              <c:strCache>
                <c:ptCount val="19"/>
                <c:pt idx="0">
                  <c:v>58%</c:v>
                </c:pt>
                <c:pt idx="1">
                  <c:v>0%</c:v>
                </c:pt>
                <c:pt idx="2">
                  <c:v>100%</c:v>
                </c:pt>
                <c:pt idx="3">
                  <c:v>25%</c:v>
                </c:pt>
                <c:pt idx="4">
                  <c:v>67%</c:v>
                </c:pt>
                <c:pt idx="5">
                  <c:v>13%</c:v>
                </c:pt>
                <c:pt idx="6">
                  <c:v>67%</c:v>
                </c:pt>
                <c:pt idx="7">
                  <c:v>100%</c:v>
                </c:pt>
                <c:pt idx="8">
                  <c:v>100%</c:v>
                </c:pt>
                <c:pt idx="9">
                  <c:v>63%</c:v>
                </c:pt>
                <c:pt idx="10">
                  <c:v>0%</c:v>
                </c:pt>
                <c:pt idx="11">
                  <c:v>21%</c:v>
                </c:pt>
                <c:pt idx="12">
                  <c:v>0%</c:v>
                </c:pt>
                <c:pt idx="13">
                  <c:v>0%</c:v>
                </c:pt>
                <c:pt idx="14">
                  <c:v>96%</c:v>
                </c:pt>
                <c:pt idx="15">
                  <c:v>17%</c:v>
                </c:pt>
                <c:pt idx="16">
                  <c:v>63%</c:v>
                </c:pt>
                <c:pt idx="17">
                  <c:v>0%</c:v>
                </c:pt>
                <c:pt idx="18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'15'!$D$6:$D$24</c:f>
              <c:strCache>
                <c:ptCount val="18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ACTUATOR</c:v>
                </c:pt>
                <c:pt idx="6">
                  <c:v>HOUSING</c:v>
                </c:pt>
                <c:pt idx="7">
                  <c:v>ST/HO</c:v>
                </c:pt>
                <c:pt idx="8">
                  <c:v>BOTTOM</c:v>
                </c:pt>
                <c:pt idx="9">
                  <c:v>TOP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'15'!$AD$6:$AD$24</c:f>
              <c:numCache>
                <c:formatCode>0%</c:formatCode>
                <c:ptCount val="19"/>
                <c:pt idx="0">
                  <c:v>0.58333333333333337</c:v>
                </c:pt>
                <c:pt idx="1">
                  <c:v>0</c:v>
                </c:pt>
                <c:pt idx="2">
                  <c:v>1</c:v>
                </c:pt>
                <c:pt idx="3">
                  <c:v>0.25</c:v>
                </c:pt>
                <c:pt idx="4">
                  <c:v>0.66666666666666663</c:v>
                </c:pt>
                <c:pt idx="5">
                  <c:v>0.125</c:v>
                </c:pt>
                <c:pt idx="6">
                  <c:v>0.66666666666666663</c:v>
                </c:pt>
                <c:pt idx="7">
                  <c:v>1</c:v>
                </c:pt>
                <c:pt idx="8">
                  <c:v>1</c:v>
                </c:pt>
                <c:pt idx="9">
                  <c:v>0.625</c:v>
                </c:pt>
                <c:pt idx="10">
                  <c:v>0</c:v>
                </c:pt>
                <c:pt idx="11">
                  <c:v>0.20833333333333334</c:v>
                </c:pt>
                <c:pt idx="12">
                  <c:v>0</c:v>
                </c:pt>
                <c:pt idx="13">
                  <c:v>0</c:v>
                </c:pt>
                <c:pt idx="14">
                  <c:v>0.95833333333333337</c:v>
                </c:pt>
                <c:pt idx="15">
                  <c:v>0.16666666666666666</c:v>
                </c:pt>
                <c:pt idx="16">
                  <c:v>0.625</c:v>
                </c:pt>
                <c:pt idx="17">
                  <c:v>0</c:v>
                </c:pt>
                <c:pt idx="18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F4-45DD-A16A-FECB4E7DFAF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F4-45DD-A16A-FECB4E7DFAF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'15'!$D$6:$D$24</c:f>
              <c:strCache>
                <c:ptCount val="18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ACTUATOR</c:v>
                </c:pt>
                <c:pt idx="6">
                  <c:v>HOUSING</c:v>
                </c:pt>
                <c:pt idx="7">
                  <c:v>ST/HO</c:v>
                </c:pt>
                <c:pt idx="8">
                  <c:v>BOTTOM</c:v>
                </c:pt>
                <c:pt idx="9">
                  <c:v>TOP</c:v>
                </c:pt>
                <c:pt idx="10">
                  <c:v>BASE</c:v>
                </c:pt>
                <c:pt idx="11">
                  <c:v>ADAPTER</c:v>
                </c:pt>
                <c:pt idx="12">
                  <c:v>LATCH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'15'!$AE$6:$AE$24</c:f>
              <c:numCache>
                <c:formatCode>0%</c:formatCode>
                <c:ptCount val="19"/>
                <c:pt idx="0">
                  <c:v>0.43640350877192979</c:v>
                </c:pt>
                <c:pt idx="1">
                  <c:v>0.43640350877192979</c:v>
                </c:pt>
                <c:pt idx="2">
                  <c:v>0.43640350877192979</c:v>
                </c:pt>
                <c:pt idx="3">
                  <c:v>0.43640350877192979</c:v>
                </c:pt>
                <c:pt idx="4">
                  <c:v>0.43640350877192979</c:v>
                </c:pt>
                <c:pt idx="5">
                  <c:v>0.43640350877192979</c:v>
                </c:pt>
                <c:pt idx="6">
                  <c:v>0.43640350877192979</c:v>
                </c:pt>
                <c:pt idx="7">
                  <c:v>0.43640350877192979</c:v>
                </c:pt>
                <c:pt idx="8">
                  <c:v>0.43640350877192979</c:v>
                </c:pt>
                <c:pt idx="9">
                  <c:v>0.43640350877192979</c:v>
                </c:pt>
                <c:pt idx="10">
                  <c:v>0.43640350877192979</c:v>
                </c:pt>
                <c:pt idx="11">
                  <c:v>0.43640350877192979</c:v>
                </c:pt>
                <c:pt idx="12">
                  <c:v>0.43640350877192979</c:v>
                </c:pt>
                <c:pt idx="13">
                  <c:v>0.43640350877192979</c:v>
                </c:pt>
                <c:pt idx="14">
                  <c:v>0.43640350877192979</c:v>
                </c:pt>
                <c:pt idx="15">
                  <c:v>0.43640350877192979</c:v>
                </c:pt>
                <c:pt idx="16">
                  <c:v>0.43640350877192979</c:v>
                </c:pt>
                <c:pt idx="17">
                  <c:v>0.43640350877192979</c:v>
                </c:pt>
                <c:pt idx="18">
                  <c:v>0.43640350877192979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F4-45DD-A16A-FECB4E7D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3B5-4F11-8D61-18B9417CFC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B5-4F11-8D61-18B9417CF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3B5-4F11-8D61-18B9417CFC6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B5-4F11-8D61-18B9417CF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HOUSING</c:v>
                </c:pt>
                <c:pt idx="6">
                  <c:v>ST/HO</c:v>
                </c:pt>
                <c:pt idx="7">
                  <c:v>BOTTOM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PAD</c:v>
                </c:pt>
              </c:strCache>
            </c:strRef>
          </c:cat>
          <c:val>
            <c:numRef>
              <c:f>'16'!$L$6:$L$22</c:f>
              <c:numCache>
                <c:formatCode>_(* #,##0_);_(* \(#,##0\);_(* "-"_);_(@_)</c:formatCode>
                <c:ptCount val="17"/>
                <c:pt idx="0">
                  <c:v>1534</c:v>
                </c:pt>
                <c:pt idx="2">
                  <c:v>4254</c:v>
                </c:pt>
                <c:pt idx="3">
                  <c:v>1305</c:v>
                </c:pt>
                <c:pt idx="4">
                  <c:v>1932</c:v>
                </c:pt>
                <c:pt idx="5">
                  <c:v>7828</c:v>
                </c:pt>
                <c:pt idx="6">
                  <c:v>5025</c:v>
                </c:pt>
                <c:pt idx="7">
                  <c:v>4839</c:v>
                </c:pt>
                <c:pt idx="8">
                  <c:v>3547</c:v>
                </c:pt>
                <c:pt idx="10">
                  <c:v>4412</c:v>
                </c:pt>
                <c:pt idx="13">
                  <c:v>5039</c:v>
                </c:pt>
                <c:pt idx="14">
                  <c:v>4752</c:v>
                </c:pt>
                <c:pt idx="15">
                  <c:v>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3-45C0-8EEC-858367E92DC5}"/>
            </c:ext>
          </c:extLst>
        </c:ser>
        <c:ser>
          <c:idx val="1"/>
          <c:order val="1"/>
          <c:tx>
            <c:v>계획</c:v>
          </c:tx>
          <c:cat>
            <c:strRef>
              <c:f>'16'!$D$6:$D$22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HOUSING</c:v>
                </c:pt>
                <c:pt idx="6">
                  <c:v>ST/HO</c:v>
                </c:pt>
                <c:pt idx="7">
                  <c:v>BOTTOM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PAD</c:v>
                </c:pt>
              </c:strCache>
            </c:strRef>
          </c:cat>
          <c:val>
            <c:numRef>
              <c:f>'16'!$J$6:$J$22</c:f>
              <c:numCache>
                <c:formatCode>_(* #,##0_);_(* \(#,##0\);_(* "-"_);_(@_)</c:formatCode>
                <c:ptCount val="17"/>
                <c:pt idx="0">
                  <c:v>1534</c:v>
                </c:pt>
                <c:pt idx="1">
                  <c:v>2208</c:v>
                </c:pt>
                <c:pt idx="2">
                  <c:v>4254</c:v>
                </c:pt>
                <c:pt idx="3">
                  <c:v>1305</c:v>
                </c:pt>
                <c:pt idx="4">
                  <c:v>1932</c:v>
                </c:pt>
                <c:pt idx="5">
                  <c:v>7828</c:v>
                </c:pt>
                <c:pt idx="6">
                  <c:v>5025</c:v>
                </c:pt>
                <c:pt idx="7">
                  <c:v>4839</c:v>
                </c:pt>
                <c:pt idx="8">
                  <c:v>3547</c:v>
                </c:pt>
                <c:pt idx="9">
                  <c:v>376</c:v>
                </c:pt>
                <c:pt idx="10">
                  <c:v>4412</c:v>
                </c:pt>
                <c:pt idx="11">
                  <c:v>1640</c:v>
                </c:pt>
                <c:pt idx="12">
                  <c:v>3136</c:v>
                </c:pt>
                <c:pt idx="13">
                  <c:v>5039</c:v>
                </c:pt>
                <c:pt idx="14">
                  <c:v>4752</c:v>
                </c:pt>
                <c:pt idx="15">
                  <c:v>3341</c:v>
                </c:pt>
                <c:pt idx="16">
                  <c:v>22788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3-45C0-8EEC-858367E92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'16'!$AD$6:$AD$22</c:f>
              <c:strCache>
                <c:ptCount val="17"/>
                <c:pt idx="0">
                  <c:v>42%</c:v>
                </c:pt>
                <c:pt idx="1">
                  <c:v>0%</c:v>
                </c:pt>
                <c:pt idx="2">
                  <c:v>88%</c:v>
                </c:pt>
                <c:pt idx="3">
                  <c:v>29%</c:v>
                </c:pt>
                <c:pt idx="4">
                  <c:v>42%</c:v>
                </c:pt>
                <c:pt idx="5">
                  <c:v>88%</c:v>
                </c:pt>
                <c:pt idx="6">
                  <c:v>100%</c:v>
                </c:pt>
                <c:pt idx="7">
                  <c:v>100%</c:v>
                </c:pt>
                <c:pt idx="8">
                  <c:v>83%</c:v>
                </c:pt>
                <c:pt idx="9">
                  <c:v>0%</c:v>
                </c:pt>
                <c:pt idx="10">
                  <c:v>96%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79%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HOUSING</c:v>
                </c:pt>
                <c:pt idx="6">
                  <c:v>ST/HO</c:v>
                </c:pt>
                <c:pt idx="7">
                  <c:v>BOTTOM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PAD</c:v>
                </c:pt>
              </c:strCache>
            </c:strRef>
          </c:cat>
          <c:val>
            <c:numRef>
              <c:f>'16'!$AD$6:$AD$22</c:f>
              <c:numCache>
                <c:formatCode>0%</c:formatCode>
                <c:ptCount val="17"/>
                <c:pt idx="0">
                  <c:v>0.41666666666666669</c:v>
                </c:pt>
                <c:pt idx="1">
                  <c:v>0</c:v>
                </c:pt>
                <c:pt idx="2">
                  <c:v>0.875</c:v>
                </c:pt>
                <c:pt idx="3">
                  <c:v>0.29166666666666669</c:v>
                </c:pt>
                <c:pt idx="4">
                  <c:v>0.41666666666666669</c:v>
                </c:pt>
                <c:pt idx="5">
                  <c:v>0.875</c:v>
                </c:pt>
                <c:pt idx="6">
                  <c:v>1</c:v>
                </c:pt>
                <c:pt idx="7">
                  <c:v>1</c:v>
                </c:pt>
                <c:pt idx="8">
                  <c:v>0.83333333333333337</c:v>
                </c:pt>
                <c:pt idx="9">
                  <c:v>0</c:v>
                </c:pt>
                <c:pt idx="10">
                  <c:v>0.95833333333333337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0.79166666666666663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28-4DF2-9EAF-A5218616C0E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28-4DF2-9EAF-A5218616C0E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HOUSING</c:v>
                </c:pt>
                <c:pt idx="6">
                  <c:v>ST/HO</c:v>
                </c:pt>
                <c:pt idx="7">
                  <c:v>BOTTOM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PAD</c:v>
                </c:pt>
              </c:strCache>
            </c:strRef>
          </c:cat>
          <c:val>
            <c:numRef>
              <c:f>'16'!$AE$6:$AE$22</c:f>
              <c:numCache>
                <c:formatCode>0%</c:formatCode>
                <c:ptCount val="17"/>
                <c:pt idx="0">
                  <c:v>0.55637254901960775</c:v>
                </c:pt>
                <c:pt idx="1">
                  <c:v>0.55637254901960775</c:v>
                </c:pt>
                <c:pt idx="2">
                  <c:v>0.55637254901960775</c:v>
                </c:pt>
                <c:pt idx="3">
                  <c:v>0.55637254901960775</c:v>
                </c:pt>
                <c:pt idx="4">
                  <c:v>0.55637254901960775</c:v>
                </c:pt>
                <c:pt idx="5">
                  <c:v>0.55637254901960775</c:v>
                </c:pt>
                <c:pt idx="6">
                  <c:v>0.55637254901960775</c:v>
                </c:pt>
                <c:pt idx="7">
                  <c:v>0.55637254901960775</c:v>
                </c:pt>
                <c:pt idx="8">
                  <c:v>0.55637254901960775</c:v>
                </c:pt>
                <c:pt idx="9">
                  <c:v>0.55637254901960775</c:v>
                </c:pt>
                <c:pt idx="10">
                  <c:v>0.55637254901960775</c:v>
                </c:pt>
                <c:pt idx="11">
                  <c:v>0.55637254901960775</c:v>
                </c:pt>
                <c:pt idx="12">
                  <c:v>0.55637254901960775</c:v>
                </c:pt>
                <c:pt idx="13">
                  <c:v>0.55637254901960775</c:v>
                </c:pt>
                <c:pt idx="14">
                  <c:v>0.55637254901960775</c:v>
                </c:pt>
                <c:pt idx="15">
                  <c:v>0.55637254901960775</c:v>
                </c:pt>
                <c:pt idx="16">
                  <c:v>0.55637254901960775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28-4DF2-9EAF-A5218616C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HOUSING</c:v>
                </c:pt>
                <c:pt idx="6">
                  <c:v>ST/HO</c:v>
                </c:pt>
                <c:pt idx="7">
                  <c:v>BOTTOM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PAD</c:v>
                </c:pt>
              </c:strCache>
            </c:strRef>
          </c:cat>
          <c:val>
            <c:numRef>
              <c:f>'16'!$L$6:$L$22</c:f>
              <c:numCache>
                <c:formatCode>_(* #,##0_);_(* \(#,##0\);_(* "-"_);_(@_)</c:formatCode>
                <c:ptCount val="17"/>
                <c:pt idx="0">
                  <c:v>1534</c:v>
                </c:pt>
                <c:pt idx="2">
                  <c:v>4254</c:v>
                </c:pt>
                <c:pt idx="3">
                  <c:v>1305</c:v>
                </c:pt>
                <c:pt idx="4">
                  <c:v>1932</c:v>
                </c:pt>
                <c:pt idx="5">
                  <c:v>7828</c:v>
                </c:pt>
                <c:pt idx="6">
                  <c:v>5025</c:v>
                </c:pt>
                <c:pt idx="7">
                  <c:v>4839</c:v>
                </c:pt>
                <c:pt idx="8">
                  <c:v>3547</c:v>
                </c:pt>
                <c:pt idx="10">
                  <c:v>4412</c:v>
                </c:pt>
                <c:pt idx="13">
                  <c:v>5039</c:v>
                </c:pt>
                <c:pt idx="14">
                  <c:v>4752</c:v>
                </c:pt>
                <c:pt idx="15">
                  <c:v>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C-4DE2-8B2B-9F775143D6D8}"/>
            </c:ext>
          </c:extLst>
        </c:ser>
        <c:ser>
          <c:idx val="1"/>
          <c:order val="1"/>
          <c:tx>
            <c:v>계획</c:v>
          </c:tx>
          <c:cat>
            <c:strRef>
              <c:f>'16'!$D$6:$D$22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HOUSING</c:v>
                </c:pt>
                <c:pt idx="6">
                  <c:v>ST/HO</c:v>
                </c:pt>
                <c:pt idx="7">
                  <c:v>BOTTOM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PAD</c:v>
                </c:pt>
              </c:strCache>
            </c:strRef>
          </c:cat>
          <c:val>
            <c:numRef>
              <c:f>'16'!$J$6:$J$22</c:f>
              <c:numCache>
                <c:formatCode>_(* #,##0_);_(* \(#,##0\);_(* "-"_);_(@_)</c:formatCode>
                <c:ptCount val="17"/>
                <c:pt idx="0">
                  <c:v>1534</c:v>
                </c:pt>
                <c:pt idx="1">
                  <c:v>2208</c:v>
                </c:pt>
                <c:pt idx="2">
                  <c:v>4254</c:v>
                </c:pt>
                <c:pt idx="3">
                  <c:v>1305</c:v>
                </c:pt>
                <c:pt idx="4">
                  <c:v>1932</c:v>
                </c:pt>
                <c:pt idx="5">
                  <c:v>7828</c:v>
                </c:pt>
                <c:pt idx="6">
                  <c:v>5025</c:v>
                </c:pt>
                <c:pt idx="7">
                  <c:v>4839</c:v>
                </c:pt>
                <c:pt idx="8">
                  <c:v>3547</c:v>
                </c:pt>
                <c:pt idx="9">
                  <c:v>376</c:v>
                </c:pt>
                <c:pt idx="10">
                  <c:v>4412</c:v>
                </c:pt>
                <c:pt idx="11">
                  <c:v>1640</c:v>
                </c:pt>
                <c:pt idx="12">
                  <c:v>3136</c:v>
                </c:pt>
                <c:pt idx="13">
                  <c:v>5039</c:v>
                </c:pt>
                <c:pt idx="14">
                  <c:v>4752</c:v>
                </c:pt>
                <c:pt idx="15">
                  <c:v>3341</c:v>
                </c:pt>
                <c:pt idx="16">
                  <c:v>22788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C-4DE2-8B2B-9F775143D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'16'!$AD$6:$AD$22</c:f>
              <c:strCache>
                <c:ptCount val="17"/>
                <c:pt idx="0">
                  <c:v>42%</c:v>
                </c:pt>
                <c:pt idx="1">
                  <c:v>0%</c:v>
                </c:pt>
                <c:pt idx="2">
                  <c:v>88%</c:v>
                </c:pt>
                <c:pt idx="3">
                  <c:v>29%</c:v>
                </c:pt>
                <c:pt idx="4">
                  <c:v>42%</c:v>
                </c:pt>
                <c:pt idx="5">
                  <c:v>88%</c:v>
                </c:pt>
                <c:pt idx="6">
                  <c:v>100%</c:v>
                </c:pt>
                <c:pt idx="7">
                  <c:v>100%</c:v>
                </c:pt>
                <c:pt idx="8">
                  <c:v>83%</c:v>
                </c:pt>
                <c:pt idx="9">
                  <c:v>0%</c:v>
                </c:pt>
                <c:pt idx="10">
                  <c:v>96%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79%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HOUSING</c:v>
                </c:pt>
                <c:pt idx="6">
                  <c:v>ST/HO</c:v>
                </c:pt>
                <c:pt idx="7">
                  <c:v>BOTTOM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PAD</c:v>
                </c:pt>
              </c:strCache>
            </c:strRef>
          </c:cat>
          <c:val>
            <c:numRef>
              <c:f>'16'!$AD$6:$AD$22</c:f>
              <c:numCache>
                <c:formatCode>0%</c:formatCode>
                <c:ptCount val="17"/>
                <c:pt idx="0">
                  <c:v>0.41666666666666669</c:v>
                </c:pt>
                <c:pt idx="1">
                  <c:v>0</c:v>
                </c:pt>
                <c:pt idx="2">
                  <c:v>0.875</c:v>
                </c:pt>
                <c:pt idx="3">
                  <c:v>0.29166666666666669</c:v>
                </c:pt>
                <c:pt idx="4">
                  <c:v>0.41666666666666669</c:v>
                </c:pt>
                <c:pt idx="5">
                  <c:v>0.875</c:v>
                </c:pt>
                <c:pt idx="6">
                  <c:v>1</c:v>
                </c:pt>
                <c:pt idx="7">
                  <c:v>1</c:v>
                </c:pt>
                <c:pt idx="8">
                  <c:v>0.83333333333333337</c:v>
                </c:pt>
                <c:pt idx="9">
                  <c:v>0</c:v>
                </c:pt>
                <c:pt idx="10">
                  <c:v>0.95833333333333337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0.79166666666666663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E-471E-88F2-3177E8264F0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4E-471E-88F2-3177E8264F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IC GUIDE</c:v>
                </c:pt>
                <c:pt idx="1">
                  <c:v>ADAPTER</c:v>
                </c:pt>
                <c:pt idx="2">
                  <c:v>STOPPER</c:v>
                </c:pt>
                <c:pt idx="3">
                  <c:v>COVER</c:v>
                </c:pt>
                <c:pt idx="4">
                  <c:v>COVER</c:v>
                </c:pt>
                <c:pt idx="5">
                  <c:v>HOUSING</c:v>
                </c:pt>
                <c:pt idx="6">
                  <c:v>ST/HO</c:v>
                </c:pt>
                <c:pt idx="7">
                  <c:v>BOTTOM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PAD</c:v>
                </c:pt>
              </c:strCache>
            </c:strRef>
          </c:cat>
          <c:val>
            <c:numRef>
              <c:f>'16'!$AE$6:$AE$22</c:f>
              <c:numCache>
                <c:formatCode>0%</c:formatCode>
                <c:ptCount val="17"/>
                <c:pt idx="0">
                  <c:v>0.55637254901960775</c:v>
                </c:pt>
                <c:pt idx="1">
                  <c:v>0.55637254901960775</c:v>
                </c:pt>
                <c:pt idx="2">
                  <c:v>0.55637254901960775</c:v>
                </c:pt>
                <c:pt idx="3">
                  <c:v>0.55637254901960775</c:v>
                </c:pt>
                <c:pt idx="4">
                  <c:v>0.55637254901960775</c:v>
                </c:pt>
                <c:pt idx="5">
                  <c:v>0.55637254901960775</c:v>
                </c:pt>
                <c:pt idx="6">
                  <c:v>0.55637254901960775</c:v>
                </c:pt>
                <c:pt idx="7">
                  <c:v>0.55637254901960775</c:v>
                </c:pt>
                <c:pt idx="8">
                  <c:v>0.55637254901960775</c:v>
                </c:pt>
                <c:pt idx="9">
                  <c:v>0.55637254901960775</c:v>
                </c:pt>
                <c:pt idx="10">
                  <c:v>0.55637254901960775</c:v>
                </c:pt>
                <c:pt idx="11">
                  <c:v>0.55637254901960775</c:v>
                </c:pt>
                <c:pt idx="12">
                  <c:v>0.55637254901960775</c:v>
                </c:pt>
                <c:pt idx="13">
                  <c:v>0.55637254901960775</c:v>
                </c:pt>
                <c:pt idx="14">
                  <c:v>0.55637254901960775</c:v>
                </c:pt>
                <c:pt idx="15">
                  <c:v>0.55637254901960775</c:v>
                </c:pt>
                <c:pt idx="16">
                  <c:v>0.55637254901960775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4E-471E-88F2-3177E8264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7D6-4BD3-9360-CFEDBAFEFC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6-4BD3-9360-CFEDBAFEF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7D6-4BD3-9360-CFEDBAFEFC0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D6-4BD3-9360-CFEDBAFEF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0">
                  <c:v>733</c:v>
                </c:pt>
                <c:pt idx="1">
                  <c:v>5261</c:v>
                </c:pt>
                <c:pt idx="2">
                  <c:v>1756</c:v>
                </c:pt>
                <c:pt idx="3">
                  <c:v>2158</c:v>
                </c:pt>
                <c:pt idx="4">
                  <c:v>8384</c:v>
                </c:pt>
                <c:pt idx="5">
                  <c:v>0</c:v>
                </c:pt>
                <c:pt idx="6">
                  <c:v>328</c:v>
                </c:pt>
                <c:pt idx="7">
                  <c:v>4275</c:v>
                </c:pt>
                <c:pt idx="12">
                  <c:v>3173</c:v>
                </c:pt>
                <c:pt idx="13">
                  <c:v>1334</c:v>
                </c:pt>
                <c:pt idx="14">
                  <c:v>343</c:v>
                </c:pt>
                <c:pt idx="15">
                  <c:v>52844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9-4C42-B79D-7684B49AAC39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733</c:v>
                </c:pt>
                <c:pt idx="1">
                  <c:v>5261</c:v>
                </c:pt>
                <c:pt idx="2">
                  <c:v>1756</c:v>
                </c:pt>
                <c:pt idx="3">
                  <c:v>2158</c:v>
                </c:pt>
                <c:pt idx="4">
                  <c:v>8384</c:v>
                </c:pt>
                <c:pt idx="5">
                  <c:v>5025</c:v>
                </c:pt>
                <c:pt idx="6">
                  <c:v>328</c:v>
                </c:pt>
                <c:pt idx="7">
                  <c:v>4275</c:v>
                </c:pt>
                <c:pt idx="8">
                  <c:v>376</c:v>
                </c:pt>
                <c:pt idx="9">
                  <c:v>4412</c:v>
                </c:pt>
                <c:pt idx="10">
                  <c:v>1640</c:v>
                </c:pt>
                <c:pt idx="11">
                  <c:v>3136</c:v>
                </c:pt>
                <c:pt idx="12">
                  <c:v>3173</c:v>
                </c:pt>
                <c:pt idx="13">
                  <c:v>1334</c:v>
                </c:pt>
                <c:pt idx="14">
                  <c:v>343</c:v>
                </c:pt>
                <c:pt idx="15">
                  <c:v>52844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9-4C42-B79D-7684B49AA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17%</c:v>
                </c:pt>
                <c:pt idx="1">
                  <c:v>96%</c:v>
                </c:pt>
                <c:pt idx="2">
                  <c:v>38%</c:v>
                </c:pt>
                <c:pt idx="3">
                  <c:v>42%</c:v>
                </c:pt>
                <c:pt idx="4">
                  <c:v>100%</c:v>
                </c:pt>
                <c:pt idx="5">
                  <c:v>0%</c:v>
                </c:pt>
                <c:pt idx="6">
                  <c:v>17%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75%</c:v>
                </c:pt>
                <c:pt idx="13">
                  <c:v>38%</c:v>
                </c:pt>
                <c:pt idx="14">
                  <c:v>17%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0.16666666666666666</c:v>
                </c:pt>
                <c:pt idx="1">
                  <c:v>0.95833333333333337</c:v>
                </c:pt>
                <c:pt idx="2">
                  <c:v>0.375</c:v>
                </c:pt>
                <c:pt idx="3">
                  <c:v>0.41666666666666669</c:v>
                </c:pt>
                <c:pt idx="4">
                  <c:v>1</c:v>
                </c:pt>
                <c:pt idx="5">
                  <c:v>0</c:v>
                </c:pt>
                <c:pt idx="6">
                  <c:v>0.16666666666666666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0.75</c:v>
                </c:pt>
                <c:pt idx="13">
                  <c:v>0.375</c:v>
                </c:pt>
                <c:pt idx="14">
                  <c:v>0.16666666666666666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C-42E6-80CF-2E4ED78F9BA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6DC-42E6-80CF-2E4ED78F9BA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0.39062500000000006</c:v>
                </c:pt>
                <c:pt idx="1">
                  <c:v>0.39062500000000006</c:v>
                </c:pt>
                <c:pt idx="2">
                  <c:v>0.39062500000000006</c:v>
                </c:pt>
                <c:pt idx="3">
                  <c:v>0.39062500000000006</c:v>
                </c:pt>
                <c:pt idx="4">
                  <c:v>0.39062500000000006</c:v>
                </c:pt>
                <c:pt idx="5">
                  <c:v>0.39062500000000006</c:v>
                </c:pt>
                <c:pt idx="6">
                  <c:v>0.39062500000000006</c:v>
                </c:pt>
                <c:pt idx="7">
                  <c:v>0.39062500000000006</c:v>
                </c:pt>
                <c:pt idx="8">
                  <c:v>0.39062500000000006</c:v>
                </c:pt>
                <c:pt idx="9">
                  <c:v>0.39062500000000006</c:v>
                </c:pt>
                <c:pt idx="10">
                  <c:v>0.39062500000000006</c:v>
                </c:pt>
                <c:pt idx="11">
                  <c:v>0.39062500000000006</c:v>
                </c:pt>
                <c:pt idx="12">
                  <c:v>0.39062500000000006</c:v>
                </c:pt>
                <c:pt idx="13">
                  <c:v>0.39062500000000006</c:v>
                </c:pt>
                <c:pt idx="14">
                  <c:v>0.39062500000000006</c:v>
                </c:pt>
                <c:pt idx="15">
                  <c:v>0.39062500000000006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DC-42E6-80CF-2E4ED78F9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0">
                  <c:v>733</c:v>
                </c:pt>
                <c:pt idx="1">
                  <c:v>5261</c:v>
                </c:pt>
                <c:pt idx="2">
                  <c:v>1756</c:v>
                </c:pt>
                <c:pt idx="3">
                  <c:v>2158</c:v>
                </c:pt>
                <c:pt idx="4">
                  <c:v>8384</c:v>
                </c:pt>
                <c:pt idx="5">
                  <c:v>0</c:v>
                </c:pt>
                <c:pt idx="6">
                  <c:v>328</c:v>
                </c:pt>
                <c:pt idx="7">
                  <c:v>4275</c:v>
                </c:pt>
                <c:pt idx="12">
                  <c:v>3173</c:v>
                </c:pt>
                <c:pt idx="13">
                  <c:v>1334</c:v>
                </c:pt>
                <c:pt idx="14">
                  <c:v>343</c:v>
                </c:pt>
                <c:pt idx="15">
                  <c:v>52844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5-477C-9ABA-1AB55C136CFF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733</c:v>
                </c:pt>
                <c:pt idx="1">
                  <c:v>5261</c:v>
                </c:pt>
                <c:pt idx="2">
                  <c:v>1756</c:v>
                </c:pt>
                <c:pt idx="3">
                  <c:v>2158</c:v>
                </c:pt>
                <c:pt idx="4">
                  <c:v>8384</c:v>
                </c:pt>
                <c:pt idx="5">
                  <c:v>5025</c:v>
                </c:pt>
                <c:pt idx="6">
                  <c:v>328</c:v>
                </c:pt>
                <c:pt idx="7">
                  <c:v>4275</c:v>
                </c:pt>
                <c:pt idx="8">
                  <c:v>376</c:v>
                </c:pt>
                <c:pt idx="9">
                  <c:v>4412</c:v>
                </c:pt>
                <c:pt idx="10">
                  <c:v>1640</c:v>
                </c:pt>
                <c:pt idx="11">
                  <c:v>3136</c:v>
                </c:pt>
                <c:pt idx="12">
                  <c:v>3173</c:v>
                </c:pt>
                <c:pt idx="13">
                  <c:v>1334</c:v>
                </c:pt>
                <c:pt idx="14">
                  <c:v>343</c:v>
                </c:pt>
                <c:pt idx="15">
                  <c:v>52844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5-477C-9ABA-1AB55C136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17%</c:v>
                </c:pt>
                <c:pt idx="1">
                  <c:v>96%</c:v>
                </c:pt>
                <c:pt idx="2">
                  <c:v>38%</c:v>
                </c:pt>
                <c:pt idx="3">
                  <c:v>42%</c:v>
                </c:pt>
                <c:pt idx="4">
                  <c:v>100%</c:v>
                </c:pt>
                <c:pt idx="5">
                  <c:v>0%</c:v>
                </c:pt>
                <c:pt idx="6">
                  <c:v>17%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75%</c:v>
                </c:pt>
                <c:pt idx="13">
                  <c:v>38%</c:v>
                </c:pt>
                <c:pt idx="14">
                  <c:v>17%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0.16666666666666666</c:v>
                </c:pt>
                <c:pt idx="1">
                  <c:v>0.95833333333333337</c:v>
                </c:pt>
                <c:pt idx="2">
                  <c:v>0.375</c:v>
                </c:pt>
                <c:pt idx="3">
                  <c:v>0.41666666666666669</c:v>
                </c:pt>
                <c:pt idx="4">
                  <c:v>1</c:v>
                </c:pt>
                <c:pt idx="5">
                  <c:v>0</c:v>
                </c:pt>
                <c:pt idx="6">
                  <c:v>0.16666666666666666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0.75</c:v>
                </c:pt>
                <c:pt idx="13">
                  <c:v>0.375</c:v>
                </c:pt>
                <c:pt idx="14">
                  <c:v>0.16666666666666666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5-4C40-A9D3-0A91B846815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05-4C40-A9D3-0A91B846815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0.39062500000000006</c:v>
                </c:pt>
                <c:pt idx="1">
                  <c:v>0.39062500000000006</c:v>
                </c:pt>
                <c:pt idx="2">
                  <c:v>0.39062500000000006</c:v>
                </c:pt>
                <c:pt idx="3">
                  <c:v>0.39062500000000006</c:v>
                </c:pt>
                <c:pt idx="4">
                  <c:v>0.39062500000000006</c:v>
                </c:pt>
                <c:pt idx="5">
                  <c:v>0.39062500000000006</c:v>
                </c:pt>
                <c:pt idx="6">
                  <c:v>0.39062500000000006</c:v>
                </c:pt>
                <c:pt idx="7">
                  <c:v>0.39062500000000006</c:v>
                </c:pt>
                <c:pt idx="8">
                  <c:v>0.39062500000000006</c:v>
                </c:pt>
                <c:pt idx="9">
                  <c:v>0.39062500000000006</c:v>
                </c:pt>
                <c:pt idx="10">
                  <c:v>0.39062500000000006</c:v>
                </c:pt>
                <c:pt idx="11">
                  <c:v>0.39062500000000006</c:v>
                </c:pt>
                <c:pt idx="12">
                  <c:v>0.39062500000000006</c:v>
                </c:pt>
                <c:pt idx="13">
                  <c:v>0.39062500000000006</c:v>
                </c:pt>
                <c:pt idx="14">
                  <c:v>0.39062500000000006</c:v>
                </c:pt>
                <c:pt idx="15">
                  <c:v>0.39062500000000006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C40-A9D3-0A91B8468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BF1-4988-9BD6-55182DB1FD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F1-4988-9BD6-55182DB1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BF1-4988-9BD6-55182DB1FD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F1-4988-9BD6-55182DB1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'19'!$L$6:$L$22</c:f>
              <c:numCache>
                <c:formatCode>_(* #,##0_);_(* \(#,##0\);_(* "-"_);_(@_)</c:formatCode>
                <c:ptCount val="17"/>
                <c:pt idx="1">
                  <c:v>3227</c:v>
                </c:pt>
                <c:pt idx="2">
                  <c:v>3035</c:v>
                </c:pt>
                <c:pt idx="4">
                  <c:v>8688</c:v>
                </c:pt>
                <c:pt idx="5">
                  <c:v>23772</c:v>
                </c:pt>
                <c:pt idx="6">
                  <c:v>2147</c:v>
                </c:pt>
                <c:pt idx="7">
                  <c:v>1757</c:v>
                </c:pt>
                <c:pt idx="8">
                  <c:v>9354</c:v>
                </c:pt>
                <c:pt idx="13">
                  <c:v>3143</c:v>
                </c:pt>
                <c:pt idx="14">
                  <c:v>5589</c:v>
                </c:pt>
                <c:pt idx="16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3-4846-9E51-697D92B5889C}"/>
            </c:ext>
          </c:extLst>
        </c:ser>
        <c:ser>
          <c:idx val="1"/>
          <c:order val="1"/>
          <c:tx>
            <c:v>계획</c:v>
          </c:tx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'19'!$J$6:$J$22</c:f>
              <c:numCache>
                <c:formatCode>_(* #,##0_);_(* \(#,##0\);_(* "-"_);_(@_)</c:formatCode>
                <c:ptCount val="17"/>
                <c:pt idx="0">
                  <c:v>733</c:v>
                </c:pt>
                <c:pt idx="1">
                  <c:v>3227</c:v>
                </c:pt>
                <c:pt idx="2">
                  <c:v>3035</c:v>
                </c:pt>
                <c:pt idx="3">
                  <c:v>2158</c:v>
                </c:pt>
                <c:pt idx="4">
                  <c:v>8688</c:v>
                </c:pt>
                <c:pt idx="5">
                  <c:v>23772</c:v>
                </c:pt>
                <c:pt idx="6">
                  <c:v>2147</c:v>
                </c:pt>
                <c:pt idx="7">
                  <c:v>1757</c:v>
                </c:pt>
                <c:pt idx="8">
                  <c:v>9354</c:v>
                </c:pt>
                <c:pt idx="9">
                  <c:v>376</c:v>
                </c:pt>
                <c:pt idx="10">
                  <c:v>4412</c:v>
                </c:pt>
                <c:pt idx="11">
                  <c:v>1640</c:v>
                </c:pt>
                <c:pt idx="12">
                  <c:v>3136</c:v>
                </c:pt>
                <c:pt idx="13">
                  <c:v>3143</c:v>
                </c:pt>
                <c:pt idx="14">
                  <c:v>5589</c:v>
                </c:pt>
                <c:pt idx="15">
                  <c:v>343</c:v>
                </c:pt>
                <c:pt idx="16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3-4846-9E51-697D92B58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'19'!$AD$6:$AD$22</c:f>
              <c:strCache>
                <c:ptCount val="17"/>
                <c:pt idx="0">
                  <c:v>0%</c:v>
                </c:pt>
                <c:pt idx="1">
                  <c:v>58%</c:v>
                </c:pt>
                <c:pt idx="2">
                  <c:v>75%</c:v>
                </c:pt>
                <c:pt idx="3">
                  <c:v>0%</c:v>
                </c:pt>
                <c:pt idx="4">
                  <c:v>100%</c:v>
                </c:pt>
                <c:pt idx="5">
                  <c:v>67%</c:v>
                </c:pt>
                <c:pt idx="6">
                  <c:v>50%</c:v>
                </c:pt>
                <c:pt idx="7">
                  <c:v>33%</c:v>
                </c:pt>
                <c:pt idx="8">
                  <c:v>63%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58%</c:v>
                </c:pt>
                <c:pt idx="14">
                  <c:v>100%</c:v>
                </c:pt>
                <c:pt idx="15">
                  <c:v>0%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'19'!$AD$6:$AD$22</c:f>
              <c:numCache>
                <c:formatCode>0%</c:formatCode>
                <c:ptCount val="17"/>
                <c:pt idx="0">
                  <c:v>0</c:v>
                </c:pt>
                <c:pt idx="1">
                  <c:v>0.58333333333333337</c:v>
                </c:pt>
                <c:pt idx="2">
                  <c:v>0.75</c:v>
                </c:pt>
                <c:pt idx="3">
                  <c:v>0</c:v>
                </c:pt>
                <c:pt idx="4">
                  <c:v>1</c:v>
                </c:pt>
                <c:pt idx="5">
                  <c:v>0.66666666666666663</c:v>
                </c:pt>
                <c:pt idx="6">
                  <c:v>0.5</c:v>
                </c:pt>
                <c:pt idx="7">
                  <c:v>0.33333333333333331</c:v>
                </c:pt>
                <c:pt idx="8">
                  <c:v>0.625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0.58333333333333337</c:v>
                </c:pt>
                <c:pt idx="14">
                  <c:v>1</c:v>
                </c:pt>
                <c:pt idx="15">
                  <c:v>0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AF-4DEB-8A85-083B47599A5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AF-4DEB-8A85-083B47599A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'19'!$AE$6:$AE$22</c:f>
              <c:numCache>
                <c:formatCode>0%</c:formatCode>
                <c:ptCount val="17"/>
                <c:pt idx="0">
                  <c:v>0.37990196078431376</c:v>
                </c:pt>
                <c:pt idx="1">
                  <c:v>0.37990196078431376</c:v>
                </c:pt>
                <c:pt idx="2">
                  <c:v>0.37990196078431376</c:v>
                </c:pt>
                <c:pt idx="3">
                  <c:v>0.37990196078431376</c:v>
                </c:pt>
                <c:pt idx="4">
                  <c:v>0.37990196078431376</c:v>
                </c:pt>
                <c:pt idx="5">
                  <c:v>0.37990196078431376</c:v>
                </c:pt>
                <c:pt idx="6">
                  <c:v>0.37990196078431376</c:v>
                </c:pt>
                <c:pt idx="7">
                  <c:v>0.37990196078431376</c:v>
                </c:pt>
                <c:pt idx="8">
                  <c:v>0.37990196078431376</c:v>
                </c:pt>
                <c:pt idx="9">
                  <c:v>0.37990196078431376</c:v>
                </c:pt>
                <c:pt idx="10">
                  <c:v>0.37990196078431376</c:v>
                </c:pt>
                <c:pt idx="11">
                  <c:v>0.37990196078431376</c:v>
                </c:pt>
                <c:pt idx="12">
                  <c:v>0.37990196078431376</c:v>
                </c:pt>
                <c:pt idx="13">
                  <c:v>0.37990196078431376</c:v>
                </c:pt>
                <c:pt idx="14">
                  <c:v>0.37990196078431376</c:v>
                </c:pt>
                <c:pt idx="15">
                  <c:v>0.37990196078431376</c:v>
                </c:pt>
                <c:pt idx="16">
                  <c:v>0.37990196078431376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AF-4DEB-8A85-083B47599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'19'!$L$6:$L$22</c:f>
              <c:numCache>
                <c:formatCode>_(* #,##0_);_(* \(#,##0\);_(* "-"_);_(@_)</c:formatCode>
                <c:ptCount val="17"/>
                <c:pt idx="1">
                  <c:v>3227</c:v>
                </c:pt>
                <c:pt idx="2">
                  <c:v>3035</c:v>
                </c:pt>
                <c:pt idx="4">
                  <c:v>8688</c:v>
                </c:pt>
                <c:pt idx="5">
                  <c:v>23772</c:v>
                </c:pt>
                <c:pt idx="6">
                  <c:v>2147</c:v>
                </c:pt>
                <c:pt idx="7">
                  <c:v>1757</c:v>
                </c:pt>
                <c:pt idx="8">
                  <c:v>9354</c:v>
                </c:pt>
                <c:pt idx="13">
                  <c:v>3143</c:v>
                </c:pt>
                <c:pt idx="14">
                  <c:v>5589</c:v>
                </c:pt>
                <c:pt idx="16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DE-4C2E-BEC4-7C3211D7296E}"/>
            </c:ext>
          </c:extLst>
        </c:ser>
        <c:ser>
          <c:idx val="1"/>
          <c:order val="1"/>
          <c:tx>
            <c:v>계획</c:v>
          </c:tx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'19'!$J$6:$J$22</c:f>
              <c:numCache>
                <c:formatCode>_(* #,##0_);_(* \(#,##0\);_(* "-"_);_(@_)</c:formatCode>
                <c:ptCount val="17"/>
                <c:pt idx="0">
                  <c:v>733</c:v>
                </c:pt>
                <c:pt idx="1">
                  <c:v>3227</c:v>
                </c:pt>
                <c:pt idx="2">
                  <c:v>3035</c:v>
                </c:pt>
                <c:pt idx="3">
                  <c:v>2158</c:v>
                </c:pt>
                <c:pt idx="4">
                  <c:v>8688</c:v>
                </c:pt>
                <c:pt idx="5">
                  <c:v>23772</c:v>
                </c:pt>
                <c:pt idx="6">
                  <c:v>2147</c:v>
                </c:pt>
                <c:pt idx="7">
                  <c:v>1757</c:v>
                </c:pt>
                <c:pt idx="8">
                  <c:v>9354</c:v>
                </c:pt>
                <c:pt idx="9">
                  <c:v>376</c:v>
                </c:pt>
                <c:pt idx="10">
                  <c:v>4412</c:v>
                </c:pt>
                <c:pt idx="11">
                  <c:v>1640</c:v>
                </c:pt>
                <c:pt idx="12">
                  <c:v>3136</c:v>
                </c:pt>
                <c:pt idx="13">
                  <c:v>3143</c:v>
                </c:pt>
                <c:pt idx="14">
                  <c:v>5589</c:v>
                </c:pt>
                <c:pt idx="15">
                  <c:v>343</c:v>
                </c:pt>
                <c:pt idx="16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DE-4C2E-BEC4-7C3211D72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'19'!$AD$6:$AD$22</c:f>
              <c:strCache>
                <c:ptCount val="17"/>
                <c:pt idx="0">
                  <c:v>0%</c:v>
                </c:pt>
                <c:pt idx="1">
                  <c:v>58%</c:v>
                </c:pt>
                <c:pt idx="2">
                  <c:v>75%</c:v>
                </c:pt>
                <c:pt idx="3">
                  <c:v>0%</c:v>
                </c:pt>
                <c:pt idx="4">
                  <c:v>100%</c:v>
                </c:pt>
                <c:pt idx="5">
                  <c:v>67%</c:v>
                </c:pt>
                <c:pt idx="6">
                  <c:v>50%</c:v>
                </c:pt>
                <c:pt idx="7">
                  <c:v>33%</c:v>
                </c:pt>
                <c:pt idx="8">
                  <c:v>63%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58%</c:v>
                </c:pt>
                <c:pt idx="14">
                  <c:v>100%</c:v>
                </c:pt>
                <c:pt idx="15">
                  <c:v>0%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'19'!$AD$6:$AD$22</c:f>
              <c:numCache>
                <c:formatCode>0%</c:formatCode>
                <c:ptCount val="17"/>
                <c:pt idx="0">
                  <c:v>0</c:v>
                </c:pt>
                <c:pt idx="1">
                  <c:v>0.58333333333333337</c:v>
                </c:pt>
                <c:pt idx="2">
                  <c:v>0.75</c:v>
                </c:pt>
                <c:pt idx="3">
                  <c:v>0</c:v>
                </c:pt>
                <c:pt idx="4">
                  <c:v>1</c:v>
                </c:pt>
                <c:pt idx="5">
                  <c:v>0.66666666666666663</c:v>
                </c:pt>
                <c:pt idx="6">
                  <c:v>0.5</c:v>
                </c:pt>
                <c:pt idx="7">
                  <c:v>0.33333333333333331</c:v>
                </c:pt>
                <c:pt idx="8">
                  <c:v>0.625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0.58333333333333337</c:v>
                </c:pt>
                <c:pt idx="14">
                  <c:v>1</c:v>
                </c:pt>
                <c:pt idx="15">
                  <c:v>0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2-439B-9B1D-14BA3DB4A52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22-439B-9B1D-14BA3DB4A5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COVER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'19'!$AE$6:$AE$22</c:f>
              <c:numCache>
                <c:formatCode>0%</c:formatCode>
                <c:ptCount val="17"/>
                <c:pt idx="0">
                  <c:v>0.37990196078431376</c:v>
                </c:pt>
                <c:pt idx="1">
                  <c:v>0.37990196078431376</c:v>
                </c:pt>
                <c:pt idx="2">
                  <c:v>0.37990196078431376</c:v>
                </c:pt>
                <c:pt idx="3">
                  <c:v>0.37990196078431376</c:v>
                </c:pt>
                <c:pt idx="4">
                  <c:v>0.37990196078431376</c:v>
                </c:pt>
                <c:pt idx="5">
                  <c:v>0.37990196078431376</c:v>
                </c:pt>
                <c:pt idx="6">
                  <c:v>0.37990196078431376</c:v>
                </c:pt>
                <c:pt idx="7">
                  <c:v>0.37990196078431376</c:v>
                </c:pt>
                <c:pt idx="8">
                  <c:v>0.37990196078431376</c:v>
                </c:pt>
                <c:pt idx="9">
                  <c:v>0.37990196078431376</c:v>
                </c:pt>
                <c:pt idx="10">
                  <c:v>0.37990196078431376</c:v>
                </c:pt>
                <c:pt idx="11">
                  <c:v>0.37990196078431376</c:v>
                </c:pt>
                <c:pt idx="12">
                  <c:v>0.37990196078431376</c:v>
                </c:pt>
                <c:pt idx="13">
                  <c:v>0.37990196078431376</c:v>
                </c:pt>
                <c:pt idx="14">
                  <c:v>0.37990196078431376</c:v>
                </c:pt>
                <c:pt idx="15">
                  <c:v>0.37990196078431376</c:v>
                </c:pt>
                <c:pt idx="16">
                  <c:v>0.37990196078431376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22-439B-9B1D-14BA3DB4A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276-45C5-84A7-2B7E69C50E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6-45C5-84A7-2B7E69C5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276-45C5-84A7-2B7E69C50E2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76-45C5-84A7-2B7E69C5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2">
                  <c:v>3563</c:v>
                </c:pt>
                <c:pt idx="4">
                  <c:v>8842</c:v>
                </c:pt>
                <c:pt idx="5">
                  <c:v>36740</c:v>
                </c:pt>
                <c:pt idx="6">
                  <c:v>4027</c:v>
                </c:pt>
                <c:pt idx="7">
                  <c:v>15468</c:v>
                </c:pt>
                <c:pt idx="12">
                  <c:v>5226</c:v>
                </c:pt>
                <c:pt idx="13">
                  <c:v>5531</c:v>
                </c:pt>
                <c:pt idx="14">
                  <c:v>2370</c:v>
                </c:pt>
                <c:pt idx="15">
                  <c:v>23892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B-488F-BC6F-AC92BDE907E4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733</c:v>
                </c:pt>
                <c:pt idx="1">
                  <c:v>3227</c:v>
                </c:pt>
                <c:pt idx="2">
                  <c:v>3563</c:v>
                </c:pt>
                <c:pt idx="3">
                  <c:v>2158</c:v>
                </c:pt>
                <c:pt idx="4">
                  <c:v>8842</c:v>
                </c:pt>
                <c:pt idx="5">
                  <c:v>36740</c:v>
                </c:pt>
                <c:pt idx="6">
                  <c:v>4027</c:v>
                </c:pt>
                <c:pt idx="7">
                  <c:v>15468</c:v>
                </c:pt>
                <c:pt idx="8">
                  <c:v>376</c:v>
                </c:pt>
                <c:pt idx="9">
                  <c:v>4412</c:v>
                </c:pt>
                <c:pt idx="10">
                  <c:v>1640</c:v>
                </c:pt>
                <c:pt idx="11">
                  <c:v>3136</c:v>
                </c:pt>
                <c:pt idx="12">
                  <c:v>5226</c:v>
                </c:pt>
                <c:pt idx="13">
                  <c:v>5531</c:v>
                </c:pt>
                <c:pt idx="14">
                  <c:v>2370</c:v>
                </c:pt>
                <c:pt idx="15">
                  <c:v>23892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B-488F-BC6F-AC92BDE90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83%</c:v>
                </c:pt>
                <c:pt idx="3">
                  <c:v>0%</c:v>
                </c:pt>
                <c:pt idx="4">
                  <c:v>100%</c:v>
                </c:pt>
                <c:pt idx="5">
                  <c:v>75%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50%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0.83333333333333337</c:v>
                </c:pt>
                <c:pt idx="3">
                  <c:v>0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2D-42DB-B77F-F03037AF19C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2D-42DB-B77F-F03037AF19C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0.46875000000000006</c:v>
                </c:pt>
                <c:pt idx="1">
                  <c:v>0.46875000000000006</c:v>
                </c:pt>
                <c:pt idx="2">
                  <c:v>0.46875000000000006</c:v>
                </c:pt>
                <c:pt idx="3">
                  <c:v>0.46875000000000006</c:v>
                </c:pt>
                <c:pt idx="4">
                  <c:v>0.46875000000000006</c:v>
                </c:pt>
                <c:pt idx="5">
                  <c:v>0.46875000000000006</c:v>
                </c:pt>
                <c:pt idx="6">
                  <c:v>0.46875000000000006</c:v>
                </c:pt>
                <c:pt idx="7">
                  <c:v>0.46875000000000006</c:v>
                </c:pt>
                <c:pt idx="8">
                  <c:v>0.46875000000000006</c:v>
                </c:pt>
                <c:pt idx="9">
                  <c:v>0.46875000000000006</c:v>
                </c:pt>
                <c:pt idx="10">
                  <c:v>0.46875000000000006</c:v>
                </c:pt>
                <c:pt idx="11">
                  <c:v>0.46875000000000006</c:v>
                </c:pt>
                <c:pt idx="12">
                  <c:v>0.46875000000000006</c:v>
                </c:pt>
                <c:pt idx="13">
                  <c:v>0.46875000000000006</c:v>
                </c:pt>
                <c:pt idx="14">
                  <c:v>0.46875000000000006</c:v>
                </c:pt>
                <c:pt idx="15">
                  <c:v>0.46875000000000006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2D-42DB-B77F-F03037AF1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2">
                  <c:v>3563</c:v>
                </c:pt>
                <c:pt idx="4">
                  <c:v>8842</c:v>
                </c:pt>
                <c:pt idx="5">
                  <c:v>36740</c:v>
                </c:pt>
                <c:pt idx="6">
                  <c:v>4027</c:v>
                </c:pt>
                <c:pt idx="7">
                  <c:v>15468</c:v>
                </c:pt>
                <c:pt idx="12">
                  <c:v>5226</c:v>
                </c:pt>
                <c:pt idx="13">
                  <c:v>5531</c:v>
                </c:pt>
                <c:pt idx="14">
                  <c:v>2370</c:v>
                </c:pt>
                <c:pt idx="15">
                  <c:v>23892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9-4AFD-AD78-400E01A3A038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733</c:v>
                </c:pt>
                <c:pt idx="1">
                  <c:v>3227</c:v>
                </c:pt>
                <c:pt idx="2">
                  <c:v>3563</c:v>
                </c:pt>
                <c:pt idx="3">
                  <c:v>2158</c:v>
                </c:pt>
                <c:pt idx="4">
                  <c:v>8842</c:v>
                </c:pt>
                <c:pt idx="5">
                  <c:v>36740</c:v>
                </c:pt>
                <c:pt idx="6">
                  <c:v>4027</c:v>
                </c:pt>
                <c:pt idx="7">
                  <c:v>15468</c:v>
                </c:pt>
                <c:pt idx="8">
                  <c:v>376</c:v>
                </c:pt>
                <c:pt idx="9">
                  <c:v>4412</c:v>
                </c:pt>
                <c:pt idx="10">
                  <c:v>1640</c:v>
                </c:pt>
                <c:pt idx="11">
                  <c:v>3136</c:v>
                </c:pt>
                <c:pt idx="12">
                  <c:v>5226</c:v>
                </c:pt>
                <c:pt idx="13">
                  <c:v>5531</c:v>
                </c:pt>
                <c:pt idx="14">
                  <c:v>2370</c:v>
                </c:pt>
                <c:pt idx="15">
                  <c:v>23892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99-4AFD-AD78-400E01A3A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83%</c:v>
                </c:pt>
                <c:pt idx="3">
                  <c:v>0%</c:v>
                </c:pt>
                <c:pt idx="4">
                  <c:v>100%</c:v>
                </c:pt>
                <c:pt idx="5">
                  <c:v>75%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50%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0.83333333333333337</c:v>
                </c:pt>
                <c:pt idx="3">
                  <c:v>0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EA-48D2-AD97-03DDD750F9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EA-48D2-AD97-03DDD750F9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LEAD GUIDE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COVER</c:v>
                </c:pt>
                <c:pt idx="12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0.46875000000000006</c:v>
                </c:pt>
                <c:pt idx="1">
                  <c:v>0.46875000000000006</c:v>
                </c:pt>
                <c:pt idx="2">
                  <c:v>0.46875000000000006</c:v>
                </c:pt>
                <c:pt idx="3">
                  <c:v>0.46875000000000006</c:v>
                </c:pt>
                <c:pt idx="4">
                  <c:v>0.46875000000000006</c:v>
                </c:pt>
                <c:pt idx="5">
                  <c:v>0.46875000000000006</c:v>
                </c:pt>
                <c:pt idx="6">
                  <c:v>0.46875000000000006</c:v>
                </c:pt>
                <c:pt idx="7">
                  <c:v>0.46875000000000006</c:v>
                </c:pt>
                <c:pt idx="8">
                  <c:v>0.46875000000000006</c:v>
                </c:pt>
                <c:pt idx="9">
                  <c:v>0.46875000000000006</c:v>
                </c:pt>
                <c:pt idx="10">
                  <c:v>0.46875000000000006</c:v>
                </c:pt>
                <c:pt idx="11">
                  <c:v>0.46875000000000006</c:v>
                </c:pt>
                <c:pt idx="12">
                  <c:v>0.46875000000000006</c:v>
                </c:pt>
                <c:pt idx="13">
                  <c:v>0.46875000000000006</c:v>
                </c:pt>
                <c:pt idx="14">
                  <c:v>0.46875000000000006</c:v>
                </c:pt>
                <c:pt idx="15">
                  <c:v>0.46875000000000006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EA-48D2-AD97-03DDD750F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B24-4B6B-91BA-53739160C2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24-4B6B-91BA-53739160C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B24-4B6B-91BA-53739160C24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24-4B6B-91BA-53739160C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F/A</c:v>
                </c:pt>
                <c:pt idx="12">
                  <c:v>BASE</c:v>
                </c:pt>
                <c:pt idx="13">
                  <c:v>STOPPER</c:v>
                </c:pt>
                <c:pt idx="14">
                  <c:v>SLIDER</c:v>
                </c:pt>
                <c:pt idx="15">
                  <c:v>LEAD GUIDE</c:v>
                </c:pt>
              </c:strCache>
            </c:strRef>
          </c:cat>
          <c:val>
            <c:numRef>
              <c:f>'21'!$L$6:$L$22</c:f>
              <c:numCache>
                <c:formatCode>_(* #,##0_);_(* \(#,##0\);_(* "-"_);_(@_)</c:formatCode>
                <c:ptCount val="17"/>
                <c:pt idx="2">
                  <c:v>1503</c:v>
                </c:pt>
                <c:pt idx="3">
                  <c:v>2175</c:v>
                </c:pt>
                <c:pt idx="4">
                  <c:v>5006</c:v>
                </c:pt>
                <c:pt idx="5">
                  <c:v>61170</c:v>
                </c:pt>
                <c:pt idx="6">
                  <c:v>5018</c:v>
                </c:pt>
                <c:pt idx="7">
                  <c:v>14979</c:v>
                </c:pt>
                <c:pt idx="8">
                  <c:v>2880</c:v>
                </c:pt>
                <c:pt idx="11">
                  <c:v>677</c:v>
                </c:pt>
                <c:pt idx="12">
                  <c:v>5251</c:v>
                </c:pt>
                <c:pt idx="13">
                  <c:v>584</c:v>
                </c:pt>
                <c:pt idx="14">
                  <c:v>2034</c:v>
                </c:pt>
                <c:pt idx="15">
                  <c:v>4824</c:v>
                </c:pt>
                <c:pt idx="16">
                  <c:v>66912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16-40C8-AC63-E1E5521ED481}"/>
            </c:ext>
          </c:extLst>
        </c:ser>
        <c:ser>
          <c:idx val="1"/>
          <c:order val="1"/>
          <c:tx>
            <c:v>계획</c:v>
          </c:tx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F/A</c:v>
                </c:pt>
                <c:pt idx="12">
                  <c:v>BASE</c:v>
                </c:pt>
                <c:pt idx="13">
                  <c:v>STOPPER</c:v>
                </c:pt>
                <c:pt idx="14">
                  <c:v>SLIDER</c:v>
                </c:pt>
                <c:pt idx="15">
                  <c:v>LEAD GUIDE</c:v>
                </c:pt>
              </c:strCache>
            </c:strRef>
          </c:cat>
          <c:val>
            <c:numRef>
              <c:f>'21'!$J$6:$J$22</c:f>
              <c:numCache>
                <c:formatCode>_(* #,##0_);_(* \(#,##0\);_(* "-"_);_(@_)</c:formatCode>
                <c:ptCount val="17"/>
                <c:pt idx="0">
                  <c:v>733</c:v>
                </c:pt>
                <c:pt idx="1">
                  <c:v>3227</c:v>
                </c:pt>
                <c:pt idx="2">
                  <c:v>1503</c:v>
                </c:pt>
                <c:pt idx="3">
                  <c:v>2175</c:v>
                </c:pt>
                <c:pt idx="4">
                  <c:v>5006</c:v>
                </c:pt>
                <c:pt idx="5">
                  <c:v>61170</c:v>
                </c:pt>
                <c:pt idx="6">
                  <c:v>5018</c:v>
                </c:pt>
                <c:pt idx="7">
                  <c:v>14979</c:v>
                </c:pt>
                <c:pt idx="8">
                  <c:v>2880</c:v>
                </c:pt>
                <c:pt idx="9">
                  <c:v>4412</c:v>
                </c:pt>
                <c:pt idx="10">
                  <c:v>1640</c:v>
                </c:pt>
                <c:pt idx="11">
                  <c:v>677</c:v>
                </c:pt>
                <c:pt idx="12">
                  <c:v>5251</c:v>
                </c:pt>
                <c:pt idx="13">
                  <c:v>584</c:v>
                </c:pt>
                <c:pt idx="14">
                  <c:v>2034</c:v>
                </c:pt>
                <c:pt idx="15">
                  <c:v>4824</c:v>
                </c:pt>
                <c:pt idx="16">
                  <c:v>66912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16-40C8-AC63-E1E5521ED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38%</c:v>
                </c:pt>
                <c:pt idx="3">
                  <c:v>54%</c:v>
                </c:pt>
                <c:pt idx="4">
                  <c:v>67%</c:v>
                </c:pt>
                <c:pt idx="5">
                  <c:v>100%</c:v>
                </c:pt>
                <c:pt idx="6">
                  <c:v>100%</c:v>
                </c:pt>
                <c:pt idx="7">
                  <c:v>92%</c:v>
                </c:pt>
                <c:pt idx="8">
                  <c:v>42%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100%</c:v>
                </c:pt>
                <c:pt idx="13">
                  <c:v>21%</c:v>
                </c:pt>
                <c:pt idx="14">
                  <c:v>63%</c:v>
                </c:pt>
                <c:pt idx="15">
                  <c:v>29%</c:v>
                </c:pt>
                <c:pt idx="16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F/A</c:v>
                </c:pt>
                <c:pt idx="12">
                  <c:v>BASE</c:v>
                </c:pt>
                <c:pt idx="13">
                  <c:v>STOPPER</c:v>
                </c:pt>
                <c:pt idx="14">
                  <c:v>SLIDER</c:v>
                </c:pt>
                <c:pt idx="15">
                  <c:v>LEAD GUIDE</c:v>
                </c:pt>
              </c:strCache>
            </c:strRef>
          </c:cat>
          <c:val>
            <c:numRef>
              <c:f>'21'!$AD$6:$AD$22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0.375</c:v>
                </c:pt>
                <c:pt idx="3">
                  <c:v>0.54166666666666663</c:v>
                </c:pt>
                <c:pt idx="4">
                  <c:v>0.66666666666666663</c:v>
                </c:pt>
                <c:pt idx="5">
                  <c:v>1</c:v>
                </c:pt>
                <c:pt idx="6">
                  <c:v>1</c:v>
                </c:pt>
                <c:pt idx="7">
                  <c:v>0.91666666666666663</c:v>
                </c:pt>
                <c:pt idx="8">
                  <c:v>0.41666666666666669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1</c:v>
                </c:pt>
                <c:pt idx="13">
                  <c:v>0.20833333333333334</c:v>
                </c:pt>
                <c:pt idx="14">
                  <c:v>0.625</c:v>
                </c:pt>
                <c:pt idx="15">
                  <c:v>0.29166666666666669</c:v>
                </c:pt>
                <c:pt idx="16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8-4AAA-B420-86D1805F639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88-4AAA-B420-86D1805F63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F/A</c:v>
                </c:pt>
                <c:pt idx="12">
                  <c:v>BASE</c:v>
                </c:pt>
                <c:pt idx="13">
                  <c:v>STOPPER</c:v>
                </c:pt>
                <c:pt idx="14">
                  <c:v>SLIDER</c:v>
                </c:pt>
                <c:pt idx="15">
                  <c:v>LEAD GUIDE</c:v>
                </c:pt>
              </c:strCache>
            </c:strRef>
          </c:cat>
          <c:val>
            <c:numRef>
              <c:f>'21'!$AE$6:$AE$22</c:f>
              <c:numCache>
                <c:formatCode>0%</c:formatCode>
                <c:ptCount val="17"/>
                <c:pt idx="0">
                  <c:v>0.48284313725490202</c:v>
                </c:pt>
                <c:pt idx="1">
                  <c:v>0.48284313725490202</c:v>
                </c:pt>
                <c:pt idx="2">
                  <c:v>0.48284313725490202</c:v>
                </c:pt>
                <c:pt idx="3">
                  <c:v>0.48284313725490202</c:v>
                </c:pt>
                <c:pt idx="4">
                  <c:v>0.48284313725490202</c:v>
                </c:pt>
                <c:pt idx="5">
                  <c:v>0.48284313725490202</c:v>
                </c:pt>
                <c:pt idx="6">
                  <c:v>0.48284313725490202</c:v>
                </c:pt>
                <c:pt idx="7">
                  <c:v>0.48284313725490202</c:v>
                </c:pt>
                <c:pt idx="8">
                  <c:v>0.48284313725490202</c:v>
                </c:pt>
                <c:pt idx="9">
                  <c:v>0.48284313725490202</c:v>
                </c:pt>
                <c:pt idx="10">
                  <c:v>0.48284313725490202</c:v>
                </c:pt>
                <c:pt idx="11">
                  <c:v>0.48284313725490202</c:v>
                </c:pt>
                <c:pt idx="12">
                  <c:v>0.48284313725490202</c:v>
                </c:pt>
                <c:pt idx="13">
                  <c:v>0.48284313725490202</c:v>
                </c:pt>
                <c:pt idx="14">
                  <c:v>0.48284313725490202</c:v>
                </c:pt>
                <c:pt idx="15">
                  <c:v>0.48284313725490202</c:v>
                </c:pt>
                <c:pt idx="16">
                  <c:v>0.48284313725490202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88-4AAA-B420-86D1805F6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F/A</c:v>
                </c:pt>
                <c:pt idx="12">
                  <c:v>BASE</c:v>
                </c:pt>
                <c:pt idx="13">
                  <c:v>STOPPER</c:v>
                </c:pt>
                <c:pt idx="14">
                  <c:v>SLIDER</c:v>
                </c:pt>
                <c:pt idx="15">
                  <c:v>LEAD GUIDE</c:v>
                </c:pt>
              </c:strCache>
            </c:strRef>
          </c:cat>
          <c:val>
            <c:numRef>
              <c:f>'21'!$L$6:$L$22</c:f>
              <c:numCache>
                <c:formatCode>_(* #,##0_);_(* \(#,##0\);_(* "-"_);_(@_)</c:formatCode>
                <c:ptCount val="17"/>
                <c:pt idx="2">
                  <c:v>1503</c:v>
                </c:pt>
                <c:pt idx="3">
                  <c:v>2175</c:v>
                </c:pt>
                <c:pt idx="4">
                  <c:v>5006</c:v>
                </c:pt>
                <c:pt idx="5">
                  <c:v>61170</c:v>
                </c:pt>
                <c:pt idx="6">
                  <c:v>5018</c:v>
                </c:pt>
                <c:pt idx="7">
                  <c:v>14979</c:v>
                </c:pt>
                <c:pt idx="8">
                  <c:v>2880</c:v>
                </c:pt>
                <c:pt idx="11">
                  <c:v>677</c:v>
                </c:pt>
                <c:pt idx="12">
                  <c:v>5251</c:v>
                </c:pt>
                <c:pt idx="13">
                  <c:v>584</c:v>
                </c:pt>
                <c:pt idx="14">
                  <c:v>2034</c:v>
                </c:pt>
                <c:pt idx="15">
                  <c:v>4824</c:v>
                </c:pt>
                <c:pt idx="16">
                  <c:v>66912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ED-46B9-8191-29C4091DBDD9}"/>
            </c:ext>
          </c:extLst>
        </c:ser>
        <c:ser>
          <c:idx val="1"/>
          <c:order val="1"/>
          <c:tx>
            <c:v>계획</c:v>
          </c:tx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F/A</c:v>
                </c:pt>
                <c:pt idx="12">
                  <c:v>BASE</c:v>
                </c:pt>
                <c:pt idx="13">
                  <c:v>STOPPER</c:v>
                </c:pt>
                <c:pt idx="14">
                  <c:v>SLIDER</c:v>
                </c:pt>
                <c:pt idx="15">
                  <c:v>LEAD GUIDE</c:v>
                </c:pt>
              </c:strCache>
            </c:strRef>
          </c:cat>
          <c:val>
            <c:numRef>
              <c:f>'21'!$J$6:$J$22</c:f>
              <c:numCache>
                <c:formatCode>_(* #,##0_);_(* \(#,##0\);_(* "-"_);_(@_)</c:formatCode>
                <c:ptCount val="17"/>
                <c:pt idx="0">
                  <c:v>733</c:v>
                </c:pt>
                <c:pt idx="1">
                  <c:v>3227</c:v>
                </c:pt>
                <c:pt idx="2">
                  <c:v>1503</c:v>
                </c:pt>
                <c:pt idx="3">
                  <c:v>2175</c:v>
                </c:pt>
                <c:pt idx="4">
                  <c:v>5006</c:v>
                </c:pt>
                <c:pt idx="5">
                  <c:v>61170</c:v>
                </c:pt>
                <c:pt idx="6">
                  <c:v>5018</c:v>
                </c:pt>
                <c:pt idx="7">
                  <c:v>14979</c:v>
                </c:pt>
                <c:pt idx="8">
                  <c:v>2880</c:v>
                </c:pt>
                <c:pt idx="9">
                  <c:v>4412</c:v>
                </c:pt>
                <c:pt idx="10">
                  <c:v>1640</c:v>
                </c:pt>
                <c:pt idx="11">
                  <c:v>677</c:v>
                </c:pt>
                <c:pt idx="12">
                  <c:v>5251</c:v>
                </c:pt>
                <c:pt idx="13">
                  <c:v>584</c:v>
                </c:pt>
                <c:pt idx="14">
                  <c:v>2034</c:v>
                </c:pt>
                <c:pt idx="15">
                  <c:v>4824</c:v>
                </c:pt>
                <c:pt idx="16">
                  <c:v>66912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ED-46B9-8191-29C4091DB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38%</c:v>
                </c:pt>
                <c:pt idx="3">
                  <c:v>54%</c:v>
                </c:pt>
                <c:pt idx="4">
                  <c:v>67%</c:v>
                </c:pt>
                <c:pt idx="5">
                  <c:v>100%</c:v>
                </c:pt>
                <c:pt idx="6">
                  <c:v>100%</c:v>
                </c:pt>
                <c:pt idx="7">
                  <c:v>92%</c:v>
                </c:pt>
                <c:pt idx="8">
                  <c:v>42%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100%</c:v>
                </c:pt>
                <c:pt idx="13">
                  <c:v>21%</c:v>
                </c:pt>
                <c:pt idx="14">
                  <c:v>63%</c:v>
                </c:pt>
                <c:pt idx="15">
                  <c:v>29%</c:v>
                </c:pt>
                <c:pt idx="16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F/A</c:v>
                </c:pt>
                <c:pt idx="12">
                  <c:v>BASE</c:v>
                </c:pt>
                <c:pt idx="13">
                  <c:v>STOPPER</c:v>
                </c:pt>
                <c:pt idx="14">
                  <c:v>SLIDER</c:v>
                </c:pt>
                <c:pt idx="15">
                  <c:v>LEAD GUIDE</c:v>
                </c:pt>
              </c:strCache>
            </c:strRef>
          </c:cat>
          <c:val>
            <c:numRef>
              <c:f>'21'!$AD$6:$AD$22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0.375</c:v>
                </c:pt>
                <c:pt idx="3">
                  <c:v>0.54166666666666663</c:v>
                </c:pt>
                <c:pt idx="4">
                  <c:v>0.66666666666666663</c:v>
                </c:pt>
                <c:pt idx="5">
                  <c:v>1</c:v>
                </c:pt>
                <c:pt idx="6">
                  <c:v>1</c:v>
                </c:pt>
                <c:pt idx="7">
                  <c:v>0.91666666666666663</c:v>
                </c:pt>
                <c:pt idx="8">
                  <c:v>0.41666666666666669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1</c:v>
                </c:pt>
                <c:pt idx="13">
                  <c:v>0.20833333333333334</c:v>
                </c:pt>
                <c:pt idx="14">
                  <c:v>0.625</c:v>
                </c:pt>
                <c:pt idx="15">
                  <c:v>0.29166666666666669</c:v>
                </c:pt>
                <c:pt idx="16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1E-43D7-8D8F-D9C1BFCB268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1E-43D7-8D8F-D9C1BFCB26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F/A</c:v>
                </c:pt>
                <c:pt idx="12">
                  <c:v>BASE</c:v>
                </c:pt>
                <c:pt idx="13">
                  <c:v>STOPPER</c:v>
                </c:pt>
                <c:pt idx="14">
                  <c:v>SLIDER</c:v>
                </c:pt>
                <c:pt idx="15">
                  <c:v>LEAD GUIDE</c:v>
                </c:pt>
              </c:strCache>
            </c:strRef>
          </c:cat>
          <c:val>
            <c:numRef>
              <c:f>'21'!$AE$6:$AE$22</c:f>
              <c:numCache>
                <c:formatCode>0%</c:formatCode>
                <c:ptCount val="17"/>
                <c:pt idx="0">
                  <c:v>0.48284313725490202</c:v>
                </c:pt>
                <c:pt idx="1">
                  <c:v>0.48284313725490202</c:v>
                </c:pt>
                <c:pt idx="2">
                  <c:v>0.48284313725490202</c:v>
                </c:pt>
                <c:pt idx="3">
                  <c:v>0.48284313725490202</c:v>
                </c:pt>
                <c:pt idx="4">
                  <c:v>0.48284313725490202</c:v>
                </c:pt>
                <c:pt idx="5">
                  <c:v>0.48284313725490202</c:v>
                </c:pt>
                <c:pt idx="6">
                  <c:v>0.48284313725490202</c:v>
                </c:pt>
                <c:pt idx="7">
                  <c:v>0.48284313725490202</c:v>
                </c:pt>
                <c:pt idx="8">
                  <c:v>0.48284313725490202</c:v>
                </c:pt>
                <c:pt idx="9">
                  <c:v>0.48284313725490202</c:v>
                </c:pt>
                <c:pt idx="10">
                  <c:v>0.48284313725490202</c:v>
                </c:pt>
                <c:pt idx="11">
                  <c:v>0.48284313725490202</c:v>
                </c:pt>
                <c:pt idx="12">
                  <c:v>0.48284313725490202</c:v>
                </c:pt>
                <c:pt idx="13">
                  <c:v>0.48284313725490202</c:v>
                </c:pt>
                <c:pt idx="14">
                  <c:v>0.48284313725490202</c:v>
                </c:pt>
                <c:pt idx="15">
                  <c:v>0.48284313725490202</c:v>
                </c:pt>
                <c:pt idx="16">
                  <c:v>0.48284313725490202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1E-43D7-8D8F-D9C1BFCB2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C2F-404F-BB14-A99C2602EC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2F-404F-BB14-A99C2602E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C2F-404F-BB14-A99C2602EC5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2F-404F-BB14-A99C2602E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FRONT/REAR</c:v>
                </c:pt>
                <c:pt idx="11">
                  <c:v>LATCH</c:v>
                </c:pt>
                <c:pt idx="12">
                  <c:v>F/A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0">
                  <c:v>4808</c:v>
                </c:pt>
                <c:pt idx="1">
                  <c:v>5902</c:v>
                </c:pt>
                <c:pt idx="2">
                  <c:v>4510</c:v>
                </c:pt>
                <c:pt idx="5">
                  <c:v>59460</c:v>
                </c:pt>
                <c:pt idx="6">
                  <c:v>1270</c:v>
                </c:pt>
                <c:pt idx="7">
                  <c:v>2700</c:v>
                </c:pt>
                <c:pt idx="8">
                  <c:v>2100</c:v>
                </c:pt>
                <c:pt idx="9">
                  <c:v>3392</c:v>
                </c:pt>
                <c:pt idx="13">
                  <c:v>4739</c:v>
                </c:pt>
                <c:pt idx="14">
                  <c:v>6183</c:v>
                </c:pt>
                <c:pt idx="15">
                  <c:v>3810</c:v>
                </c:pt>
                <c:pt idx="16">
                  <c:v>52516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6-4184-A422-96396D44B2AC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FRONT/REAR</c:v>
                </c:pt>
                <c:pt idx="11">
                  <c:v>LATCH</c:v>
                </c:pt>
                <c:pt idx="12">
                  <c:v>F/A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4808</c:v>
                </c:pt>
                <c:pt idx="1">
                  <c:v>5902</c:v>
                </c:pt>
                <c:pt idx="2">
                  <c:v>4510</c:v>
                </c:pt>
                <c:pt idx="3">
                  <c:v>2175</c:v>
                </c:pt>
                <c:pt idx="4">
                  <c:v>5006</c:v>
                </c:pt>
                <c:pt idx="5">
                  <c:v>59460</c:v>
                </c:pt>
                <c:pt idx="6">
                  <c:v>1270</c:v>
                </c:pt>
                <c:pt idx="7">
                  <c:v>2700</c:v>
                </c:pt>
                <c:pt idx="8">
                  <c:v>2100</c:v>
                </c:pt>
                <c:pt idx="9">
                  <c:v>3392</c:v>
                </c:pt>
                <c:pt idx="10">
                  <c:v>4412</c:v>
                </c:pt>
                <c:pt idx="11">
                  <c:v>1640</c:v>
                </c:pt>
                <c:pt idx="12">
                  <c:v>677</c:v>
                </c:pt>
                <c:pt idx="13">
                  <c:v>4739</c:v>
                </c:pt>
                <c:pt idx="14">
                  <c:v>6133</c:v>
                </c:pt>
                <c:pt idx="15">
                  <c:v>3810</c:v>
                </c:pt>
                <c:pt idx="16">
                  <c:v>52516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6-4184-A422-96396D44B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83%</c:v>
                </c:pt>
                <c:pt idx="1">
                  <c:v>92%</c:v>
                </c:pt>
                <c:pt idx="2">
                  <c:v>88%</c:v>
                </c:pt>
                <c:pt idx="3">
                  <c:v>0%</c:v>
                </c:pt>
                <c:pt idx="4">
                  <c:v>0%</c:v>
                </c:pt>
                <c:pt idx="5">
                  <c:v>100%</c:v>
                </c:pt>
                <c:pt idx="6">
                  <c:v>33%</c:v>
                </c:pt>
                <c:pt idx="7">
                  <c:v>21%</c:v>
                </c:pt>
                <c:pt idx="8">
                  <c:v>58%</c:v>
                </c:pt>
                <c:pt idx="9">
                  <c:v>42%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101%</c:v>
                </c:pt>
                <c:pt idx="15">
                  <c:v>88%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FRONT/REAR</c:v>
                </c:pt>
                <c:pt idx="11">
                  <c:v>LATCH</c:v>
                </c:pt>
                <c:pt idx="12">
                  <c:v>F/A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0.83333333333333337</c:v>
                </c:pt>
                <c:pt idx="1">
                  <c:v>0.91666666666666663</c:v>
                </c:pt>
                <c:pt idx="2">
                  <c:v>0.875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0.33333333333333331</c:v>
                </c:pt>
                <c:pt idx="7">
                  <c:v>0.20833333333333334</c:v>
                </c:pt>
                <c:pt idx="8">
                  <c:v>0.58333333333333337</c:v>
                </c:pt>
                <c:pt idx="9">
                  <c:v>0.41666666666666669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1.0081526169900539</c:v>
                </c:pt>
                <c:pt idx="15">
                  <c:v>0.875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DB-41C8-963D-5B7D70772C3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DB-41C8-963D-5B7D70772C3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FRONT/REAR</c:v>
                </c:pt>
                <c:pt idx="11">
                  <c:v>LATCH</c:v>
                </c:pt>
                <c:pt idx="12">
                  <c:v>F/A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0.53234231080333649</c:v>
                </c:pt>
                <c:pt idx="1">
                  <c:v>0.53234231080333649</c:v>
                </c:pt>
                <c:pt idx="2">
                  <c:v>0.53234231080333649</c:v>
                </c:pt>
                <c:pt idx="3">
                  <c:v>0.53234231080333649</c:v>
                </c:pt>
                <c:pt idx="4">
                  <c:v>0.53234231080333649</c:v>
                </c:pt>
                <c:pt idx="5">
                  <c:v>0.53234231080333649</c:v>
                </c:pt>
                <c:pt idx="6">
                  <c:v>0.53234231080333649</c:v>
                </c:pt>
                <c:pt idx="7">
                  <c:v>0.53234231080333649</c:v>
                </c:pt>
                <c:pt idx="8">
                  <c:v>0.53234231080333649</c:v>
                </c:pt>
                <c:pt idx="9">
                  <c:v>0.53234231080333649</c:v>
                </c:pt>
                <c:pt idx="10">
                  <c:v>0.53234231080333649</c:v>
                </c:pt>
                <c:pt idx="11">
                  <c:v>0.53234231080333649</c:v>
                </c:pt>
                <c:pt idx="12">
                  <c:v>0.53234231080333649</c:v>
                </c:pt>
                <c:pt idx="13">
                  <c:v>0.53234231080333649</c:v>
                </c:pt>
                <c:pt idx="14">
                  <c:v>0.53234231080333649</c:v>
                </c:pt>
                <c:pt idx="15">
                  <c:v>0.53234231080333649</c:v>
                </c:pt>
                <c:pt idx="16">
                  <c:v>0.53234231080333649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DB-41C8-963D-5B7D70772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FRONT/REAR</c:v>
                </c:pt>
                <c:pt idx="11">
                  <c:v>LATCH</c:v>
                </c:pt>
                <c:pt idx="12">
                  <c:v>F/A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0">
                  <c:v>4808</c:v>
                </c:pt>
                <c:pt idx="1">
                  <c:v>5902</c:v>
                </c:pt>
                <c:pt idx="2">
                  <c:v>4510</c:v>
                </c:pt>
                <c:pt idx="5">
                  <c:v>59460</c:v>
                </c:pt>
                <c:pt idx="6">
                  <c:v>1270</c:v>
                </c:pt>
                <c:pt idx="7">
                  <c:v>2700</c:v>
                </c:pt>
                <c:pt idx="8">
                  <c:v>2100</c:v>
                </c:pt>
                <c:pt idx="9">
                  <c:v>3392</c:v>
                </c:pt>
                <c:pt idx="13">
                  <c:v>4739</c:v>
                </c:pt>
                <c:pt idx="14">
                  <c:v>6183</c:v>
                </c:pt>
                <c:pt idx="15">
                  <c:v>3810</c:v>
                </c:pt>
                <c:pt idx="16">
                  <c:v>52516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C-4C2F-A3FA-E03A7E7AF6AB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FRONT/REAR</c:v>
                </c:pt>
                <c:pt idx="11">
                  <c:v>LATCH</c:v>
                </c:pt>
                <c:pt idx="12">
                  <c:v>F/A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4808</c:v>
                </c:pt>
                <c:pt idx="1">
                  <c:v>5902</c:v>
                </c:pt>
                <c:pt idx="2">
                  <c:v>4510</c:v>
                </c:pt>
                <c:pt idx="3">
                  <c:v>2175</c:v>
                </c:pt>
                <c:pt idx="4">
                  <c:v>5006</c:v>
                </c:pt>
                <c:pt idx="5">
                  <c:v>59460</c:v>
                </c:pt>
                <c:pt idx="6">
                  <c:v>1270</c:v>
                </c:pt>
                <c:pt idx="7">
                  <c:v>2700</c:v>
                </c:pt>
                <c:pt idx="8">
                  <c:v>2100</c:v>
                </c:pt>
                <c:pt idx="9">
                  <c:v>3392</c:v>
                </c:pt>
                <c:pt idx="10">
                  <c:v>4412</c:v>
                </c:pt>
                <c:pt idx="11">
                  <c:v>1640</c:v>
                </c:pt>
                <c:pt idx="12">
                  <c:v>677</c:v>
                </c:pt>
                <c:pt idx="13">
                  <c:v>4739</c:v>
                </c:pt>
                <c:pt idx="14">
                  <c:v>6133</c:v>
                </c:pt>
                <c:pt idx="15">
                  <c:v>3810</c:v>
                </c:pt>
                <c:pt idx="16">
                  <c:v>52516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C-4C2F-A3FA-E03A7E7AF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83%</c:v>
                </c:pt>
                <c:pt idx="1">
                  <c:v>92%</c:v>
                </c:pt>
                <c:pt idx="2">
                  <c:v>88%</c:v>
                </c:pt>
                <c:pt idx="3">
                  <c:v>0%</c:v>
                </c:pt>
                <c:pt idx="4">
                  <c:v>0%</c:v>
                </c:pt>
                <c:pt idx="5">
                  <c:v>100%</c:v>
                </c:pt>
                <c:pt idx="6">
                  <c:v>33%</c:v>
                </c:pt>
                <c:pt idx="7">
                  <c:v>21%</c:v>
                </c:pt>
                <c:pt idx="8">
                  <c:v>58%</c:v>
                </c:pt>
                <c:pt idx="9">
                  <c:v>42%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101%</c:v>
                </c:pt>
                <c:pt idx="15">
                  <c:v>88%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FRONT/REAR</c:v>
                </c:pt>
                <c:pt idx="11">
                  <c:v>LATCH</c:v>
                </c:pt>
                <c:pt idx="12">
                  <c:v>F/A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0.83333333333333337</c:v>
                </c:pt>
                <c:pt idx="1">
                  <c:v>0.91666666666666663</c:v>
                </c:pt>
                <c:pt idx="2">
                  <c:v>0.875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0.33333333333333331</c:v>
                </c:pt>
                <c:pt idx="7">
                  <c:v>0.20833333333333334</c:v>
                </c:pt>
                <c:pt idx="8">
                  <c:v>0.58333333333333337</c:v>
                </c:pt>
                <c:pt idx="9">
                  <c:v>0.41666666666666669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1.0081526169900539</c:v>
                </c:pt>
                <c:pt idx="15">
                  <c:v>0.875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9-4DB6-8CF4-FCB978DE1A5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59-4DB6-8CF4-FCB978DE1A5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HOUSING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FRONT/REAR</c:v>
                </c:pt>
                <c:pt idx="11">
                  <c:v>LATCH</c:v>
                </c:pt>
                <c:pt idx="12">
                  <c:v>F/A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0.53234231080333649</c:v>
                </c:pt>
                <c:pt idx="1">
                  <c:v>0.53234231080333649</c:v>
                </c:pt>
                <c:pt idx="2">
                  <c:v>0.53234231080333649</c:v>
                </c:pt>
                <c:pt idx="3">
                  <c:v>0.53234231080333649</c:v>
                </c:pt>
                <c:pt idx="4">
                  <c:v>0.53234231080333649</c:v>
                </c:pt>
                <c:pt idx="5">
                  <c:v>0.53234231080333649</c:v>
                </c:pt>
                <c:pt idx="6">
                  <c:v>0.53234231080333649</c:v>
                </c:pt>
                <c:pt idx="7">
                  <c:v>0.53234231080333649</c:v>
                </c:pt>
                <c:pt idx="8">
                  <c:v>0.53234231080333649</c:v>
                </c:pt>
                <c:pt idx="9">
                  <c:v>0.53234231080333649</c:v>
                </c:pt>
                <c:pt idx="10">
                  <c:v>0.53234231080333649</c:v>
                </c:pt>
                <c:pt idx="11">
                  <c:v>0.53234231080333649</c:v>
                </c:pt>
                <c:pt idx="12">
                  <c:v>0.53234231080333649</c:v>
                </c:pt>
                <c:pt idx="13">
                  <c:v>0.53234231080333649</c:v>
                </c:pt>
                <c:pt idx="14">
                  <c:v>0.53234231080333649</c:v>
                </c:pt>
                <c:pt idx="15">
                  <c:v>0.53234231080333649</c:v>
                </c:pt>
                <c:pt idx="16">
                  <c:v>0.53234231080333649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59-4DB6-8CF4-FCB978DE1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A77-4160-866B-DBCEC3801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77-4160-866B-DBCEC3801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A77-4160-866B-DBCEC380167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77-4160-866B-DBCEC3801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FRONT/REAR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'25'!$L$6:$L$22</c:f>
              <c:numCache>
                <c:formatCode>_(* #,##0_);_(* \(#,##0\);_(* "-"_);_(@_)</c:formatCode>
                <c:ptCount val="17"/>
                <c:pt idx="0">
                  <c:v>2717</c:v>
                </c:pt>
                <c:pt idx="1">
                  <c:v>6277</c:v>
                </c:pt>
                <c:pt idx="2">
                  <c:v>5243</c:v>
                </c:pt>
                <c:pt idx="3">
                  <c:v>1167</c:v>
                </c:pt>
                <c:pt idx="5">
                  <c:v>57030</c:v>
                </c:pt>
                <c:pt idx="6">
                  <c:v>1100</c:v>
                </c:pt>
                <c:pt idx="7">
                  <c:v>531</c:v>
                </c:pt>
                <c:pt idx="8">
                  <c:v>1727</c:v>
                </c:pt>
                <c:pt idx="9">
                  <c:v>3142</c:v>
                </c:pt>
                <c:pt idx="12">
                  <c:v>592</c:v>
                </c:pt>
                <c:pt idx="13">
                  <c:v>4938</c:v>
                </c:pt>
                <c:pt idx="14">
                  <c:v>6995</c:v>
                </c:pt>
                <c:pt idx="15">
                  <c:v>4285</c:v>
                </c:pt>
                <c:pt idx="16">
                  <c:v>29980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34-4B88-B407-37E1BA1B0654}"/>
            </c:ext>
          </c:extLst>
        </c:ser>
        <c:ser>
          <c:idx val="1"/>
          <c:order val="1"/>
          <c:tx>
            <c:v>계획</c:v>
          </c:tx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FRONT/REAR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'25'!$J$6:$J$22</c:f>
              <c:numCache>
                <c:formatCode>_(* #,##0_);_(* \(#,##0\);_(* "-"_);_(@_)</c:formatCode>
                <c:ptCount val="17"/>
                <c:pt idx="0">
                  <c:v>2717</c:v>
                </c:pt>
                <c:pt idx="1">
                  <c:v>6277</c:v>
                </c:pt>
                <c:pt idx="2">
                  <c:v>5243</c:v>
                </c:pt>
                <c:pt idx="3">
                  <c:v>1167</c:v>
                </c:pt>
                <c:pt idx="4">
                  <c:v>5006</c:v>
                </c:pt>
                <c:pt idx="5">
                  <c:v>57030</c:v>
                </c:pt>
                <c:pt idx="6">
                  <c:v>1100</c:v>
                </c:pt>
                <c:pt idx="7">
                  <c:v>531</c:v>
                </c:pt>
                <c:pt idx="8">
                  <c:v>1727</c:v>
                </c:pt>
                <c:pt idx="9">
                  <c:v>3142</c:v>
                </c:pt>
                <c:pt idx="10">
                  <c:v>4412</c:v>
                </c:pt>
                <c:pt idx="11">
                  <c:v>1640</c:v>
                </c:pt>
                <c:pt idx="12">
                  <c:v>592</c:v>
                </c:pt>
                <c:pt idx="13">
                  <c:v>4938</c:v>
                </c:pt>
                <c:pt idx="14">
                  <c:v>6995</c:v>
                </c:pt>
                <c:pt idx="15">
                  <c:v>4285</c:v>
                </c:pt>
                <c:pt idx="16">
                  <c:v>29980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34-4B88-B407-37E1BA1B0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'25'!$AD$6:$AD$22</c:f>
              <c:strCache>
                <c:ptCount val="17"/>
                <c:pt idx="0">
                  <c:v>42%</c:v>
                </c:pt>
                <c:pt idx="1">
                  <c:v>100%</c:v>
                </c:pt>
                <c:pt idx="2">
                  <c:v>100%</c:v>
                </c:pt>
                <c:pt idx="3">
                  <c:v>29%</c:v>
                </c:pt>
                <c:pt idx="4">
                  <c:v>0%</c:v>
                </c:pt>
                <c:pt idx="5">
                  <c:v>100%</c:v>
                </c:pt>
                <c:pt idx="6">
                  <c:v>29%</c:v>
                </c:pt>
                <c:pt idx="7">
                  <c:v>25%</c:v>
                </c:pt>
                <c:pt idx="8">
                  <c:v>42%</c:v>
                </c:pt>
                <c:pt idx="9">
                  <c:v>46%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FRONT/REAR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'25'!$AD$6:$AD$22</c:f>
              <c:numCache>
                <c:formatCode>0%</c:formatCode>
                <c:ptCount val="17"/>
                <c:pt idx="0">
                  <c:v>0.41666666666666669</c:v>
                </c:pt>
                <c:pt idx="1">
                  <c:v>1</c:v>
                </c:pt>
                <c:pt idx="2">
                  <c:v>1</c:v>
                </c:pt>
                <c:pt idx="3">
                  <c:v>0.29166666666666669</c:v>
                </c:pt>
                <c:pt idx="4">
                  <c:v>0</c:v>
                </c:pt>
                <c:pt idx="5">
                  <c:v>1</c:v>
                </c:pt>
                <c:pt idx="6">
                  <c:v>0.29166666666666669</c:v>
                </c:pt>
                <c:pt idx="7">
                  <c:v>0.25</c:v>
                </c:pt>
                <c:pt idx="8">
                  <c:v>0.41666666666666669</c:v>
                </c:pt>
                <c:pt idx="9">
                  <c:v>0.45833333333333331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3-4820-AB3E-14B03B9F246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E3-4820-AB3E-14B03B9F246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FRONT/REAR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'25'!$AE$6:$AE$22</c:f>
              <c:numCache>
                <c:formatCode>0%</c:formatCode>
                <c:ptCount val="17"/>
                <c:pt idx="0">
                  <c:v>0.51225490196078438</c:v>
                </c:pt>
                <c:pt idx="1">
                  <c:v>0.51225490196078438</c:v>
                </c:pt>
                <c:pt idx="2">
                  <c:v>0.51225490196078438</c:v>
                </c:pt>
                <c:pt idx="3">
                  <c:v>0.51225490196078438</c:v>
                </c:pt>
                <c:pt idx="4">
                  <c:v>0.51225490196078438</c:v>
                </c:pt>
                <c:pt idx="5">
                  <c:v>0.51225490196078438</c:v>
                </c:pt>
                <c:pt idx="6">
                  <c:v>0.51225490196078438</c:v>
                </c:pt>
                <c:pt idx="7">
                  <c:v>0.51225490196078438</c:v>
                </c:pt>
                <c:pt idx="8">
                  <c:v>0.51225490196078438</c:v>
                </c:pt>
                <c:pt idx="9">
                  <c:v>0.51225490196078438</c:v>
                </c:pt>
                <c:pt idx="10">
                  <c:v>0.51225490196078438</c:v>
                </c:pt>
                <c:pt idx="11">
                  <c:v>0.51225490196078438</c:v>
                </c:pt>
                <c:pt idx="12">
                  <c:v>0.51225490196078438</c:v>
                </c:pt>
                <c:pt idx="13">
                  <c:v>0.51225490196078438</c:v>
                </c:pt>
                <c:pt idx="14">
                  <c:v>0.51225490196078438</c:v>
                </c:pt>
                <c:pt idx="15">
                  <c:v>0.51225490196078438</c:v>
                </c:pt>
                <c:pt idx="16">
                  <c:v>0.51225490196078438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E3-4820-AB3E-14B03B9F2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FRONT/REAR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'25'!$L$6:$L$22</c:f>
              <c:numCache>
                <c:formatCode>_(* #,##0_);_(* \(#,##0\);_(* "-"_);_(@_)</c:formatCode>
                <c:ptCount val="17"/>
                <c:pt idx="0">
                  <c:v>2717</c:v>
                </c:pt>
                <c:pt idx="1">
                  <c:v>6277</c:v>
                </c:pt>
                <c:pt idx="2">
                  <c:v>5243</c:v>
                </c:pt>
                <c:pt idx="3">
                  <c:v>1167</c:v>
                </c:pt>
                <c:pt idx="5">
                  <c:v>57030</c:v>
                </c:pt>
                <c:pt idx="6">
                  <c:v>1100</c:v>
                </c:pt>
                <c:pt idx="7">
                  <c:v>531</c:v>
                </c:pt>
                <c:pt idx="8">
                  <c:v>1727</c:v>
                </c:pt>
                <c:pt idx="9">
                  <c:v>3142</c:v>
                </c:pt>
                <c:pt idx="12">
                  <c:v>592</c:v>
                </c:pt>
                <c:pt idx="13">
                  <c:v>4938</c:v>
                </c:pt>
                <c:pt idx="14">
                  <c:v>6995</c:v>
                </c:pt>
                <c:pt idx="15">
                  <c:v>4285</c:v>
                </c:pt>
                <c:pt idx="16">
                  <c:v>29980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8-4BE9-9471-AFAAC436896E}"/>
            </c:ext>
          </c:extLst>
        </c:ser>
        <c:ser>
          <c:idx val="1"/>
          <c:order val="1"/>
          <c:tx>
            <c:v>계획</c:v>
          </c:tx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FRONT/REAR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'25'!$J$6:$J$22</c:f>
              <c:numCache>
                <c:formatCode>_(* #,##0_);_(* \(#,##0\);_(* "-"_);_(@_)</c:formatCode>
                <c:ptCount val="17"/>
                <c:pt idx="0">
                  <c:v>2717</c:v>
                </c:pt>
                <c:pt idx="1">
                  <c:v>6277</c:v>
                </c:pt>
                <c:pt idx="2">
                  <c:v>5243</c:v>
                </c:pt>
                <c:pt idx="3">
                  <c:v>1167</c:v>
                </c:pt>
                <c:pt idx="4">
                  <c:v>5006</c:v>
                </c:pt>
                <c:pt idx="5">
                  <c:v>57030</c:v>
                </c:pt>
                <c:pt idx="6">
                  <c:v>1100</c:v>
                </c:pt>
                <c:pt idx="7">
                  <c:v>531</c:v>
                </c:pt>
                <c:pt idx="8">
                  <c:v>1727</c:v>
                </c:pt>
                <c:pt idx="9">
                  <c:v>3142</c:v>
                </c:pt>
                <c:pt idx="10">
                  <c:v>4412</c:v>
                </c:pt>
                <c:pt idx="11">
                  <c:v>1640</c:v>
                </c:pt>
                <c:pt idx="12">
                  <c:v>592</c:v>
                </c:pt>
                <c:pt idx="13">
                  <c:v>4938</c:v>
                </c:pt>
                <c:pt idx="14">
                  <c:v>6995</c:v>
                </c:pt>
                <c:pt idx="15">
                  <c:v>4285</c:v>
                </c:pt>
                <c:pt idx="16">
                  <c:v>29980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8-4BE9-9471-AFAAC4368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'25'!$AD$6:$AD$22</c:f>
              <c:strCache>
                <c:ptCount val="17"/>
                <c:pt idx="0">
                  <c:v>42%</c:v>
                </c:pt>
                <c:pt idx="1">
                  <c:v>100%</c:v>
                </c:pt>
                <c:pt idx="2">
                  <c:v>100%</c:v>
                </c:pt>
                <c:pt idx="3">
                  <c:v>29%</c:v>
                </c:pt>
                <c:pt idx="4">
                  <c:v>0%</c:v>
                </c:pt>
                <c:pt idx="5">
                  <c:v>100%</c:v>
                </c:pt>
                <c:pt idx="6">
                  <c:v>29%</c:v>
                </c:pt>
                <c:pt idx="7">
                  <c:v>25%</c:v>
                </c:pt>
                <c:pt idx="8">
                  <c:v>42%</c:v>
                </c:pt>
                <c:pt idx="9">
                  <c:v>46%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FRONT/REAR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'25'!$AD$6:$AD$22</c:f>
              <c:numCache>
                <c:formatCode>0%</c:formatCode>
                <c:ptCount val="17"/>
                <c:pt idx="0">
                  <c:v>0.41666666666666669</c:v>
                </c:pt>
                <c:pt idx="1">
                  <c:v>1</c:v>
                </c:pt>
                <c:pt idx="2">
                  <c:v>1</c:v>
                </c:pt>
                <c:pt idx="3">
                  <c:v>0.29166666666666669</c:v>
                </c:pt>
                <c:pt idx="4">
                  <c:v>0</c:v>
                </c:pt>
                <c:pt idx="5">
                  <c:v>1</c:v>
                </c:pt>
                <c:pt idx="6">
                  <c:v>0.29166666666666669</c:v>
                </c:pt>
                <c:pt idx="7">
                  <c:v>0.25</c:v>
                </c:pt>
                <c:pt idx="8">
                  <c:v>0.41666666666666669</c:v>
                </c:pt>
                <c:pt idx="9">
                  <c:v>0.45833333333333331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C4-4229-A7C2-B84A089D6D7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C4-4229-A7C2-B84A089D6D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FRONT/REAR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HOLDER</c:v>
                </c:pt>
                <c:pt idx="15">
                  <c:v>BASE</c:v>
                </c:pt>
              </c:strCache>
            </c:strRef>
          </c:cat>
          <c:val>
            <c:numRef>
              <c:f>'25'!$AE$6:$AE$22</c:f>
              <c:numCache>
                <c:formatCode>0%</c:formatCode>
                <c:ptCount val="17"/>
                <c:pt idx="0">
                  <c:v>0.51225490196078438</c:v>
                </c:pt>
                <c:pt idx="1">
                  <c:v>0.51225490196078438</c:v>
                </c:pt>
                <c:pt idx="2">
                  <c:v>0.51225490196078438</c:v>
                </c:pt>
                <c:pt idx="3">
                  <c:v>0.51225490196078438</c:v>
                </c:pt>
                <c:pt idx="4">
                  <c:v>0.51225490196078438</c:v>
                </c:pt>
                <c:pt idx="5">
                  <c:v>0.51225490196078438</c:v>
                </c:pt>
                <c:pt idx="6">
                  <c:v>0.51225490196078438</c:v>
                </c:pt>
                <c:pt idx="7">
                  <c:v>0.51225490196078438</c:v>
                </c:pt>
                <c:pt idx="8">
                  <c:v>0.51225490196078438</c:v>
                </c:pt>
                <c:pt idx="9">
                  <c:v>0.51225490196078438</c:v>
                </c:pt>
                <c:pt idx="10">
                  <c:v>0.51225490196078438</c:v>
                </c:pt>
                <c:pt idx="11">
                  <c:v>0.51225490196078438</c:v>
                </c:pt>
                <c:pt idx="12">
                  <c:v>0.51225490196078438</c:v>
                </c:pt>
                <c:pt idx="13">
                  <c:v>0.51225490196078438</c:v>
                </c:pt>
                <c:pt idx="14">
                  <c:v>0.51225490196078438</c:v>
                </c:pt>
                <c:pt idx="15">
                  <c:v>0.51225490196078438</c:v>
                </c:pt>
                <c:pt idx="16">
                  <c:v>0.51225490196078438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C4-4229-A7C2-B84A089D6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1AA-462C-8B96-FB8B00A367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AA-462C-8B96-FB8B00A36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1AA-462C-8B96-FB8B00A367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AA-462C-8B96-FB8B00A36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1">
                  <c:v>5300</c:v>
                </c:pt>
                <c:pt idx="2">
                  <c:v>2454</c:v>
                </c:pt>
                <c:pt idx="5">
                  <c:v>61760</c:v>
                </c:pt>
                <c:pt idx="6">
                  <c:v>1662</c:v>
                </c:pt>
                <c:pt idx="7">
                  <c:v>1744</c:v>
                </c:pt>
                <c:pt idx="8">
                  <c:v>3358</c:v>
                </c:pt>
                <c:pt idx="12">
                  <c:v>5342</c:v>
                </c:pt>
                <c:pt idx="13">
                  <c:v>1124</c:v>
                </c:pt>
                <c:pt idx="14">
                  <c:v>527</c:v>
                </c:pt>
                <c:pt idx="15">
                  <c:v>4661</c:v>
                </c:pt>
                <c:pt idx="16">
                  <c:v>71540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5B-4B26-B8F9-46B881E6BD5B}"/>
            </c:ext>
          </c:extLst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2717</c:v>
                </c:pt>
                <c:pt idx="1">
                  <c:v>5300</c:v>
                </c:pt>
                <c:pt idx="2">
                  <c:v>2454</c:v>
                </c:pt>
                <c:pt idx="3">
                  <c:v>1167</c:v>
                </c:pt>
                <c:pt idx="4">
                  <c:v>5006</c:v>
                </c:pt>
                <c:pt idx="5">
                  <c:v>61760</c:v>
                </c:pt>
                <c:pt idx="6">
                  <c:v>1662</c:v>
                </c:pt>
                <c:pt idx="7">
                  <c:v>1744</c:v>
                </c:pt>
                <c:pt idx="8">
                  <c:v>3358</c:v>
                </c:pt>
                <c:pt idx="9">
                  <c:v>4412</c:v>
                </c:pt>
                <c:pt idx="10">
                  <c:v>1640</c:v>
                </c:pt>
                <c:pt idx="11">
                  <c:v>592</c:v>
                </c:pt>
                <c:pt idx="12">
                  <c:v>5342</c:v>
                </c:pt>
                <c:pt idx="13">
                  <c:v>1124</c:v>
                </c:pt>
                <c:pt idx="14">
                  <c:v>527</c:v>
                </c:pt>
                <c:pt idx="15">
                  <c:v>4661</c:v>
                </c:pt>
                <c:pt idx="16">
                  <c:v>71540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B-4B26-B8F9-46B881E6B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7"/>
                <c:pt idx="0">
                  <c:v>0%</c:v>
                </c:pt>
                <c:pt idx="1">
                  <c:v>92%</c:v>
                </c:pt>
                <c:pt idx="2">
                  <c:v>54%</c:v>
                </c:pt>
                <c:pt idx="3">
                  <c:v>0%</c:v>
                </c:pt>
                <c:pt idx="4">
                  <c:v>0%</c:v>
                </c:pt>
                <c:pt idx="5">
                  <c:v>100%</c:v>
                </c:pt>
                <c:pt idx="6">
                  <c:v>33%</c:v>
                </c:pt>
                <c:pt idx="7">
                  <c:v>38%</c:v>
                </c:pt>
                <c:pt idx="8">
                  <c:v>50%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25%</c:v>
                </c:pt>
                <c:pt idx="14">
                  <c:v>29%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0</c:v>
                </c:pt>
                <c:pt idx="1">
                  <c:v>0.91666666666666663</c:v>
                </c:pt>
                <c:pt idx="2">
                  <c:v>0.54166666666666663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0.33333333333333331</c:v>
                </c:pt>
                <c:pt idx="7">
                  <c:v>0.375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0.25</c:v>
                </c:pt>
                <c:pt idx="14">
                  <c:v>0.29166666666666669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E-492F-8DAF-9157F7017F6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4E-492F-8DAF-9157F7017F6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0.42401960784313725</c:v>
                </c:pt>
                <c:pt idx="1">
                  <c:v>0.42401960784313725</c:v>
                </c:pt>
                <c:pt idx="2">
                  <c:v>0.42401960784313725</c:v>
                </c:pt>
                <c:pt idx="3">
                  <c:v>0.42401960784313725</c:v>
                </c:pt>
                <c:pt idx="4">
                  <c:v>0.42401960784313725</c:v>
                </c:pt>
                <c:pt idx="5">
                  <c:v>0.42401960784313725</c:v>
                </c:pt>
                <c:pt idx="6">
                  <c:v>0.42401960784313725</c:v>
                </c:pt>
                <c:pt idx="7">
                  <c:v>0.42401960784313725</c:v>
                </c:pt>
                <c:pt idx="8">
                  <c:v>0.42401960784313725</c:v>
                </c:pt>
                <c:pt idx="9">
                  <c:v>0.42401960784313725</c:v>
                </c:pt>
                <c:pt idx="10">
                  <c:v>0.42401960784313725</c:v>
                </c:pt>
                <c:pt idx="11">
                  <c:v>0.42401960784313725</c:v>
                </c:pt>
                <c:pt idx="12">
                  <c:v>0.42401960784313725</c:v>
                </c:pt>
                <c:pt idx="13">
                  <c:v>0.42401960784313725</c:v>
                </c:pt>
                <c:pt idx="14">
                  <c:v>0.42401960784313725</c:v>
                </c:pt>
                <c:pt idx="15">
                  <c:v>0.42401960784313725</c:v>
                </c:pt>
                <c:pt idx="16">
                  <c:v>0.42401960784313725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4E-492F-8DAF-9157F7017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1">
                  <c:v>5300</c:v>
                </c:pt>
                <c:pt idx="2">
                  <c:v>2454</c:v>
                </c:pt>
                <c:pt idx="5">
                  <c:v>61760</c:v>
                </c:pt>
                <c:pt idx="6">
                  <c:v>1662</c:v>
                </c:pt>
                <c:pt idx="7">
                  <c:v>1744</c:v>
                </c:pt>
                <c:pt idx="8">
                  <c:v>3358</c:v>
                </c:pt>
                <c:pt idx="12">
                  <c:v>5342</c:v>
                </c:pt>
                <c:pt idx="13">
                  <c:v>1124</c:v>
                </c:pt>
                <c:pt idx="14">
                  <c:v>527</c:v>
                </c:pt>
                <c:pt idx="15">
                  <c:v>4661</c:v>
                </c:pt>
                <c:pt idx="16">
                  <c:v>71540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CA-4432-8FED-D05BEFE77141}"/>
            </c:ext>
          </c:extLst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2717</c:v>
                </c:pt>
                <c:pt idx="1">
                  <c:v>5300</c:v>
                </c:pt>
                <c:pt idx="2">
                  <c:v>2454</c:v>
                </c:pt>
                <c:pt idx="3">
                  <c:v>1167</c:v>
                </c:pt>
                <c:pt idx="4">
                  <c:v>5006</c:v>
                </c:pt>
                <c:pt idx="5">
                  <c:v>61760</c:v>
                </c:pt>
                <c:pt idx="6">
                  <c:v>1662</c:v>
                </c:pt>
                <c:pt idx="7">
                  <c:v>1744</c:v>
                </c:pt>
                <c:pt idx="8">
                  <c:v>3358</c:v>
                </c:pt>
                <c:pt idx="9">
                  <c:v>4412</c:v>
                </c:pt>
                <c:pt idx="10">
                  <c:v>1640</c:v>
                </c:pt>
                <c:pt idx="11">
                  <c:v>592</c:v>
                </c:pt>
                <c:pt idx="12">
                  <c:v>5342</c:v>
                </c:pt>
                <c:pt idx="13">
                  <c:v>1124</c:v>
                </c:pt>
                <c:pt idx="14">
                  <c:v>527</c:v>
                </c:pt>
                <c:pt idx="15">
                  <c:v>4661</c:v>
                </c:pt>
                <c:pt idx="16">
                  <c:v>71540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CA-4432-8FED-D05BEFE77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7"/>
                <c:pt idx="0">
                  <c:v>0%</c:v>
                </c:pt>
                <c:pt idx="1">
                  <c:v>92%</c:v>
                </c:pt>
                <c:pt idx="2">
                  <c:v>54%</c:v>
                </c:pt>
                <c:pt idx="3">
                  <c:v>0%</c:v>
                </c:pt>
                <c:pt idx="4">
                  <c:v>0%</c:v>
                </c:pt>
                <c:pt idx="5">
                  <c:v>100%</c:v>
                </c:pt>
                <c:pt idx="6">
                  <c:v>33%</c:v>
                </c:pt>
                <c:pt idx="7">
                  <c:v>38%</c:v>
                </c:pt>
                <c:pt idx="8">
                  <c:v>50%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25%</c:v>
                </c:pt>
                <c:pt idx="14">
                  <c:v>29%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0</c:v>
                </c:pt>
                <c:pt idx="1">
                  <c:v>0.91666666666666663</c:v>
                </c:pt>
                <c:pt idx="2">
                  <c:v>0.54166666666666663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0.33333333333333331</c:v>
                </c:pt>
                <c:pt idx="7">
                  <c:v>0.375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0.25</c:v>
                </c:pt>
                <c:pt idx="14">
                  <c:v>0.29166666666666669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8-4135-8F31-62AB9932638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F8-4135-8F31-62AB9932638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PAD</c:v>
                </c:pt>
                <c:pt idx="4">
                  <c:v>HOUSING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0.42401960784313725</c:v>
                </c:pt>
                <c:pt idx="1">
                  <c:v>0.42401960784313725</c:v>
                </c:pt>
                <c:pt idx="2">
                  <c:v>0.42401960784313725</c:v>
                </c:pt>
                <c:pt idx="3">
                  <c:v>0.42401960784313725</c:v>
                </c:pt>
                <c:pt idx="4">
                  <c:v>0.42401960784313725</c:v>
                </c:pt>
                <c:pt idx="5">
                  <c:v>0.42401960784313725</c:v>
                </c:pt>
                <c:pt idx="6">
                  <c:v>0.42401960784313725</c:v>
                </c:pt>
                <c:pt idx="7">
                  <c:v>0.42401960784313725</c:v>
                </c:pt>
                <c:pt idx="8">
                  <c:v>0.42401960784313725</c:v>
                </c:pt>
                <c:pt idx="9">
                  <c:v>0.42401960784313725</c:v>
                </c:pt>
                <c:pt idx="10">
                  <c:v>0.42401960784313725</c:v>
                </c:pt>
                <c:pt idx="11">
                  <c:v>0.42401960784313725</c:v>
                </c:pt>
                <c:pt idx="12">
                  <c:v>0.42401960784313725</c:v>
                </c:pt>
                <c:pt idx="13">
                  <c:v>0.42401960784313725</c:v>
                </c:pt>
                <c:pt idx="14">
                  <c:v>0.42401960784313725</c:v>
                </c:pt>
                <c:pt idx="15">
                  <c:v>0.42401960784313725</c:v>
                </c:pt>
                <c:pt idx="16">
                  <c:v>0.42401960784313725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F8-4135-8F31-62AB99326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3A9-4173-9F20-50633CFEF5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9-4173-9F20-50633CFEF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3A9-4173-9F20-50633CFEF5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A9-4173-9F20-50633CFEF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FRONT/REAR</c:v>
                </c:pt>
                <c:pt idx="11">
                  <c:v>LATCH</c:v>
                </c:pt>
                <c:pt idx="12">
                  <c:v>SLIDER</c:v>
                </c:pt>
                <c:pt idx="13">
                  <c:v>BASE</c:v>
                </c:pt>
                <c:pt idx="14">
                  <c:v>8LEAD</c:v>
                </c:pt>
                <c:pt idx="15">
                  <c:v>BASE</c:v>
                </c:pt>
              </c:strCache>
            </c:strRef>
          </c:cat>
          <c:val>
            <c:numRef>
              <c:f>'27'!$L$6:$L$22</c:f>
              <c:numCache>
                <c:formatCode>_(* #,##0_);_(* \(#,##0\);_(* "-"_);_(@_)</c:formatCode>
                <c:ptCount val="17"/>
                <c:pt idx="0">
                  <c:v>718</c:v>
                </c:pt>
                <c:pt idx="4">
                  <c:v>6524</c:v>
                </c:pt>
                <c:pt idx="5">
                  <c:v>60180</c:v>
                </c:pt>
                <c:pt idx="6">
                  <c:v>692</c:v>
                </c:pt>
                <c:pt idx="7">
                  <c:v>6344</c:v>
                </c:pt>
                <c:pt idx="12">
                  <c:v>6690</c:v>
                </c:pt>
                <c:pt idx="13">
                  <c:v>804</c:v>
                </c:pt>
                <c:pt idx="14">
                  <c:v>9026</c:v>
                </c:pt>
                <c:pt idx="15">
                  <c:v>4561</c:v>
                </c:pt>
                <c:pt idx="16">
                  <c:v>64240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E-426F-BB54-8B3905E85C41}"/>
            </c:ext>
          </c:extLst>
        </c:ser>
        <c:ser>
          <c:idx val="1"/>
          <c:order val="1"/>
          <c:tx>
            <c:v>계획</c:v>
          </c:tx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FRONT/REAR</c:v>
                </c:pt>
                <c:pt idx="11">
                  <c:v>LATCH</c:v>
                </c:pt>
                <c:pt idx="12">
                  <c:v>SLIDER</c:v>
                </c:pt>
                <c:pt idx="13">
                  <c:v>BASE</c:v>
                </c:pt>
                <c:pt idx="14">
                  <c:v>8LEAD</c:v>
                </c:pt>
                <c:pt idx="15">
                  <c:v>BASE</c:v>
                </c:pt>
              </c:strCache>
            </c:strRef>
          </c:cat>
          <c:val>
            <c:numRef>
              <c:f>'27'!$J$6:$J$22</c:f>
              <c:numCache>
                <c:formatCode>_(* #,##0_);_(* \(#,##0\);_(* "-"_);_(@_)</c:formatCode>
                <c:ptCount val="17"/>
                <c:pt idx="0">
                  <c:v>718</c:v>
                </c:pt>
                <c:pt idx="1">
                  <c:v>5300</c:v>
                </c:pt>
                <c:pt idx="2">
                  <c:v>2454</c:v>
                </c:pt>
                <c:pt idx="3">
                  <c:v>1167</c:v>
                </c:pt>
                <c:pt idx="4">
                  <c:v>6524</c:v>
                </c:pt>
                <c:pt idx="5">
                  <c:v>60180</c:v>
                </c:pt>
                <c:pt idx="6">
                  <c:v>692</c:v>
                </c:pt>
                <c:pt idx="7">
                  <c:v>6344</c:v>
                </c:pt>
                <c:pt idx="8">
                  <c:v>1744</c:v>
                </c:pt>
                <c:pt idx="9">
                  <c:v>3358</c:v>
                </c:pt>
                <c:pt idx="10">
                  <c:v>4412</c:v>
                </c:pt>
                <c:pt idx="11">
                  <c:v>1640</c:v>
                </c:pt>
                <c:pt idx="12">
                  <c:v>6690</c:v>
                </c:pt>
                <c:pt idx="13">
                  <c:v>804</c:v>
                </c:pt>
                <c:pt idx="14">
                  <c:v>9026</c:v>
                </c:pt>
                <c:pt idx="15">
                  <c:v>4561</c:v>
                </c:pt>
                <c:pt idx="16">
                  <c:v>64240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E-426F-BB54-8B3905E85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'27'!$AD$6:$AD$22</c:f>
              <c:strCache>
                <c:ptCount val="17"/>
                <c:pt idx="0">
                  <c:v>17%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71%</c:v>
                </c:pt>
                <c:pt idx="5">
                  <c:v>100%</c:v>
                </c:pt>
                <c:pt idx="6">
                  <c:v>17%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71%</c:v>
                </c:pt>
                <c:pt idx="13">
                  <c:v>21%</c:v>
                </c:pt>
                <c:pt idx="14">
                  <c:v>100%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FRONT/REAR</c:v>
                </c:pt>
                <c:pt idx="11">
                  <c:v>LATCH</c:v>
                </c:pt>
                <c:pt idx="12">
                  <c:v>SLIDER</c:v>
                </c:pt>
                <c:pt idx="13">
                  <c:v>BASE</c:v>
                </c:pt>
                <c:pt idx="14">
                  <c:v>8LEAD</c:v>
                </c:pt>
                <c:pt idx="15">
                  <c:v>BASE</c:v>
                </c:pt>
              </c:strCache>
            </c:strRef>
          </c:cat>
          <c:val>
            <c:numRef>
              <c:f>'27'!$AD$6:$AD$22</c:f>
              <c:numCache>
                <c:formatCode>0%</c:formatCode>
                <c:ptCount val="17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0.70833333333333337</c:v>
                </c:pt>
                <c:pt idx="5">
                  <c:v>1</c:v>
                </c:pt>
                <c:pt idx="6">
                  <c:v>0.16666666666666666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0.20833333333333334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5B-4078-96FB-2D5F817512C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5B-4078-96FB-2D5F817512C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FRONT/REAR</c:v>
                </c:pt>
                <c:pt idx="11">
                  <c:v>LATCH</c:v>
                </c:pt>
                <c:pt idx="12">
                  <c:v>SLIDER</c:v>
                </c:pt>
                <c:pt idx="13">
                  <c:v>BASE</c:v>
                </c:pt>
                <c:pt idx="14">
                  <c:v>8LEAD</c:v>
                </c:pt>
                <c:pt idx="15">
                  <c:v>BASE</c:v>
                </c:pt>
              </c:strCache>
            </c:strRef>
          </c:cat>
          <c:val>
            <c:numRef>
              <c:f>'27'!$AE$6:$AE$22</c:f>
              <c:numCache>
                <c:formatCode>0%</c:formatCode>
                <c:ptCount val="17"/>
                <c:pt idx="0">
                  <c:v>0.39215686274509803</c:v>
                </c:pt>
                <c:pt idx="1">
                  <c:v>0.39215686274509803</c:v>
                </c:pt>
                <c:pt idx="2">
                  <c:v>0.39215686274509803</c:v>
                </c:pt>
                <c:pt idx="3">
                  <c:v>0.39215686274509803</c:v>
                </c:pt>
                <c:pt idx="4">
                  <c:v>0.39215686274509803</c:v>
                </c:pt>
                <c:pt idx="5">
                  <c:v>0.39215686274509803</c:v>
                </c:pt>
                <c:pt idx="6">
                  <c:v>0.39215686274509803</c:v>
                </c:pt>
                <c:pt idx="7">
                  <c:v>0.39215686274509803</c:v>
                </c:pt>
                <c:pt idx="8">
                  <c:v>0.39215686274509803</c:v>
                </c:pt>
                <c:pt idx="9">
                  <c:v>0.39215686274509803</c:v>
                </c:pt>
                <c:pt idx="10">
                  <c:v>0.39215686274509803</c:v>
                </c:pt>
                <c:pt idx="11">
                  <c:v>0.39215686274509803</c:v>
                </c:pt>
                <c:pt idx="12">
                  <c:v>0.39215686274509803</c:v>
                </c:pt>
                <c:pt idx="13">
                  <c:v>0.39215686274509803</c:v>
                </c:pt>
                <c:pt idx="14">
                  <c:v>0.39215686274509803</c:v>
                </c:pt>
                <c:pt idx="15">
                  <c:v>0.39215686274509803</c:v>
                </c:pt>
                <c:pt idx="16">
                  <c:v>0.39215686274509803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5B-4078-96FB-2D5F81751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FRONT/REAR</c:v>
                </c:pt>
                <c:pt idx="11">
                  <c:v>LATCH</c:v>
                </c:pt>
                <c:pt idx="12">
                  <c:v>SLIDER</c:v>
                </c:pt>
                <c:pt idx="13">
                  <c:v>BASE</c:v>
                </c:pt>
                <c:pt idx="14">
                  <c:v>8LEAD</c:v>
                </c:pt>
                <c:pt idx="15">
                  <c:v>BASE</c:v>
                </c:pt>
              </c:strCache>
            </c:strRef>
          </c:cat>
          <c:val>
            <c:numRef>
              <c:f>'27'!$L$6:$L$22</c:f>
              <c:numCache>
                <c:formatCode>_(* #,##0_);_(* \(#,##0\);_(* "-"_);_(@_)</c:formatCode>
                <c:ptCount val="17"/>
                <c:pt idx="0">
                  <c:v>718</c:v>
                </c:pt>
                <c:pt idx="4">
                  <c:v>6524</c:v>
                </c:pt>
                <c:pt idx="5">
                  <c:v>60180</c:v>
                </c:pt>
                <c:pt idx="6">
                  <c:v>692</c:v>
                </c:pt>
                <c:pt idx="7">
                  <c:v>6344</c:v>
                </c:pt>
                <c:pt idx="12">
                  <c:v>6690</c:v>
                </c:pt>
                <c:pt idx="13">
                  <c:v>804</c:v>
                </c:pt>
                <c:pt idx="14">
                  <c:v>9026</c:v>
                </c:pt>
                <c:pt idx="15">
                  <c:v>4561</c:v>
                </c:pt>
                <c:pt idx="16">
                  <c:v>64240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50-4FFB-BEE1-37DF665EC887}"/>
            </c:ext>
          </c:extLst>
        </c:ser>
        <c:ser>
          <c:idx val="1"/>
          <c:order val="1"/>
          <c:tx>
            <c:v>계획</c:v>
          </c:tx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FRONT/REAR</c:v>
                </c:pt>
                <c:pt idx="11">
                  <c:v>LATCH</c:v>
                </c:pt>
                <c:pt idx="12">
                  <c:v>SLIDER</c:v>
                </c:pt>
                <c:pt idx="13">
                  <c:v>BASE</c:v>
                </c:pt>
                <c:pt idx="14">
                  <c:v>8LEAD</c:v>
                </c:pt>
                <c:pt idx="15">
                  <c:v>BASE</c:v>
                </c:pt>
              </c:strCache>
            </c:strRef>
          </c:cat>
          <c:val>
            <c:numRef>
              <c:f>'27'!$J$6:$J$22</c:f>
              <c:numCache>
                <c:formatCode>_(* #,##0_);_(* \(#,##0\);_(* "-"_);_(@_)</c:formatCode>
                <c:ptCount val="17"/>
                <c:pt idx="0">
                  <c:v>718</c:v>
                </c:pt>
                <c:pt idx="1">
                  <c:v>5300</c:v>
                </c:pt>
                <c:pt idx="2">
                  <c:v>2454</c:v>
                </c:pt>
                <c:pt idx="3">
                  <c:v>1167</c:v>
                </c:pt>
                <c:pt idx="4">
                  <c:v>6524</c:v>
                </c:pt>
                <c:pt idx="5">
                  <c:v>60180</c:v>
                </c:pt>
                <c:pt idx="6">
                  <c:v>692</c:v>
                </c:pt>
                <c:pt idx="7">
                  <c:v>6344</c:v>
                </c:pt>
                <c:pt idx="8">
                  <c:v>1744</c:v>
                </c:pt>
                <c:pt idx="9">
                  <c:v>3358</c:v>
                </c:pt>
                <c:pt idx="10">
                  <c:v>4412</c:v>
                </c:pt>
                <c:pt idx="11">
                  <c:v>1640</c:v>
                </c:pt>
                <c:pt idx="12">
                  <c:v>6690</c:v>
                </c:pt>
                <c:pt idx="13">
                  <c:v>804</c:v>
                </c:pt>
                <c:pt idx="14">
                  <c:v>9026</c:v>
                </c:pt>
                <c:pt idx="15">
                  <c:v>4561</c:v>
                </c:pt>
                <c:pt idx="16">
                  <c:v>64240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0-4FFB-BEE1-37DF665EC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'27'!$AD$6:$AD$22</c:f>
              <c:strCache>
                <c:ptCount val="17"/>
                <c:pt idx="0">
                  <c:v>17%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71%</c:v>
                </c:pt>
                <c:pt idx="5">
                  <c:v>100%</c:v>
                </c:pt>
                <c:pt idx="6">
                  <c:v>17%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71%</c:v>
                </c:pt>
                <c:pt idx="13">
                  <c:v>21%</c:v>
                </c:pt>
                <c:pt idx="14">
                  <c:v>100%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FRONT/REAR</c:v>
                </c:pt>
                <c:pt idx="11">
                  <c:v>LATCH</c:v>
                </c:pt>
                <c:pt idx="12">
                  <c:v>SLIDER</c:v>
                </c:pt>
                <c:pt idx="13">
                  <c:v>BASE</c:v>
                </c:pt>
                <c:pt idx="14">
                  <c:v>8LEAD</c:v>
                </c:pt>
                <c:pt idx="15">
                  <c:v>BASE</c:v>
                </c:pt>
              </c:strCache>
            </c:strRef>
          </c:cat>
          <c:val>
            <c:numRef>
              <c:f>'27'!$AD$6:$AD$22</c:f>
              <c:numCache>
                <c:formatCode>0%</c:formatCode>
                <c:ptCount val="17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0.70833333333333337</c:v>
                </c:pt>
                <c:pt idx="5">
                  <c:v>1</c:v>
                </c:pt>
                <c:pt idx="6">
                  <c:v>0.16666666666666666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0.20833333333333334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2-4F1B-8041-D6DC1B4FFDF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E2-4F1B-8041-D6DC1B4FFDF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FRONT/REAR</c:v>
                </c:pt>
                <c:pt idx="11">
                  <c:v>LATCH</c:v>
                </c:pt>
                <c:pt idx="12">
                  <c:v>SLIDER</c:v>
                </c:pt>
                <c:pt idx="13">
                  <c:v>BASE</c:v>
                </c:pt>
                <c:pt idx="14">
                  <c:v>8LEAD</c:v>
                </c:pt>
                <c:pt idx="15">
                  <c:v>BASE</c:v>
                </c:pt>
              </c:strCache>
            </c:strRef>
          </c:cat>
          <c:val>
            <c:numRef>
              <c:f>'27'!$AE$6:$AE$22</c:f>
              <c:numCache>
                <c:formatCode>0%</c:formatCode>
                <c:ptCount val="17"/>
                <c:pt idx="0">
                  <c:v>0.39215686274509803</c:v>
                </c:pt>
                <c:pt idx="1">
                  <c:v>0.39215686274509803</c:v>
                </c:pt>
                <c:pt idx="2">
                  <c:v>0.39215686274509803</c:v>
                </c:pt>
                <c:pt idx="3">
                  <c:v>0.39215686274509803</c:v>
                </c:pt>
                <c:pt idx="4">
                  <c:v>0.39215686274509803</c:v>
                </c:pt>
                <c:pt idx="5">
                  <c:v>0.39215686274509803</c:v>
                </c:pt>
                <c:pt idx="6">
                  <c:v>0.39215686274509803</c:v>
                </c:pt>
                <c:pt idx="7">
                  <c:v>0.39215686274509803</c:v>
                </c:pt>
                <c:pt idx="8">
                  <c:v>0.39215686274509803</c:v>
                </c:pt>
                <c:pt idx="9">
                  <c:v>0.39215686274509803</c:v>
                </c:pt>
                <c:pt idx="10">
                  <c:v>0.39215686274509803</c:v>
                </c:pt>
                <c:pt idx="11">
                  <c:v>0.39215686274509803</c:v>
                </c:pt>
                <c:pt idx="12">
                  <c:v>0.39215686274509803</c:v>
                </c:pt>
                <c:pt idx="13">
                  <c:v>0.39215686274509803</c:v>
                </c:pt>
                <c:pt idx="14">
                  <c:v>0.39215686274509803</c:v>
                </c:pt>
                <c:pt idx="15">
                  <c:v>0.39215686274509803</c:v>
                </c:pt>
                <c:pt idx="16">
                  <c:v>0.39215686274509803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E2-4F1B-8041-D6DC1B4FF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410-4ECD-8175-8C70C7071D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0-4ECD-8175-8C70C70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410-4ECD-8175-8C70C7071DA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10-4ECD-8175-8C70C70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8LEAD</c:v>
                </c:pt>
                <c:pt idx="14">
                  <c:v>BASE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5">
                  <c:v>61720</c:v>
                </c:pt>
                <c:pt idx="7">
                  <c:v>426</c:v>
                </c:pt>
                <c:pt idx="12">
                  <c:v>3385</c:v>
                </c:pt>
                <c:pt idx="13">
                  <c:v>10676</c:v>
                </c:pt>
                <c:pt idx="14">
                  <c:v>4719</c:v>
                </c:pt>
                <c:pt idx="15">
                  <c:v>72608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E-4564-913B-E4F44AE7B357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8LEAD</c:v>
                </c:pt>
                <c:pt idx="14">
                  <c:v>BASE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718</c:v>
                </c:pt>
                <c:pt idx="1">
                  <c:v>5300</c:v>
                </c:pt>
                <c:pt idx="2">
                  <c:v>2454</c:v>
                </c:pt>
                <c:pt idx="3">
                  <c:v>1167</c:v>
                </c:pt>
                <c:pt idx="4">
                  <c:v>6524</c:v>
                </c:pt>
                <c:pt idx="5">
                  <c:v>61720</c:v>
                </c:pt>
                <c:pt idx="6">
                  <c:v>692</c:v>
                </c:pt>
                <c:pt idx="7">
                  <c:v>426</c:v>
                </c:pt>
                <c:pt idx="8">
                  <c:v>3358</c:v>
                </c:pt>
                <c:pt idx="9">
                  <c:v>4412</c:v>
                </c:pt>
                <c:pt idx="10">
                  <c:v>1640</c:v>
                </c:pt>
                <c:pt idx="11">
                  <c:v>6690</c:v>
                </c:pt>
                <c:pt idx="12">
                  <c:v>3385</c:v>
                </c:pt>
                <c:pt idx="13">
                  <c:v>10676</c:v>
                </c:pt>
                <c:pt idx="14">
                  <c:v>4719</c:v>
                </c:pt>
                <c:pt idx="15">
                  <c:v>72608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4E-4564-913B-E4F44AE7B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79%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8LEAD</c:v>
                </c:pt>
                <c:pt idx="14">
                  <c:v>BASE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0.79166666666666663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B-4F05-B469-439D8108557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5B-4F05-B469-439D8108557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8LEAD</c:v>
                </c:pt>
                <c:pt idx="14">
                  <c:v>BASE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0.3046875</c:v>
                </c:pt>
                <c:pt idx="1">
                  <c:v>0.3046875</c:v>
                </c:pt>
                <c:pt idx="2">
                  <c:v>0.3046875</c:v>
                </c:pt>
                <c:pt idx="3">
                  <c:v>0.3046875</c:v>
                </c:pt>
                <c:pt idx="4">
                  <c:v>0.3046875</c:v>
                </c:pt>
                <c:pt idx="5">
                  <c:v>0.3046875</c:v>
                </c:pt>
                <c:pt idx="6">
                  <c:v>0.3046875</c:v>
                </c:pt>
                <c:pt idx="7">
                  <c:v>0.3046875</c:v>
                </c:pt>
                <c:pt idx="8">
                  <c:v>0.3046875</c:v>
                </c:pt>
                <c:pt idx="9">
                  <c:v>0.3046875</c:v>
                </c:pt>
                <c:pt idx="10">
                  <c:v>0.3046875</c:v>
                </c:pt>
                <c:pt idx="11">
                  <c:v>0.3046875</c:v>
                </c:pt>
                <c:pt idx="12">
                  <c:v>0.3046875</c:v>
                </c:pt>
                <c:pt idx="13">
                  <c:v>0.3046875</c:v>
                </c:pt>
                <c:pt idx="14">
                  <c:v>0.3046875</c:v>
                </c:pt>
                <c:pt idx="15">
                  <c:v>0.3046875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B-4F05-B469-439D81085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8LEAD</c:v>
                </c:pt>
                <c:pt idx="14">
                  <c:v>BASE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5">
                  <c:v>61720</c:v>
                </c:pt>
                <c:pt idx="7">
                  <c:v>426</c:v>
                </c:pt>
                <c:pt idx="12">
                  <c:v>3385</c:v>
                </c:pt>
                <c:pt idx="13">
                  <c:v>10676</c:v>
                </c:pt>
                <c:pt idx="14">
                  <c:v>4719</c:v>
                </c:pt>
                <c:pt idx="15">
                  <c:v>72608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8-46EA-9AF8-3DCCB9E9647D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8LEAD</c:v>
                </c:pt>
                <c:pt idx="14">
                  <c:v>BASE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718</c:v>
                </c:pt>
                <c:pt idx="1">
                  <c:v>5300</c:v>
                </c:pt>
                <c:pt idx="2">
                  <c:v>2454</c:v>
                </c:pt>
                <c:pt idx="3">
                  <c:v>1167</c:v>
                </c:pt>
                <c:pt idx="4">
                  <c:v>6524</c:v>
                </c:pt>
                <c:pt idx="5">
                  <c:v>61720</c:v>
                </c:pt>
                <c:pt idx="6">
                  <c:v>692</c:v>
                </c:pt>
                <c:pt idx="7">
                  <c:v>426</c:v>
                </c:pt>
                <c:pt idx="8">
                  <c:v>3358</c:v>
                </c:pt>
                <c:pt idx="9">
                  <c:v>4412</c:v>
                </c:pt>
                <c:pt idx="10">
                  <c:v>1640</c:v>
                </c:pt>
                <c:pt idx="11">
                  <c:v>6690</c:v>
                </c:pt>
                <c:pt idx="12">
                  <c:v>3385</c:v>
                </c:pt>
                <c:pt idx="13">
                  <c:v>10676</c:v>
                </c:pt>
                <c:pt idx="14">
                  <c:v>4719</c:v>
                </c:pt>
                <c:pt idx="15">
                  <c:v>72608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8-46EA-9AF8-3DCCB9E96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79%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8LEAD</c:v>
                </c:pt>
                <c:pt idx="14">
                  <c:v>BASE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0.79166666666666663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28-4B61-A476-8563FEE0828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28-4B61-A476-8563FEE0828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8LEAD</c:v>
                </c:pt>
                <c:pt idx="14">
                  <c:v>BASE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0.3046875</c:v>
                </c:pt>
                <c:pt idx="1">
                  <c:v>0.3046875</c:v>
                </c:pt>
                <c:pt idx="2">
                  <c:v>0.3046875</c:v>
                </c:pt>
                <c:pt idx="3">
                  <c:v>0.3046875</c:v>
                </c:pt>
                <c:pt idx="4">
                  <c:v>0.3046875</c:v>
                </c:pt>
                <c:pt idx="5">
                  <c:v>0.3046875</c:v>
                </c:pt>
                <c:pt idx="6">
                  <c:v>0.3046875</c:v>
                </c:pt>
                <c:pt idx="7">
                  <c:v>0.3046875</c:v>
                </c:pt>
                <c:pt idx="8">
                  <c:v>0.3046875</c:v>
                </c:pt>
                <c:pt idx="9">
                  <c:v>0.3046875</c:v>
                </c:pt>
                <c:pt idx="10">
                  <c:v>0.3046875</c:v>
                </c:pt>
                <c:pt idx="11">
                  <c:v>0.3046875</c:v>
                </c:pt>
                <c:pt idx="12">
                  <c:v>0.3046875</c:v>
                </c:pt>
                <c:pt idx="13">
                  <c:v>0.3046875</c:v>
                </c:pt>
                <c:pt idx="14">
                  <c:v>0.3046875</c:v>
                </c:pt>
                <c:pt idx="15">
                  <c:v>0.3046875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28-4B61-A476-8563FEE08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5A4-430B-80C7-A2D2F81C79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A4-430B-80C7-A2D2F81C7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5A4-430B-80C7-A2D2F81C794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A4-430B-80C7-A2D2F81C7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'29'!$L$6:$L$22</c:f>
              <c:numCache>
                <c:formatCode>_(* #,##0_);_(* \(#,##0\);_(* "-"_);_(@_)</c:formatCode>
                <c:ptCount val="17"/>
                <c:pt idx="0">
                  <c:v>3044</c:v>
                </c:pt>
                <c:pt idx="3">
                  <c:v>3600</c:v>
                </c:pt>
                <c:pt idx="5">
                  <c:v>68740</c:v>
                </c:pt>
                <c:pt idx="6">
                  <c:v>4200</c:v>
                </c:pt>
                <c:pt idx="7">
                  <c:v>6000</c:v>
                </c:pt>
                <c:pt idx="9">
                  <c:v>3060</c:v>
                </c:pt>
                <c:pt idx="12">
                  <c:v>5207</c:v>
                </c:pt>
                <c:pt idx="13">
                  <c:v>841</c:v>
                </c:pt>
                <c:pt idx="14">
                  <c:v>1347</c:v>
                </c:pt>
                <c:pt idx="16">
                  <c:v>74100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1-45FA-A8F6-689F889A34C6}"/>
            </c:ext>
          </c:extLst>
        </c:ser>
        <c:ser>
          <c:idx val="1"/>
          <c:order val="1"/>
          <c:tx>
            <c:v>계획</c:v>
          </c:tx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'29'!$J$6:$J$22</c:f>
              <c:numCache>
                <c:formatCode>_(* #,##0_);_(* \(#,##0\);_(* "-"_);_(@_)</c:formatCode>
                <c:ptCount val="17"/>
                <c:pt idx="0">
                  <c:v>3044</c:v>
                </c:pt>
                <c:pt idx="1">
                  <c:v>5300</c:v>
                </c:pt>
                <c:pt idx="2">
                  <c:v>2454</c:v>
                </c:pt>
                <c:pt idx="3">
                  <c:v>3600</c:v>
                </c:pt>
                <c:pt idx="4">
                  <c:v>6524</c:v>
                </c:pt>
                <c:pt idx="5">
                  <c:v>68740</c:v>
                </c:pt>
                <c:pt idx="6">
                  <c:v>4200</c:v>
                </c:pt>
                <c:pt idx="7">
                  <c:v>6000</c:v>
                </c:pt>
                <c:pt idx="8">
                  <c:v>3358</c:v>
                </c:pt>
                <c:pt idx="9">
                  <c:v>3060</c:v>
                </c:pt>
                <c:pt idx="10">
                  <c:v>1640</c:v>
                </c:pt>
                <c:pt idx="11">
                  <c:v>6690</c:v>
                </c:pt>
                <c:pt idx="12">
                  <c:v>5207</c:v>
                </c:pt>
                <c:pt idx="13">
                  <c:v>841</c:v>
                </c:pt>
                <c:pt idx="14">
                  <c:v>1347</c:v>
                </c:pt>
                <c:pt idx="15">
                  <c:v>4719</c:v>
                </c:pt>
                <c:pt idx="16">
                  <c:v>74100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1-45FA-A8F6-689F889A3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'29'!$AD$6:$AD$22</c:f>
              <c:strCache>
                <c:ptCount val="17"/>
                <c:pt idx="0">
                  <c:v>67%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0%</c:v>
                </c:pt>
                <c:pt idx="5">
                  <c:v>100%</c:v>
                </c:pt>
                <c:pt idx="6">
                  <c:v>50%</c:v>
                </c:pt>
                <c:pt idx="7">
                  <c:v>58%</c:v>
                </c:pt>
                <c:pt idx="8">
                  <c:v>0%</c:v>
                </c:pt>
                <c:pt idx="9">
                  <c:v>71%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25%</c:v>
                </c:pt>
                <c:pt idx="14">
                  <c:v>42%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'29'!$AD$6:$AD$22</c:f>
              <c:numCache>
                <c:formatCode>0%</c:formatCode>
                <c:ptCount val="17"/>
                <c:pt idx="0">
                  <c:v>0.66666666666666663</c:v>
                </c:pt>
                <c:pt idx="1">
                  <c:v>0</c:v>
                </c:pt>
                <c:pt idx="2">
                  <c:v>0</c:v>
                </c:pt>
                <c:pt idx="3">
                  <c:v>0.41666666666666669</c:v>
                </c:pt>
                <c:pt idx="4">
                  <c:v>0</c:v>
                </c:pt>
                <c:pt idx="5">
                  <c:v>1</c:v>
                </c:pt>
                <c:pt idx="6">
                  <c:v>0.5</c:v>
                </c:pt>
                <c:pt idx="7">
                  <c:v>0.58333333333333337</c:v>
                </c:pt>
                <c:pt idx="8">
                  <c:v>0</c:v>
                </c:pt>
                <c:pt idx="9">
                  <c:v>0.70833333333333337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0.25</c:v>
                </c:pt>
                <c:pt idx="14">
                  <c:v>0.41666666666666669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D-4F80-AA93-1C8A0D04E7D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8D-4F80-AA93-1C8A0D04E7D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'29'!$AE$6:$AE$22</c:f>
              <c:numCache>
                <c:formatCode>0%</c:formatCode>
                <c:ptCount val="17"/>
                <c:pt idx="0">
                  <c:v>0.38480392156862747</c:v>
                </c:pt>
                <c:pt idx="1">
                  <c:v>0.38480392156862747</c:v>
                </c:pt>
                <c:pt idx="2">
                  <c:v>0.38480392156862747</c:v>
                </c:pt>
                <c:pt idx="3">
                  <c:v>0.38480392156862747</c:v>
                </c:pt>
                <c:pt idx="4">
                  <c:v>0.38480392156862747</c:v>
                </c:pt>
                <c:pt idx="5">
                  <c:v>0.38480392156862747</c:v>
                </c:pt>
                <c:pt idx="6">
                  <c:v>0.38480392156862747</c:v>
                </c:pt>
                <c:pt idx="7">
                  <c:v>0.38480392156862747</c:v>
                </c:pt>
                <c:pt idx="8">
                  <c:v>0.38480392156862747</c:v>
                </c:pt>
                <c:pt idx="9">
                  <c:v>0.38480392156862747</c:v>
                </c:pt>
                <c:pt idx="10">
                  <c:v>0.38480392156862747</c:v>
                </c:pt>
                <c:pt idx="11">
                  <c:v>0.38480392156862747</c:v>
                </c:pt>
                <c:pt idx="12">
                  <c:v>0.38480392156862747</c:v>
                </c:pt>
                <c:pt idx="13">
                  <c:v>0.38480392156862747</c:v>
                </c:pt>
                <c:pt idx="14">
                  <c:v>0.38480392156862747</c:v>
                </c:pt>
                <c:pt idx="15">
                  <c:v>0.38480392156862747</c:v>
                </c:pt>
                <c:pt idx="16">
                  <c:v>0.38480392156862747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8D-4F80-AA93-1C8A0D04E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'29'!$L$6:$L$22</c:f>
              <c:numCache>
                <c:formatCode>_(* #,##0_);_(* \(#,##0\);_(* "-"_);_(@_)</c:formatCode>
                <c:ptCount val="17"/>
                <c:pt idx="0">
                  <c:v>3044</c:v>
                </c:pt>
                <c:pt idx="3">
                  <c:v>3600</c:v>
                </c:pt>
                <c:pt idx="5">
                  <c:v>68740</c:v>
                </c:pt>
                <c:pt idx="6">
                  <c:v>4200</c:v>
                </c:pt>
                <c:pt idx="7">
                  <c:v>6000</c:v>
                </c:pt>
                <c:pt idx="9">
                  <c:v>3060</c:v>
                </c:pt>
                <c:pt idx="12">
                  <c:v>5207</c:v>
                </c:pt>
                <c:pt idx="13">
                  <c:v>841</c:v>
                </c:pt>
                <c:pt idx="14">
                  <c:v>1347</c:v>
                </c:pt>
                <c:pt idx="16">
                  <c:v>74100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E-45E0-93D2-5119F49D1DD4}"/>
            </c:ext>
          </c:extLst>
        </c:ser>
        <c:ser>
          <c:idx val="1"/>
          <c:order val="1"/>
          <c:tx>
            <c:v>계획</c:v>
          </c:tx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'29'!$J$6:$J$22</c:f>
              <c:numCache>
                <c:formatCode>_(* #,##0_);_(* \(#,##0\);_(* "-"_);_(@_)</c:formatCode>
                <c:ptCount val="17"/>
                <c:pt idx="0">
                  <c:v>3044</c:v>
                </c:pt>
                <c:pt idx="1">
                  <c:v>5300</c:v>
                </c:pt>
                <c:pt idx="2">
                  <c:v>2454</c:v>
                </c:pt>
                <c:pt idx="3">
                  <c:v>3600</c:v>
                </c:pt>
                <c:pt idx="4">
                  <c:v>6524</c:v>
                </c:pt>
                <c:pt idx="5">
                  <c:v>68740</c:v>
                </c:pt>
                <c:pt idx="6">
                  <c:v>4200</c:v>
                </c:pt>
                <c:pt idx="7">
                  <c:v>6000</c:v>
                </c:pt>
                <c:pt idx="8">
                  <c:v>3358</c:v>
                </c:pt>
                <c:pt idx="9">
                  <c:v>3060</c:v>
                </c:pt>
                <c:pt idx="10">
                  <c:v>1640</c:v>
                </c:pt>
                <c:pt idx="11">
                  <c:v>6690</c:v>
                </c:pt>
                <c:pt idx="12">
                  <c:v>5207</c:v>
                </c:pt>
                <c:pt idx="13">
                  <c:v>841</c:v>
                </c:pt>
                <c:pt idx="14">
                  <c:v>1347</c:v>
                </c:pt>
                <c:pt idx="15">
                  <c:v>4719</c:v>
                </c:pt>
                <c:pt idx="16">
                  <c:v>74100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E-45E0-93D2-5119F49D1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'29'!$AD$6:$AD$22</c:f>
              <c:strCache>
                <c:ptCount val="17"/>
                <c:pt idx="0">
                  <c:v>67%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0%</c:v>
                </c:pt>
                <c:pt idx="5">
                  <c:v>100%</c:v>
                </c:pt>
                <c:pt idx="6">
                  <c:v>50%</c:v>
                </c:pt>
                <c:pt idx="7">
                  <c:v>58%</c:v>
                </c:pt>
                <c:pt idx="8">
                  <c:v>0%</c:v>
                </c:pt>
                <c:pt idx="9">
                  <c:v>71%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25%</c:v>
                </c:pt>
                <c:pt idx="14">
                  <c:v>42%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'29'!$AD$6:$AD$22</c:f>
              <c:numCache>
                <c:formatCode>0%</c:formatCode>
                <c:ptCount val="17"/>
                <c:pt idx="0">
                  <c:v>0.66666666666666663</c:v>
                </c:pt>
                <c:pt idx="1">
                  <c:v>0</c:v>
                </c:pt>
                <c:pt idx="2">
                  <c:v>0</c:v>
                </c:pt>
                <c:pt idx="3">
                  <c:v>0.41666666666666669</c:v>
                </c:pt>
                <c:pt idx="4">
                  <c:v>0</c:v>
                </c:pt>
                <c:pt idx="5">
                  <c:v>1</c:v>
                </c:pt>
                <c:pt idx="6">
                  <c:v>0.5</c:v>
                </c:pt>
                <c:pt idx="7">
                  <c:v>0.58333333333333337</c:v>
                </c:pt>
                <c:pt idx="8">
                  <c:v>0</c:v>
                </c:pt>
                <c:pt idx="9">
                  <c:v>0.70833333333333337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0.25</c:v>
                </c:pt>
                <c:pt idx="14">
                  <c:v>0.41666666666666669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5-4E1B-B8CC-0BD881598AF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75-4E1B-B8CC-0BD881598A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10">
                  <c:v>LATCH</c:v>
                </c:pt>
                <c:pt idx="11">
                  <c:v>SLIDER</c:v>
                </c:pt>
                <c:pt idx="12">
                  <c:v>BASE</c:v>
                </c:pt>
                <c:pt idx="13">
                  <c:v>BOTTOM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'29'!$AE$6:$AE$22</c:f>
              <c:numCache>
                <c:formatCode>0%</c:formatCode>
                <c:ptCount val="17"/>
                <c:pt idx="0">
                  <c:v>0.38480392156862747</c:v>
                </c:pt>
                <c:pt idx="1">
                  <c:v>0.38480392156862747</c:v>
                </c:pt>
                <c:pt idx="2">
                  <c:v>0.38480392156862747</c:v>
                </c:pt>
                <c:pt idx="3">
                  <c:v>0.38480392156862747</c:v>
                </c:pt>
                <c:pt idx="4">
                  <c:v>0.38480392156862747</c:v>
                </c:pt>
                <c:pt idx="5">
                  <c:v>0.38480392156862747</c:v>
                </c:pt>
                <c:pt idx="6">
                  <c:v>0.38480392156862747</c:v>
                </c:pt>
                <c:pt idx="7">
                  <c:v>0.38480392156862747</c:v>
                </c:pt>
                <c:pt idx="8">
                  <c:v>0.38480392156862747</c:v>
                </c:pt>
                <c:pt idx="9">
                  <c:v>0.38480392156862747</c:v>
                </c:pt>
                <c:pt idx="10">
                  <c:v>0.38480392156862747</c:v>
                </c:pt>
                <c:pt idx="11">
                  <c:v>0.38480392156862747</c:v>
                </c:pt>
                <c:pt idx="12">
                  <c:v>0.38480392156862747</c:v>
                </c:pt>
                <c:pt idx="13">
                  <c:v>0.38480392156862747</c:v>
                </c:pt>
                <c:pt idx="14">
                  <c:v>0.38480392156862747</c:v>
                </c:pt>
                <c:pt idx="15">
                  <c:v>0.38480392156862747</c:v>
                </c:pt>
                <c:pt idx="16">
                  <c:v>0.38480392156862747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5-4E1B-B8CC-0BD88159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96C-489A-BB31-455ED05806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6C-489A-BB31-455ED0580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96C-489A-BB31-455ED05806E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6C-489A-BB31-455ED0580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05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0.52546296296296302</c:v>
                </c:pt>
                <c:pt idx="1">
                  <c:v>0.58333333333333337</c:v>
                </c:pt>
                <c:pt idx="3">
                  <c:v>0.40686274509803927</c:v>
                </c:pt>
                <c:pt idx="4">
                  <c:v>0.64062499999999989</c:v>
                </c:pt>
                <c:pt idx="5">
                  <c:v>0.640625</c:v>
                </c:pt>
                <c:pt idx="6">
                  <c:v>0.59313725490196068</c:v>
                </c:pt>
                <c:pt idx="7">
                  <c:v>0.52083333333333337</c:v>
                </c:pt>
                <c:pt idx="8">
                  <c:v>0.57552083333333337</c:v>
                </c:pt>
                <c:pt idx="9">
                  <c:v>0.26822916666666663</c:v>
                </c:pt>
                <c:pt idx="10">
                  <c:v>0.50980392156862753</c:v>
                </c:pt>
                <c:pt idx="11">
                  <c:v>0.51754385964912275</c:v>
                </c:pt>
                <c:pt idx="12">
                  <c:v>0.48039215686274517</c:v>
                </c:pt>
                <c:pt idx="13">
                  <c:v>0.32500000000000001</c:v>
                </c:pt>
                <c:pt idx="14">
                  <c:v>0.43640350877192979</c:v>
                </c:pt>
                <c:pt idx="15">
                  <c:v>0.55637254901960775</c:v>
                </c:pt>
                <c:pt idx="17">
                  <c:v>0.39062500000000006</c:v>
                </c:pt>
                <c:pt idx="18">
                  <c:v>0.37990196078431376</c:v>
                </c:pt>
                <c:pt idx="19">
                  <c:v>0.46875000000000006</c:v>
                </c:pt>
                <c:pt idx="20">
                  <c:v>0.48284313725490202</c:v>
                </c:pt>
                <c:pt idx="21">
                  <c:v>0.53234231080333649</c:v>
                </c:pt>
                <c:pt idx="24">
                  <c:v>0.51225490196078438</c:v>
                </c:pt>
                <c:pt idx="25">
                  <c:v>0.42401960784313725</c:v>
                </c:pt>
                <c:pt idx="26">
                  <c:v>0.39215686274509803</c:v>
                </c:pt>
                <c:pt idx="27">
                  <c:v>0.3046875</c:v>
                </c:pt>
                <c:pt idx="28">
                  <c:v>0.38480392156862747</c:v>
                </c:pt>
                <c:pt idx="31">
                  <c:v>0.38233970414393104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05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총괄!$A$3:$A$18</c:f>
              <c:strCache>
                <c:ptCount val="16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</c:strCache>
            </c:strRef>
          </c:cat>
          <c:val>
            <c:numRef>
              <c:f>총괄!$AG$3:$AG$18</c:f>
              <c:numCache>
                <c:formatCode>0%</c:formatCode>
                <c:ptCount val="16"/>
                <c:pt idx="0">
                  <c:v>0.35080645161290319</c:v>
                </c:pt>
                <c:pt idx="1">
                  <c:v>0.24865591397849465</c:v>
                </c:pt>
                <c:pt idx="2">
                  <c:v>0.510752688172043</c:v>
                </c:pt>
                <c:pt idx="3">
                  <c:v>0.38575268817204289</c:v>
                </c:pt>
                <c:pt idx="4">
                  <c:v>0.53494623655913975</c:v>
                </c:pt>
                <c:pt idx="5">
                  <c:v>0.64919354838709675</c:v>
                </c:pt>
                <c:pt idx="6">
                  <c:v>0.54704301075268813</c:v>
                </c:pt>
                <c:pt idx="7">
                  <c:v>0.59946236559139787</c:v>
                </c:pt>
                <c:pt idx="8">
                  <c:v>6.5860215053763452E-2</c:v>
                </c:pt>
                <c:pt idx="9">
                  <c:v>6.7204301075268827E-2</c:v>
                </c:pt>
                <c:pt idx="10">
                  <c:v>0.22177419354838707</c:v>
                </c:pt>
                <c:pt idx="11">
                  <c:v>0.17069892473118281</c:v>
                </c:pt>
                <c:pt idx="12">
                  <c:v>0.62096774193548387</c:v>
                </c:pt>
                <c:pt idx="13">
                  <c:v>0.66020922420398032</c:v>
                </c:pt>
                <c:pt idx="14">
                  <c:v>0.41935483870967749</c:v>
                </c:pt>
                <c:pt idx="15">
                  <c:v>0.44892473118279569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7.xml"/><Relationship Id="rId1" Type="http://schemas.openxmlformats.org/officeDocument/2006/relationships/chart" Target="../charts/chart116.xml"/><Relationship Id="rId6" Type="http://schemas.openxmlformats.org/officeDocument/2006/relationships/chart" Target="../charts/chart120.xml"/><Relationship Id="rId5" Type="http://schemas.openxmlformats.org/officeDocument/2006/relationships/chart" Target="../charts/chart119.xml"/><Relationship Id="rId4" Type="http://schemas.openxmlformats.org/officeDocument/2006/relationships/chart" Target="../charts/chart118.xml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2.xml"/><Relationship Id="rId1" Type="http://schemas.openxmlformats.org/officeDocument/2006/relationships/chart" Target="../charts/chart121.xml"/><Relationship Id="rId6" Type="http://schemas.openxmlformats.org/officeDocument/2006/relationships/chart" Target="../charts/chart125.xml"/><Relationship Id="rId5" Type="http://schemas.openxmlformats.org/officeDocument/2006/relationships/chart" Target="../charts/chart124.xml"/><Relationship Id="rId4" Type="http://schemas.openxmlformats.org/officeDocument/2006/relationships/chart" Target="../charts/chart123.xml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7.xml"/><Relationship Id="rId1" Type="http://schemas.openxmlformats.org/officeDocument/2006/relationships/chart" Target="../charts/chart1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43EC807-59E2-49E7-A1B6-802B24F15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D7F500D-20A6-4623-8FEB-5EEC4E0DE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580F149-F91F-4631-B303-5ABA3E44B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4F5015C-3B0E-4362-A37E-DE14BE26A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E7A20BC-B302-43E6-982C-5119F734F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526B639-DEE9-4619-BA79-593EAEE9C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A9DABAE-DD69-4278-8DBC-F24B65E8C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4B1142-EEAE-43BA-B6C5-ED246BB1F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6980259-7C26-481A-9BDA-0BDB55B03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E406F9A-E7D0-4678-B307-7D44B703D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759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FAFEDA4-2717-46F2-B8E2-FFEA00606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B5CB07B-0F68-4475-80B8-C8F0D4BD9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239C0E6-0596-41E6-86C5-B9E4341C9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759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2B6CCEA-1AE2-4741-9DF1-EAB26DF8A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81A265E-056F-4747-BEC3-1F02FB6B4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CA67EC2-9900-4F90-B5BE-0E6556AAB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B320A6B-ACA5-4BB3-940B-3C8C1235A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759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1EF4356-2C04-41E3-ADA3-E38B3522F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ACAABB4-9862-4876-B4C5-DC96A47A7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074A08A-5E65-49A1-99CA-349CACC88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759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2A3CD15-D460-47D0-9560-D0187BF36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0D200ED-05B9-4404-AC27-BC63A65BF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FD546E2-44A4-47C1-98EE-2C4761EE8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120B1E-7755-408D-9917-61B57C0F6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68102E3-E6DC-411D-9DD7-CE4EEA76B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CEED9DC-35B9-43B3-AEF9-9DFE532A6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7DB6105-DD76-4E71-AD9F-F47218CC4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FC328B1-EDC2-4D52-817E-8CF2457D7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B69C19C-6C23-46EC-8804-B64DC5975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93DA387-8230-4FEE-A3E1-9C27BFD04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1EC14D0-2CA9-45E1-9DE2-CDDE1F125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9E1B283-B128-4E1B-ADA6-CB5ADE7298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08DF191-E5AD-4FA1-A5FF-DE10F43B54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2A61AC1-18D5-4D85-8669-46D0C4B9D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F88862A-9E9F-4F9A-8009-CED8CECB0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A0804FB-B272-49CC-B189-8C290DC19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3773B51-65FE-431B-80CD-227B6B0F2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53F7E07-9EDB-4068-A047-067366081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E5350FA-546B-4D6F-96CE-148888E84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62576B2-F654-4FD5-AE51-1E27F504D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A4C8835-0F32-4A8E-A5C7-9C987E10E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F882BA3-B5A3-425E-BC2E-058D9A7C6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D7D498E-AF3B-4D57-A9B5-2FE4743B1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258B2AC-2CB9-47AA-99DF-33305AB20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D56EE24-9FF9-4ABE-8290-AB3728E13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ABFDE06-9699-4638-85BB-1678F05CB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05CCD42-7F03-4F2E-9399-DC817DF0F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F6C9EA2-D7E6-4CFA-9B20-E53331BF4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B17D674-3CF1-460F-8EAA-51CD5C1E8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AA4FCDE-4440-4828-BF21-990C614AA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59D3D0B-7687-4E3E-9770-1E5E0388F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E828A32-B9C1-4E7B-9FE1-F02F90192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5557A50-EDCE-4147-9760-1EA04E78C9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A23AAAB-6EAE-45F7-B2DF-1C4606AAF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9A3EB72-3739-4F34-BA00-103CE0178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80A1124-AE30-4C3F-9638-E1881D160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CF17C11-D4B4-42B5-BAD8-23A6D3DF1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27CB86E-09C6-48C4-85E1-E8131495B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CAA74F6-C1B1-4F4A-A97B-7D2F0BFEC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59D0157-E070-442B-B09B-B12729433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D93B0F0-89B7-4579-87B5-73EBDA284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326305B-A81A-4490-A1A9-7BE3384AD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70B724C-BCD0-4056-BDA1-2D8CD036C8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C0D83BF-771A-4F09-9090-7DE30DD92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706061E-0300-4FEA-A1DE-00B788EA7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A4E2E57-8B87-4BFB-966A-C9CF57C6F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249D186-EC1F-4707-B686-AAC1D4724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47409A7-03F4-43B2-9F1C-B5A9199D3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687B8B4-F2E0-421E-8783-ED81988C4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8E3654C-D6AD-475C-9EED-FB391D97A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D8742E0-45EE-45E3-817A-C0CD89AE2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D76C396-013D-46A7-8978-22EBEE482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6FAB12E-C46D-4DB3-B6DB-0C73DC35C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7264FBF-1DD8-4EA4-8D08-5C16674E3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6B40AD1-F279-4292-8633-2ECC7F953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EA62D5B-9A31-4A9B-A63E-EFE2F4E99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41</xdr:row>
      <xdr:rowOff>13607</xdr:rowOff>
    </xdr:from>
    <xdr:to>
      <xdr:col>29</xdr:col>
      <xdr:colOff>476250</xdr:colOff>
      <xdr:row>49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47B96AB-7774-4BC1-A246-9599CF8F67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E5C194C-4B72-4C58-86FC-EA3F4CD2F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77039E9-78EB-4D48-B26E-911EBC279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9F87608-9415-41C8-89DC-A89A3ACCF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04E4016-54B5-4F14-B917-08478045C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A25BE26-D1A4-4FF4-A0DF-5AA85BA26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63A51BA-C925-4956-AD6C-FA896D3E2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3322E80-2506-4526-9A3B-71EA44FFE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13E4A55-FF42-4276-8D5C-789B80E4F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EEDBABB-3D05-4EEA-B406-9B8C52A8A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4CE5A83-EA21-4AAF-830B-EBC24F50C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7A4E80E-B4A2-434F-8D3C-749683AA0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B38BCD8-88B4-4A1D-B95D-5BC1BA6CC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3C95EB5-0A81-4B41-8F70-7B199E122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42</xdr:row>
      <xdr:rowOff>13607</xdr:rowOff>
    </xdr:from>
    <xdr:to>
      <xdr:col>29</xdr:col>
      <xdr:colOff>476250</xdr:colOff>
      <xdr:row>50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3AF13BC-67B1-458F-98C8-383594B1C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0CA6EED-B182-4693-A768-961CFA888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9C4699E-8518-41C5-A3B6-2AB78FEF3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0B5F6F9-3E58-4549-8BE2-8988FE3E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122A10E-EBFD-4945-9039-115A96F56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A6DF4EA-A725-4217-98BE-07F84DB68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F868B62-565B-41AB-A0D0-5D66B393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41</xdr:row>
      <xdr:rowOff>13607</xdr:rowOff>
    </xdr:from>
    <xdr:to>
      <xdr:col>29</xdr:col>
      <xdr:colOff>476250</xdr:colOff>
      <xdr:row>49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E1FF548-EE40-438D-9EA4-A6F8DF56B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D43DA3C-9C53-4A97-9E71-4DEA9558E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3D47318-9595-4971-822A-AF8E09E7E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D4BEF08-0B3D-4D48-BBAD-B6321B2D8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0D0F717-8DA2-45E8-83CD-14347A240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DAEACE7-A814-40D4-9A05-C1720CD6C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A3B4CC6-8E66-4E31-BEF3-0441FB35D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D3FB8F4-84FD-4181-9EED-83B0CB902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A5514D-3E6B-434F-AAD7-D0CE2BAB3A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7A9D8BE-53C5-4A62-BD7E-0AEDB7B15A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71F7009-4332-406B-8226-F1453960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0AD2E98-16AD-4F8A-AFFB-8B2CC96EF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2448866-CE90-416B-B316-C3A4AA3FE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8FEB9C6-BF6C-4AD1-917C-BFA8E7794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0E15E56-A6F8-4333-B4BF-0D8C3DDF8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BDCF2D8-AC83-4553-98D0-CD65A4770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CC75498-2845-4825-BDD2-272C9E717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BA7C23D-33BC-4256-9C2D-468B8E391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F68CA1C-1188-4775-B673-8E38AD662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9441D00-1F81-4987-BE17-9469ADA960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2B6C7F4-C1D8-4FF7-8821-48127A6BB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0FB006F-3A60-40A2-8000-FD8FAF97F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C75E5E1-3708-4556-9808-A4BC8A501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A85D249-A8D3-4659-A01C-FFB382F1F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8669E08-5612-4217-8D44-F0F952B69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BEA6484-5D05-4105-A2D2-4AB855271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BC9E9A1-DA27-4489-8C70-517CEFEE6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52950D2-1ACD-4F4C-B54E-9AA4EA4ED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C0367AE-8C51-40D8-927E-0453CB1EF2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BA65D16-08D5-4BBA-B1F7-85F1ED4A6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7C5980A-51FE-4C02-B787-A55164DCC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3E46665-237B-4C54-B6B3-57A807B72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62C78E0-4A86-47F3-A7AA-7C51D39E3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DB2E005-7D52-4C80-B24C-7128E8CD6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9A2EB29-6DB4-43AA-AE86-F81247F87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6AAFDED-25C7-40D7-90A7-240713350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98961D5-877A-4F35-9BCD-32990E926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7467372-B3E8-408A-8826-17A71E897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B3B6BCA-0744-407E-BA8D-91B71582D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B3C8725-223C-40D5-9928-C5FBFEA59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A0659CE-7ED2-4FB2-8FA7-67FB68FC1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886A1B1-2396-4794-8D8C-9A5FF14CB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0EC46C9-7776-4FA0-A99E-60DE14E36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326571</xdr:colOff>
      <xdr:row>54</xdr:row>
      <xdr:rowOff>163286</xdr:rowOff>
    </xdr:from>
    <xdr:to>
      <xdr:col>21</xdr:col>
      <xdr:colOff>122464</xdr:colOff>
      <xdr:row>57</xdr:row>
      <xdr:rowOff>13607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DD41279-A972-4AF5-875D-0314A9701372}"/>
            </a:ext>
          </a:extLst>
        </xdr:cNvPr>
        <xdr:cNvSpPr txBox="1"/>
      </xdr:nvSpPr>
      <xdr:spPr>
        <a:xfrm>
          <a:off x="13906500" y="17036143"/>
          <a:ext cx="4027714" cy="87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/>
            <a:t>하이콘 셈플 </a:t>
          </a:r>
          <a:r>
            <a:rPr lang="en-US" altLang="ko-KR" sz="2000"/>
            <a:t>5</a:t>
          </a:r>
          <a:r>
            <a:rPr lang="ko-KR" altLang="en-US" sz="2000"/>
            <a:t>벌</a:t>
          </a:r>
        </a:p>
      </xdr:txBody>
    </xdr:sp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CC8F998-B805-4189-AB95-390699F85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6CDCD1B-EC8B-4B2C-BBCF-AC3662006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EBCD159-4DC9-485B-93C6-B94478D1F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5FE7D01-BA8B-4A55-A99E-D7A9084B9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7CD7DD6-D876-4F2A-ACAA-0315487C6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655ABD6-34EE-4F1A-9053-DE97976AC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6FFA646-1CCC-4AD1-9C4C-652A7E2E7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3B169E4-E847-4C68-8EC5-2A64C5BE9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F3067DD-B1EE-4BB6-80B1-B67C33BA5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F416F72-3F76-46E5-A27C-D37AD7CC6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9F500C9-1820-4C16-BDD1-B3F75172B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6AE0238-20CC-425D-B616-CA44502EF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EC7AF7B-417C-4B30-8A73-B1E3A2CC9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23038D8-7BBF-4919-B765-8CFFF6178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8659545-DB14-4C27-9530-AC4BD3ADD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E6B64D1-1F11-4FCE-8811-6B29787F5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7B7D29A-BE98-40CE-B00A-B62421604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2E8C1B2-1676-41BF-9189-925B847E44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AD40CAD-B87E-439D-B874-D080B542D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B19D7A1-CB76-4ABC-A78C-4B4C1C584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411D693-48B7-46A4-9DCD-3F967C6DA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2578BDC-72E4-4C59-9E3D-A4F7665E02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BAB2EC2-2250-46C5-B1E0-3D95CE9B3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94E6853-E07D-44B6-9190-4CB8AF941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A264D87-2EC5-45C1-8857-65E62A6C8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8FFC01C-E933-4D27-9DFE-B0B4799CF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B4D6147-E107-4032-BB5C-D9244E055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31F4856-49E4-426C-B546-BC8BF2CA3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9C0EFC4-D32F-4F85-A525-90DB5E337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DFE009E-35FF-4A09-93B0-F0CDA8552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4AAFE63-68EC-4F07-8BA2-CB1CA12E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7412A83-DB66-4008-BDE3-F4887557C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938B387-FC08-4195-82F3-48C30AE13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B81B9A9-5A3C-46A9-9825-F68D0ACC2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05C89D8-3DEE-49EF-ACB2-498456F8E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104775</xdr:rowOff>
    </xdr:from>
    <xdr:to>
      <xdr:col>16</xdr:col>
      <xdr:colOff>66675</xdr:colOff>
      <xdr:row>32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20</xdr:row>
      <xdr:rowOff>123825</xdr:rowOff>
    </xdr:from>
    <xdr:to>
      <xdr:col>32</xdr:col>
      <xdr:colOff>371474</xdr:colOff>
      <xdr:row>32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7D1F-A0F1-4954-B5B4-11AC3347CAD1}">
  <sheetPr codeName="Sheet2"/>
  <dimension ref="A1:AF89"/>
  <sheetViews>
    <sheetView view="pageBreakPreview" zoomScale="70" zoomScaleNormal="72" zoomScaleSheetLayoutView="70" workbookViewId="0">
      <selection activeCell="F56" sqref="F56:M5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7.7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179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131" t="s">
        <v>17</v>
      </c>
      <c r="L5" s="131" t="s">
        <v>18</v>
      </c>
      <c r="M5" s="131" t="s">
        <v>19</v>
      </c>
      <c r="N5" s="13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180</v>
      </c>
      <c r="E6" s="53" t="s">
        <v>181</v>
      </c>
      <c r="F6" s="30" t="s">
        <v>156</v>
      </c>
      <c r="G6" s="12">
        <v>1</v>
      </c>
      <c r="H6" s="13">
        <v>24</v>
      </c>
      <c r="I6" s="31">
        <v>4000</v>
      </c>
      <c r="J6" s="5">
        <v>5382</v>
      </c>
      <c r="K6" s="15">
        <f>L6</f>
        <v>5382</v>
      </c>
      <c r="L6" s="15">
        <f>2322+3060</f>
        <v>5382</v>
      </c>
      <c r="M6" s="15">
        <f t="shared" ref="M6:M23" si="0">L6-N6</f>
        <v>5382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24</v>
      </c>
      <c r="Q6" s="40">
        <f t="shared" ref="Q6:Q23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1</v>
      </c>
      <c r="AD6" s="10">
        <f t="shared" ref="AD6:AD23" si="6">AC6*AB6*(1-O6)</f>
        <v>1</v>
      </c>
      <c r="AE6" s="36">
        <f>$AD$23</f>
        <v>0.25</v>
      </c>
      <c r="AF6" s="84">
        <f t="shared" ref="AF6:AF23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171</v>
      </c>
      <c r="F7" s="12" t="s">
        <v>152</v>
      </c>
      <c r="G7" s="12">
        <v>1</v>
      </c>
      <c r="H7" s="13">
        <v>24</v>
      </c>
      <c r="I7" s="31">
        <v>800</v>
      </c>
      <c r="J7" s="14">
        <v>1223</v>
      </c>
      <c r="K7" s="15">
        <f>L7+1223</f>
        <v>1223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ref="AE7:AE23" si="8">$AD$24</f>
        <v>0.52546296296296302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126</v>
      </c>
      <c r="E8" s="53" t="s">
        <v>134</v>
      </c>
      <c r="F8" s="30" t="s">
        <v>124</v>
      </c>
      <c r="G8" s="33">
        <v>1</v>
      </c>
      <c r="H8" s="35">
        <v>24</v>
      </c>
      <c r="I8" s="7">
        <v>22000</v>
      </c>
      <c r="J8" s="14">
        <v>5409</v>
      </c>
      <c r="K8" s="15">
        <f>L8+4150+5381</f>
        <v>14940</v>
      </c>
      <c r="L8" s="15">
        <f>2565+2844</f>
        <v>5409</v>
      </c>
      <c r="M8" s="15">
        <f t="shared" si="0"/>
        <v>5409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8"/>
        <v>0.52546296296296302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161</v>
      </c>
      <c r="E9" s="53" t="s">
        <v>172</v>
      </c>
      <c r="F9" s="30" t="s">
        <v>132</v>
      </c>
      <c r="G9" s="33">
        <v>1</v>
      </c>
      <c r="H9" s="35">
        <v>24</v>
      </c>
      <c r="I9" s="7">
        <v>25000</v>
      </c>
      <c r="J9" s="14">
        <v>5591</v>
      </c>
      <c r="K9" s="15">
        <f>L9+3597+5540</f>
        <v>14728</v>
      </c>
      <c r="L9" s="15">
        <f>2941+2650</f>
        <v>5591</v>
      </c>
      <c r="M9" s="15">
        <f t="shared" si="0"/>
        <v>5591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8"/>
        <v>0.52546296296296302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144</v>
      </c>
      <c r="F10" s="30" t="s">
        <v>173</v>
      </c>
      <c r="G10" s="33">
        <v>4</v>
      </c>
      <c r="H10" s="35">
        <v>24</v>
      </c>
      <c r="I10" s="7">
        <v>250000</v>
      </c>
      <c r="J10" s="5">
        <v>41808</v>
      </c>
      <c r="K10" s="15">
        <f>L10+25160+41576</f>
        <v>108544</v>
      </c>
      <c r="L10" s="15">
        <f>5499*4+4953*4</f>
        <v>41808</v>
      </c>
      <c r="M10" s="15">
        <f t="shared" si="0"/>
        <v>41808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8"/>
        <v>0.52546296296296302</v>
      </c>
      <c r="AF10" s="84">
        <f t="shared" si="7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115</v>
      </c>
      <c r="E11" s="53" t="s">
        <v>167</v>
      </c>
      <c r="F11" s="30" t="s">
        <v>119</v>
      </c>
      <c r="G11" s="12">
        <v>1</v>
      </c>
      <c r="H11" s="13">
        <v>28</v>
      </c>
      <c r="I11" s="7">
        <v>69000</v>
      </c>
      <c r="J11" s="14">
        <v>4141</v>
      </c>
      <c r="K11" s="15">
        <f>L11+2806+5234+5319+5378+5411+789+4935+3007+4151+5463</f>
        <v>46634</v>
      </c>
      <c r="L11" s="15">
        <f>2808+1333</f>
        <v>4141</v>
      </c>
      <c r="M11" s="15">
        <f t="shared" si="0"/>
        <v>4141</v>
      </c>
      <c r="N11" s="15">
        <v>0</v>
      </c>
      <c r="O11" s="58">
        <f t="shared" si="1"/>
        <v>0</v>
      </c>
      <c r="P11" s="39">
        <f t="shared" si="2"/>
        <v>20</v>
      </c>
      <c r="Q11" s="40">
        <f t="shared" si="3"/>
        <v>4</v>
      </c>
      <c r="R11" s="7"/>
      <c r="S11" s="6">
        <v>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0.83333333333333337</v>
      </c>
      <c r="AD11" s="10">
        <f t="shared" ref="AD11:AD15" si="9">AC11*AB11*(1-O11)</f>
        <v>0.83333333333333337</v>
      </c>
      <c r="AE11" s="36">
        <f t="shared" si="8"/>
        <v>0.52546296296296302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164</v>
      </c>
      <c r="E12" s="53" t="s">
        <v>165</v>
      </c>
      <c r="F12" s="30" t="s">
        <v>119</v>
      </c>
      <c r="G12" s="33">
        <v>1</v>
      </c>
      <c r="H12" s="35">
        <v>24</v>
      </c>
      <c r="I12" s="7">
        <v>69000</v>
      </c>
      <c r="J12" s="14">
        <v>3656</v>
      </c>
      <c r="K12" s="15">
        <f>L12+2872+5295+4231+5295+5295+5281+840+3474+4762+3115+2852</f>
        <v>46968</v>
      </c>
      <c r="L12" s="15">
        <f>2799+857</f>
        <v>3656</v>
      </c>
      <c r="M12" s="15">
        <f t="shared" si="0"/>
        <v>3656</v>
      </c>
      <c r="N12" s="15">
        <v>0</v>
      </c>
      <c r="O12" s="58">
        <f t="shared" si="1"/>
        <v>0</v>
      </c>
      <c r="P12" s="39">
        <f t="shared" si="2"/>
        <v>16</v>
      </c>
      <c r="Q12" s="40">
        <f t="shared" si="3"/>
        <v>8</v>
      </c>
      <c r="R12" s="7"/>
      <c r="S12" s="6">
        <v>8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0.66666666666666663</v>
      </c>
      <c r="AD12" s="10">
        <f t="shared" si="9"/>
        <v>0.66666666666666663</v>
      </c>
      <c r="AE12" s="36">
        <f t="shared" si="8"/>
        <v>0.52546296296296302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123</v>
      </c>
      <c r="D13" s="52"/>
      <c r="E13" s="53" t="s">
        <v>175</v>
      </c>
      <c r="F13" s="30" t="s">
        <v>153</v>
      </c>
      <c r="G13" s="33">
        <v>1</v>
      </c>
      <c r="H13" s="35">
        <v>24</v>
      </c>
      <c r="I13" s="7">
        <v>3300</v>
      </c>
      <c r="J13" s="5">
        <v>828</v>
      </c>
      <c r="K13" s="15">
        <f>L13+5090</f>
        <v>5918</v>
      </c>
      <c r="L13" s="15">
        <v>828</v>
      </c>
      <c r="M13" s="15">
        <f t="shared" si="0"/>
        <v>828</v>
      </c>
      <c r="N13" s="15">
        <v>0</v>
      </c>
      <c r="O13" s="58">
        <f t="shared" si="1"/>
        <v>0</v>
      </c>
      <c r="P13" s="39">
        <f t="shared" si="2"/>
        <v>5</v>
      </c>
      <c r="Q13" s="40">
        <f t="shared" si="3"/>
        <v>19</v>
      </c>
      <c r="R13" s="7"/>
      <c r="S13" s="6"/>
      <c r="T13" s="16"/>
      <c r="U13" s="16"/>
      <c r="V13" s="17"/>
      <c r="W13" s="5">
        <v>19</v>
      </c>
      <c r="X13" s="16"/>
      <c r="Y13" s="16"/>
      <c r="Z13" s="16"/>
      <c r="AA13" s="18"/>
      <c r="AB13" s="8">
        <f t="shared" si="4"/>
        <v>1</v>
      </c>
      <c r="AC13" s="9">
        <f t="shared" si="5"/>
        <v>0.20833333333333334</v>
      </c>
      <c r="AD13" s="10">
        <f>AC13*AB13*(1-O13)</f>
        <v>0.20833333333333334</v>
      </c>
      <c r="AE13" s="36">
        <f t="shared" si="8"/>
        <v>0.52546296296296302</v>
      </c>
      <c r="AF13" s="84">
        <f t="shared" si="7"/>
        <v>8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182</v>
      </c>
      <c r="E14" s="53" t="s">
        <v>143</v>
      </c>
      <c r="F14" s="30" t="s">
        <v>125</v>
      </c>
      <c r="G14" s="33">
        <v>2</v>
      </c>
      <c r="H14" s="35">
        <v>24</v>
      </c>
      <c r="I14" s="7">
        <v>50000</v>
      </c>
      <c r="J14" s="5">
        <v>5328</v>
      </c>
      <c r="K14" s="15">
        <f>L14</f>
        <v>5328</v>
      </c>
      <c r="L14" s="15">
        <f>2664*2</f>
        <v>5328</v>
      </c>
      <c r="M14" s="15">
        <f t="shared" ref="M14" si="10">L14-N14</f>
        <v>5328</v>
      </c>
      <c r="N14" s="15">
        <v>0</v>
      </c>
      <c r="O14" s="58">
        <f t="shared" ref="O14" si="11">IF(L14=0,"0",N14/L14)</f>
        <v>0</v>
      </c>
      <c r="P14" s="39">
        <f t="shared" ref="P14" si="12">IF(L14=0,"0",(24-Q14))</f>
        <v>17</v>
      </c>
      <c r="Q14" s="40">
        <f t="shared" ref="Q14" si="13">SUM(R14:AA14)</f>
        <v>7</v>
      </c>
      <c r="R14" s="7"/>
      <c r="S14" s="6">
        <v>7</v>
      </c>
      <c r="T14" s="16"/>
      <c r="U14" s="16"/>
      <c r="V14" s="17"/>
      <c r="W14" s="5"/>
      <c r="X14" s="16"/>
      <c r="Y14" s="16"/>
      <c r="Z14" s="16"/>
      <c r="AA14" s="18"/>
      <c r="AB14" s="8">
        <f t="shared" ref="AB14" si="14">IF(J14=0,"0",(L14/J14))</f>
        <v>1</v>
      </c>
      <c r="AC14" s="9">
        <f t="shared" ref="AC14" si="15">IF(P14=0,"0",(P14/24))</f>
        <v>0.70833333333333337</v>
      </c>
      <c r="AD14" s="10">
        <f>AC14*AB14*(1-O14)</f>
        <v>0.70833333333333337</v>
      </c>
      <c r="AE14" s="36">
        <f t="shared" si="8"/>
        <v>0.52546296296296302</v>
      </c>
      <c r="AF14" s="84">
        <f t="shared" ref="AF14" si="16">A14</f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174</v>
      </c>
      <c r="F15" s="30" t="s">
        <v>177</v>
      </c>
      <c r="G15" s="33">
        <v>1</v>
      </c>
      <c r="H15" s="35">
        <v>24</v>
      </c>
      <c r="I15" s="7">
        <v>300</v>
      </c>
      <c r="J15" s="5">
        <v>339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8"/>
        <v>0.52546296296296302</v>
      </c>
      <c r="AF15" s="84">
        <f t="shared" si="7"/>
        <v>9</v>
      </c>
    </row>
    <row r="16" spans="1:32" ht="27" customHeight="1">
      <c r="A16" s="95">
        <v>10</v>
      </c>
      <c r="B16" s="11" t="s">
        <v>57</v>
      </c>
      <c r="C16" s="34" t="s">
        <v>155</v>
      </c>
      <c r="D16" s="52"/>
      <c r="E16" s="53" t="s">
        <v>170</v>
      </c>
      <c r="F16" s="12">
        <v>8301</v>
      </c>
      <c r="G16" s="12" t="s">
        <v>157</v>
      </c>
      <c r="H16" s="13">
        <v>24</v>
      </c>
      <c r="I16" s="31">
        <f>3900+2000</f>
        <v>5900</v>
      </c>
      <c r="J16" s="14">
        <v>3839</v>
      </c>
      <c r="K16" s="15">
        <f>L16+2965+3839</f>
        <v>6804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8"/>
        <v>0.52546296296296302</v>
      </c>
      <c r="AF16" s="84">
        <f t="shared" si="7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126</v>
      </c>
      <c r="E17" s="53" t="s">
        <v>176</v>
      </c>
      <c r="F17" s="30" t="s">
        <v>138</v>
      </c>
      <c r="G17" s="12">
        <v>1</v>
      </c>
      <c r="H17" s="13">
        <v>24</v>
      </c>
      <c r="I17" s="7">
        <v>12000</v>
      </c>
      <c r="J17" s="14">
        <v>5458</v>
      </c>
      <c r="K17" s="15">
        <f>L17+3598</f>
        <v>9056</v>
      </c>
      <c r="L17" s="15">
        <f>2872+2586</f>
        <v>5458</v>
      </c>
      <c r="M17" s="15">
        <f t="shared" si="0"/>
        <v>5458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8"/>
        <v>0.52546296296296302</v>
      </c>
      <c r="AF17" s="84">
        <f t="shared" si="7"/>
        <v>11</v>
      </c>
    </row>
    <row r="18" spans="1:32" ht="30" customHeight="1">
      <c r="A18" s="95">
        <v>12</v>
      </c>
      <c r="B18" s="11" t="s">
        <v>57</v>
      </c>
      <c r="C18" s="34" t="s">
        <v>121</v>
      </c>
      <c r="D18" s="52" t="s">
        <v>126</v>
      </c>
      <c r="E18" s="53" t="s">
        <v>159</v>
      </c>
      <c r="F18" s="30" t="s">
        <v>160</v>
      </c>
      <c r="G18" s="12">
        <v>4</v>
      </c>
      <c r="H18" s="13">
        <v>24</v>
      </c>
      <c r="I18" s="7">
        <v>15000</v>
      </c>
      <c r="J18" s="14">
        <v>16824</v>
      </c>
      <c r="K18" s="15">
        <f>L18+22960+16824</f>
        <v>39784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8"/>
        <v>0.52546296296296302</v>
      </c>
      <c r="AF18" s="84">
        <f t="shared" si="7"/>
        <v>12</v>
      </c>
    </row>
    <row r="19" spans="1:32" ht="27" customHeight="1">
      <c r="A19" s="96">
        <v>13</v>
      </c>
      <c r="B19" s="11" t="s">
        <v>57</v>
      </c>
      <c r="C19" s="11" t="s">
        <v>123</v>
      </c>
      <c r="D19" s="52"/>
      <c r="E19" s="53" t="s">
        <v>145</v>
      </c>
      <c r="F19" s="30" t="s">
        <v>178</v>
      </c>
      <c r="G19" s="33">
        <v>1</v>
      </c>
      <c r="H19" s="35">
        <v>24</v>
      </c>
      <c r="I19" s="7">
        <v>5100</v>
      </c>
      <c r="J19" s="14">
        <v>1797</v>
      </c>
      <c r="K19" s="15">
        <f>L19+5551</f>
        <v>7348</v>
      </c>
      <c r="L19" s="15">
        <f>1196+601</f>
        <v>1797</v>
      </c>
      <c r="M19" s="15">
        <f t="shared" si="0"/>
        <v>1797</v>
      </c>
      <c r="N19" s="15">
        <v>0</v>
      </c>
      <c r="O19" s="58">
        <f t="shared" si="1"/>
        <v>0</v>
      </c>
      <c r="P19" s="39">
        <f t="shared" si="2"/>
        <v>6</v>
      </c>
      <c r="Q19" s="40">
        <f t="shared" si="3"/>
        <v>18</v>
      </c>
      <c r="R19" s="7"/>
      <c r="S19" s="6"/>
      <c r="T19" s="16"/>
      <c r="U19" s="16"/>
      <c r="V19" s="17"/>
      <c r="W19" s="5">
        <v>18</v>
      </c>
      <c r="X19" s="16"/>
      <c r="Y19" s="16"/>
      <c r="Z19" s="16"/>
      <c r="AA19" s="18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6">
        <f t="shared" si="8"/>
        <v>0.52546296296296302</v>
      </c>
      <c r="AF19" s="84">
        <f t="shared" si="7"/>
        <v>13</v>
      </c>
    </row>
    <row r="20" spans="1:32" ht="27" customHeight="1">
      <c r="A20" s="96">
        <v>13</v>
      </c>
      <c r="B20" s="11" t="s">
        <v>57</v>
      </c>
      <c r="C20" s="11" t="s">
        <v>120</v>
      </c>
      <c r="D20" s="52" t="s">
        <v>183</v>
      </c>
      <c r="E20" s="53" t="s">
        <v>184</v>
      </c>
      <c r="F20" s="30" t="s">
        <v>139</v>
      </c>
      <c r="G20" s="33">
        <v>1</v>
      </c>
      <c r="H20" s="35">
        <v>24</v>
      </c>
      <c r="I20" s="7">
        <v>3000</v>
      </c>
      <c r="J20" s="14">
        <v>1042</v>
      </c>
      <c r="K20" s="15">
        <f>L20</f>
        <v>1042</v>
      </c>
      <c r="L20" s="15">
        <f>269+773</f>
        <v>1042</v>
      </c>
      <c r="M20" s="15">
        <f t="shared" ref="M20" si="17">L20-N20</f>
        <v>1042</v>
      </c>
      <c r="N20" s="15">
        <v>0</v>
      </c>
      <c r="O20" s="58">
        <f t="shared" ref="O20" si="18">IF(L20=0,"0",N20/L20)</f>
        <v>0</v>
      </c>
      <c r="P20" s="39">
        <f t="shared" ref="P20" si="19">IF(L20=0,"0",(24-Q20))</f>
        <v>5</v>
      </c>
      <c r="Q20" s="40">
        <f t="shared" ref="Q20" si="20">SUM(R20:AA20)</f>
        <v>19</v>
      </c>
      <c r="R20" s="7"/>
      <c r="S20" s="6">
        <v>19</v>
      </c>
      <c r="T20" s="16"/>
      <c r="U20" s="16"/>
      <c r="V20" s="17"/>
      <c r="W20" s="5"/>
      <c r="X20" s="16"/>
      <c r="Y20" s="16"/>
      <c r="Z20" s="16"/>
      <c r="AA20" s="18"/>
      <c r="AB20" s="8">
        <f t="shared" ref="AB20" si="21">IF(J20=0,"0",(L20/J20))</f>
        <v>1</v>
      </c>
      <c r="AC20" s="9">
        <f t="shared" ref="AC20" si="22">IF(P20=0,"0",(P20/24))</f>
        <v>0.20833333333333334</v>
      </c>
      <c r="AD20" s="10">
        <f t="shared" ref="AD20" si="23">AC20*AB20*(1-O20)</f>
        <v>0.20833333333333334</v>
      </c>
      <c r="AE20" s="36">
        <f t="shared" si="8"/>
        <v>0.52546296296296302</v>
      </c>
      <c r="AF20" s="84">
        <f t="shared" ref="AF20" si="24">A20</f>
        <v>13</v>
      </c>
    </row>
    <row r="21" spans="1:32" ht="27" customHeight="1">
      <c r="A21" s="96">
        <v>14</v>
      </c>
      <c r="B21" s="11" t="s">
        <v>57</v>
      </c>
      <c r="C21" s="34" t="s">
        <v>112</v>
      </c>
      <c r="D21" s="52" t="s">
        <v>141</v>
      </c>
      <c r="E21" s="53" t="s">
        <v>158</v>
      </c>
      <c r="F21" s="30" t="s">
        <v>124</v>
      </c>
      <c r="G21" s="33">
        <v>1</v>
      </c>
      <c r="H21" s="35">
        <v>24</v>
      </c>
      <c r="I21" s="7">
        <v>80000</v>
      </c>
      <c r="J21" s="5">
        <v>5062</v>
      </c>
      <c r="K21" s="15">
        <f>L21+1964+2699+1215+3702+2680+927+2666+4081+2052+4322+5042+2742+5050+5068+4805+2245+4856+4964+5099+5040</f>
        <v>76281</v>
      </c>
      <c r="L21" s="15">
        <f>2402+2660</f>
        <v>5062</v>
      </c>
      <c r="M21" s="15">
        <f t="shared" si="0"/>
        <v>5062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>AC21*AB21*(1-O21)</f>
        <v>1</v>
      </c>
      <c r="AE21" s="36">
        <f t="shared" si="8"/>
        <v>0.52546296296296302</v>
      </c>
      <c r="AF21" s="84">
        <f t="shared" si="7"/>
        <v>14</v>
      </c>
    </row>
    <row r="22" spans="1:32" ht="27" customHeight="1">
      <c r="A22" s="113">
        <v>15</v>
      </c>
      <c r="B22" s="11" t="s">
        <v>57</v>
      </c>
      <c r="C22" s="34" t="s">
        <v>120</v>
      </c>
      <c r="D22" s="52" t="s">
        <v>115</v>
      </c>
      <c r="E22" s="53" t="s">
        <v>166</v>
      </c>
      <c r="F22" s="30" t="s">
        <v>119</v>
      </c>
      <c r="G22" s="12">
        <v>1</v>
      </c>
      <c r="H22" s="13">
        <v>28</v>
      </c>
      <c r="I22" s="31">
        <v>40000</v>
      </c>
      <c r="J22" s="5">
        <v>1413</v>
      </c>
      <c r="K22" s="15">
        <f>L22+2503+4146+3422+2211+1805+550+1849+2614+2495+1614</f>
        <v>24622</v>
      </c>
      <c r="L22" s="15">
        <f>1413</f>
        <v>1413</v>
      </c>
      <c r="M22" s="15">
        <f t="shared" si="0"/>
        <v>1413</v>
      </c>
      <c r="N22" s="15">
        <v>0</v>
      </c>
      <c r="O22" s="58">
        <f t="shared" si="1"/>
        <v>0</v>
      </c>
      <c r="P22" s="39">
        <f t="shared" si="2"/>
        <v>8</v>
      </c>
      <c r="Q22" s="40">
        <f t="shared" si="3"/>
        <v>16</v>
      </c>
      <c r="R22" s="7"/>
      <c r="S22" s="6">
        <v>16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0.33333333333333331</v>
      </c>
      <c r="AD22" s="10">
        <f t="shared" ref="AD22" si="25">AC22*AB22*(1-O22)</f>
        <v>0.33333333333333331</v>
      </c>
      <c r="AE22" s="36">
        <f t="shared" si="8"/>
        <v>0.52546296296296302</v>
      </c>
      <c r="AF22" s="84">
        <f t="shared" si="7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169</v>
      </c>
      <c r="F23" s="12" t="s">
        <v>114</v>
      </c>
      <c r="G23" s="12">
        <v>3</v>
      </c>
      <c r="H23" s="35">
        <v>20</v>
      </c>
      <c r="I23" s="7">
        <v>500000</v>
      </c>
      <c r="J23" s="14">
        <v>17283</v>
      </c>
      <c r="K23" s="15">
        <f>L23+23862+26907+28221+30837+31647</f>
        <v>158757</v>
      </c>
      <c r="L23" s="15">
        <f>5761*3</f>
        <v>17283</v>
      </c>
      <c r="M23" s="15">
        <f t="shared" si="0"/>
        <v>17283</v>
      </c>
      <c r="N23" s="15">
        <v>0</v>
      </c>
      <c r="O23" s="58">
        <f t="shared" si="1"/>
        <v>0</v>
      </c>
      <c r="P23" s="39">
        <f t="shared" si="2"/>
        <v>6</v>
      </c>
      <c r="Q23" s="40">
        <f t="shared" si="3"/>
        <v>18</v>
      </c>
      <c r="R23" s="7"/>
      <c r="S23" s="6"/>
      <c r="T23" s="16"/>
      <c r="U23" s="16"/>
      <c r="V23" s="17">
        <v>18</v>
      </c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0.25</v>
      </c>
      <c r="AD23" s="10">
        <f t="shared" si="6"/>
        <v>0.25</v>
      </c>
      <c r="AE23" s="36">
        <f t="shared" si="8"/>
        <v>0.52546296296296302</v>
      </c>
      <c r="AF23" s="84">
        <f t="shared" si="7"/>
        <v>16</v>
      </c>
    </row>
    <row r="24" spans="1:32" ht="31.5" customHeight="1" thickBot="1">
      <c r="A24" s="405" t="s">
        <v>34</v>
      </c>
      <c r="B24" s="406"/>
      <c r="C24" s="406"/>
      <c r="D24" s="406"/>
      <c r="E24" s="406"/>
      <c r="F24" s="406"/>
      <c r="G24" s="406"/>
      <c r="H24" s="407"/>
      <c r="I24" s="22">
        <f t="shared" ref="I24:N24" si="26">SUM(I6:I23)</f>
        <v>1154400</v>
      </c>
      <c r="J24" s="19">
        <f t="shared" si="26"/>
        <v>126423</v>
      </c>
      <c r="K24" s="20">
        <f t="shared" si="26"/>
        <v>573359</v>
      </c>
      <c r="L24" s="21">
        <f t="shared" si="26"/>
        <v>104198</v>
      </c>
      <c r="M24" s="20">
        <f t="shared" si="26"/>
        <v>104198</v>
      </c>
      <c r="N24" s="21">
        <f t="shared" si="26"/>
        <v>0</v>
      </c>
      <c r="O24" s="41">
        <f t="shared" si="1"/>
        <v>0</v>
      </c>
      <c r="P24" s="42">
        <f t="shared" ref="P24:AA24" si="27">SUM(P6:P23)</f>
        <v>227</v>
      </c>
      <c r="Q24" s="43">
        <f t="shared" si="27"/>
        <v>205</v>
      </c>
      <c r="R24" s="23">
        <f t="shared" si="27"/>
        <v>0</v>
      </c>
      <c r="S24" s="24">
        <f t="shared" si="27"/>
        <v>78</v>
      </c>
      <c r="T24" s="24">
        <f t="shared" si="27"/>
        <v>0</v>
      </c>
      <c r="U24" s="24">
        <f t="shared" si="27"/>
        <v>0</v>
      </c>
      <c r="V24" s="25">
        <f t="shared" si="27"/>
        <v>18</v>
      </c>
      <c r="W24" s="26">
        <f t="shared" si="27"/>
        <v>85</v>
      </c>
      <c r="X24" s="27">
        <f t="shared" si="27"/>
        <v>0</v>
      </c>
      <c r="Y24" s="27">
        <f t="shared" si="27"/>
        <v>0</v>
      </c>
      <c r="Z24" s="27">
        <f t="shared" si="27"/>
        <v>0</v>
      </c>
      <c r="AA24" s="27">
        <f t="shared" si="27"/>
        <v>24</v>
      </c>
      <c r="AB24" s="28">
        <f>AVERAGE(AB6:AB23)</f>
        <v>0.77777777777777779</v>
      </c>
      <c r="AC24" s="4">
        <f>AVERAGE(AC6:AC23)</f>
        <v>0.52546296296296302</v>
      </c>
      <c r="AD24" s="4">
        <f>AVERAGE(AD6:AD23)</f>
        <v>0.52546296296296302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08" t="s">
        <v>45</v>
      </c>
      <c r="B51" s="408"/>
      <c r="C51" s="408"/>
      <c r="D51" s="408"/>
      <c r="E51" s="40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09" t="s">
        <v>146</v>
      </c>
      <c r="B52" s="410"/>
      <c r="C52" s="410"/>
      <c r="D52" s="410"/>
      <c r="E52" s="410"/>
      <c r="F52" s="410"/>
      <c r="G52" s="410"/>
      <c r="H52" s="410"/>
      <c r="I52" s="410"/>
      <c r="J52" s="410"/>
      <c r="K52" s="410"/>
      <c r="L52" s="410"/>
      <c r="M52" s="411"/>
      <c r="N52" s="412" t="s">
        <v>147</v>
      </c>
      <c r="O52" s="413"/>
      <c r="P52" s="413"/>
      <c r="Q52" s="413"/>
      <c r="R52" s="413"/>
      <c r="S52" s="413"/>
      <c r="T52" s="413"/>
      <c r="U52" s="413"/>
      <c r="V52" s="413"/>
      <c r="W52" s="413"/>
      <c r="X52" s="413"/>
      <c r="Y52" s="413"/>
      <c r="Z52" s="413"/>
      <c r="AA52" s="413"/>
      <c r="AB52" s="413"/>
      <c r="AC52" s="413"/>
      <c r="AD52" s="414"/>
    </row>
    <row r="53" spans="1:32" ht="27" customHeight="1">
      <c r="A53" s="415" t="s">
        <v>2</v>
      </c>
      <c r="B53" s="416"/>
      <c r="C53" s="130" t="s">
        <v>46</v>
      </c>
      <c r="D53" s="130" t="s">
        <v>47</v>
      </c>
      <c r="E53" s="130" t="s">
        <v>107</v>
      </c>
      <c r="F53" s="417" t="s">
        <v>106</v>
      </c>
      <c r="G53" s="418"/>
      <c r="H53" s="418"/>
      <c r="I53" s="418"/>
      <c r="J53" s="418"/>
      <c r="K53" s="418"/>
      <c r="L53" s="418"/>
      <c r="M53" s="419"/>
      <c r="N53" s="67" t="s">
        <v>110</v>
      </c>
      <c r="O53" s="130" t="s">
        <v>46</v>
      </c>
      <c r="P53" s="417" t="s">
        <v>47</v>
      </c>
      <c r="Q53" s="420"/>
      <c r="R53" s="417" t="s">
        <v>38</v>
      </c>
      <c r="S53" s="418"/>
      <c r="T53" s="418"/>
      <c r="U53" s="420"/>
      <c r="V53" s="417" t="s">
        <v>48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31" t="s">
        <v>120</v>
      </c>
      <c r="B54" s="432"/>
      <c r="C54" s="127" t="s">
        <v>148</v>
      </c>
      <c r="D54" s="127" t="s">
        <v>115</v>
      </c>
      <c r="E54" s="127" t="s">
        <v>166</v>
      </c>
      <c r="F54" s="433" t="s">
        <v>168</v>
      </c>
      <c r="G54" s="434"/>
      <c r="H54" s="434"/>
      <c r="I54" s="434"/>
      <c r="J54" s="434"/>
      <c r="K54" s="434"/>
      <c r="L54" s="434"/>
      <c r="M54" s="435"/>
      <c r="N54" s="126" t="s">
        <v>112</v>
      </c>
      <c r="O54" s="124" t="s">
        <v>137</v>
      </c>
      <c r="P54" s="436" t="s">
        <v>115</v>
      </c>
      <c r="Q54" s="437"/>
      <c r="R54" s="436" t="s">
        <v>174</v>
      </c>
      <c r="S54" s="438"/>
      <c r="T54" s="438"/>
      <c r="U54" s="437"/>
      <c r="V54" s="439" t="s">
        <v>133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121</v>
      </c>
      <c r="B55" s="432"/>
      <c r="C55" s="127" t="s">
        <v>136</v>
      </c>
      <c r="D55" s="127" t="s">
        <v>180</v>
      </c>
      <c r="E55" s="127" t="s">
        <v>181</v>
      </c>
      <c r="F55" s="433" t="s">
        <v>118</v>
      </c>
      <c r="G55" s="434"/>
      <c r="H55" s="434"/>
      <c r="I55" s="434"/>
      <c r="J55" s="434"/>
      <c r="K55" s="434"/>
      <c r="L55" s="434"/>
      <c r="M55" s="435"/>
      <c r="N55" s="126" t="s">
        <v>120</v>
      </c>
      <c r="O55" s="124" t="s">
        <v>148</v>
      </c>
      <c r="P55" s="436" t="s">
        <v>115</v>
      </c>
      <c r="Q55" s="437"/>
      <c r="R55" s="436" t="s">
        <v>166</v>
      </c>
      <c r="S55" s="438"/>
      <c r="T55" s="438"/>
      <c r="U55" s="437"/>
      <c r="V55" s="439" t="s">
        <v>133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121</v>
      </c>
      <c r="B56" s="432"/>
      <c r="C56" s="127" t="s">
        <v>140</v>
      </c>
      <c r="D56" s="127" t="s">
        <v>164</v>
      </c>
      <c r="E56" s="127" t="s">
        <v>165</v>
      </c>
      <c r="F56" s="433" t="s">
        <v>133</v>
      </c>
      <c r="G56" s="434"/>
      <c r="H56" s="434"/>
      <c r="I56" s="434"/>
      <c r="J56" s="434"/>
      <c r="K56" s="434"/>
      <c r="L56" s="434"/>
      <c r="M56" s="435"/>
      <c r="N56" s="126" t="s">
        <v>120</v>
      </c>
      <c r="O56" s="124" t="s">
        <v>190</v>
      </c>
      <c r="P56" s="436" t="s">
        <v>191</v>
      </c>
      <c r="Q56" s="437"/>
      <c r="R56" s="436" t="s">
        <v>192</v>
      </c>
      <c r="S56" s="438"/>
      <c r="T56" s="438"/>
      <c r="U56" s="437"/>
      <c r="V56" s="439" t="s">
        <v>193</v>
      </c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121</v>
      </c>
      <c r="B57" s="432"/>
      <c r="C57" s="127" t="s">
        <v>142</v>
      </c>
      <c r="D57" s="127" t="s">
        <v>115</v>
      </c>
      <c r="E57" s="127" t="s">
        <v>167</v>
      </c>
      <c r="F57" s="433" t="s">
        <v>133</v>
      </c>
      <c r="G57" s="434"/>
      <c r="H57" s="434"/>
      <c r="I57" s="434"/>
      <c r="J57" s="434"/>
      <c r="K57" s="434"/>
      <c r="L57" s="434"/>
      <c r="M57" s="435"/>
      <c r="N57" s="126" t="s">
        <v>120</v>
      </c>
      <c r="O57" s="124" t="s">
        <v>187</v>
      </c>
      <c r="P57" s="436" t="s">
        <v>183</v>
      </c>
      <c r="Q57" s="437"/>
      <c r="R57" s="436" t="s">
        <v>184</v>
      </c>
      <c r="S57" s="438"/>
      <c r="T57" s="438"/>
      <c r="U57" s="437"/>
      <c r="V57" s="439" t="s">
        <v>133</v>
      </c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112</v>
      </c>
      <c r="B58" s="432"/>
      <c r="C58" s="135" t="s">
        <v>137</v>
      </c>
      <c r="D58" s="135" t="s">
        <v>115</v>
      </c>
      <c r="E58" s="135" t="s">
        <v>174</v>
      </c>
      <c r="F58" s="433" t="s">
        <v>163</v>
      </c>
      <c r="G58" s="434"/>
      <c r="H58" s="434"/>
      <c r="I58" s="434"/>
      <c r="J58" s="434"/>
      <c r="K58" s="434"/>
      <c r="L58" s="434"/>
      <c r="M58" s="435"/>
      <c r="N58" s="126"/>
      <c r="O58" s="124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 t="s">
        <v>120</v>
      </c>
      <c r="B59" s="432"/>
      <c r="C59" s="127" t="s">
        <v>187</v>
      </c>
      <c r="D59" s="127" t="s">
        <v>183</v>
      </c>
      <c r="E59" s="127" t="s">
        <v>184</v>
      </c>
      <c r="F59" s="433" t="s">
        <v>186</v>
      </c>
      <c r="G59" s="434"/>
      <c r="H59" s="434"/>
      <c r="I59" s="434"/>
      <c r="J59" s="434"/>
      <c r="K59" s="434"/>
      <c r="L59" s="434"/>
      <c r="M59" s="435"/>
      <c r="N59" s="126"/>
      <c r="O59" s="124"/>
      <c r="P59" s="436"/>
      <c r="Q59" s="437"/>
      <c r="R59" s="436"/>
      <c r="S59" s="438"/>
      <c r="T59" s="438"/>
      <c r="U59" s="437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 t="s">
        <v>121</v>
      </c>
      <c r="B60" s="432"/>
      <c r="C60" s="127" t="s">
        <v>189</v>
      </c>
      <c r="D60" s="127" t="s">
        <v>182</v>
      </c>
      <c r="E60" s="127" t="s">
        <v>188</v>
      </c>
      <c r="F60" s="433" t="s">
        <v>133</v>
      </c>
      <c r="G60" s="434"/>
      <c r="H60" s="434"/>
      <c r="I60" s="434"/>
      <c r="J60" s="434"/>
      <c r="K60" s="434"/>
      <c r="L60" s="434"/>
      <c r="M60" s="435"/>
      <c r="N60" s="126"/>
      <c r="O60" s="124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127"/>
      <c r="D61" s="127"/>
      <c r="E61" s="127"/>
      <c r="F61" s="433"/>
      <c r="G61" s="434"/>
      <c r="H61" s="434"/>
      <c r="I61" s="434"/>
      <c r="J61" s="434"/>
      <c r="K61" s="434"/>
      <c r="L61" s="434"/>
      <c r="M61" s="435"/>
      <c r="N61" s="126"/>
      <c r="O61" s="124"/>
      <c r="P61" s="436"/>
      <c r="Q61" s="437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</row>
    <row r="62" spans="1:32" ht="27" customHeight="1">
      <c r="A62" s="431"/>
      <c r="B62" s="432"/>
      <c r="C62" s="127"/>
      <c r="D62" s="127"/>
      <c r="E62" s="127"/>
      <c r="F62" s="433"/>
      <c r="G62" s="434"/>
      <c r="H62" s="434"/>
      <c r="I62" s="434"/>
      <c r="J62" s="434"/>
      <c r="K62" s="434"/>
      <c r="L62" s="434"/>
      <c r="M62" s="435"/>
      <c r="N62" s="126"/>
      <c r="O62" s="124"/>
      <c r="P62" s="432"/>
      <c r="Q62" s="432"/>
      <c r="R62" s="432"/>
      <c r="S62" s="432"/>
      <c r="T62" s="432"/>
      <c r="U62" s="432"/>
      <c r="V62" s="439"/>
      <c r="W62" s="439"/>
      <c r="X62" s="439"/>
      <c r="Y62" s="439"/>
      <c r="Z62" s="439"/>
      <c r="AA62" s="439"/>
      <c r="AB62" s="439"/>
      <c r="AC62" s="439"/>
      <c r="AD62" s="440"/>
      <c r="AF62" s="84">
        <f>8*3000</f>
        <v>24000</v>
      </c>
    </row>
    <row r="63" spans="1:32" ht="27" customHeight="1" thickBot="1">
      <c r="A63" s="441"/>
      <c r="B63" s="442"/>
      <c r="C63" s="128"/>
      <c r="D63" s="129"/>
      <c r="E63" s="129"/>
      <c r="F63" s="443"/>
      <c r="G63" s="444"/>
      <c r="H63" s="444"/>
      <c r="I63" s="444"/>
      <c r="J63" s="444"/>
      <c r="K63" s="444"/>
      <c r="L63" s="444"/>
      <c r="M63" s="445"/>
      <c r="N63" s="112"/>
      <c r="O63" s="103"/>
      <c r="P63" s="446"/>
      <c r="Q63" s="446"/>
      <c r="R63" s="446"/>
      <c r="S63" s="446"/>
      <c r="T63" s="446"/>
      <c r="U63" s="446"/>
      <c r="V63" s="447"/>
      <c r="W63" s="447"/>
      <c r="X63" s="447"/>
      <c r="Y63" s="447"/>
      <c r="Z63" s="447"/>
      <c r="AA63" s="447"/>
      <c r="AB63" s="447"/>
      <c r="AC63" s="447"/>
      <c r="AD63" s="448"/>
      <c r="AF63" s="84">
        <f>16*3000</f>
        <v>48000</v>
      </c>
    </row>
    <row r="64" spans="1:32" ht="27.75" thickBot="1">
      <c r="A64" s="449" t="s">
        <v>149</v>
      </c>
      <c r="B64" s="449"/>
      <c r="C64" s="449"/>
      <c r="D64" s="449"/>
      <c r="E64" s="449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50" t="s">
        <v>111</v>
      </c>
      <c r="B65" s="451"/>
      <c r="C65" s="125" t="s">
        <v>2</v>
      </c>
      <c r="D65" s="125" t="s">
        <v>37</v>
      </c>
      <c r="E65" s="125" t="s">
        <v>3</v>
      </c>
      <c r="F65" s="451" t="s">
        <v>109</v>
      </c>
      <c r="G65" s="451"/>
      <c r="H65" s="451"/>
      <c r="I65" s="451"/>
      <c r="J65" s="451"/>
      <c r="K65" s="451" t="s">
        <v>39</v>
      </c>
      <c r="L65" s="451"/>
      <c r="M65" s="125" t="s">
        <v>40</v>
      </c>
      <c r="N65" s="451" t="s">
        <v>41</v>
      </c>
      <c r="O65" s="451"/>
      <c r="P65" s="452" t="s">
        <v>42</v>
      </c>
      <c r="Q65" s="453"/>
      <c r="R65" s="452" t="s">
        <v>43</v>
      </c>
      <c r="S65" s="454"/>
      <c r="T65" s="454"/>
      <c r="U65" s="454"/>
      <c r="V65" s="454"/>
      <c r="W65" s="454"/>
      <c r="X65" s="454"/>
      <c r="Y65" s="454"/>
      <c r="Z65" s="454"/>
      <c r="AA65" s="453"/>
      <c r="AB65" s="451" t="s">
        <v>44</v>
      </c>
      <c r="AC65" s="451"/>
      <c r="AD65" s="455"/>
      <c r="AF65" s="84">
        <f>SUM(AF62:AF64)</f>
        <v>96000</v>
      </c>
    </row>
    <row r="66" spans="1:32" ht="25.5" customHeight="1">
      <c r="A66" s="456">
        <v>1</v>
      </c>
      <c r="B66" s="457"/>
      <c r="C66" s="105" t="s">
        <v>120</v>
      </c>
      <c r="D66" s="120"/>
      <c r="E66" s="123" t="s">
        <v>135</v>
      </c>
      <c r="F66" s="458" t="s">
        <v>162</v>
      </c>
      <c r="G66" s="459"/>
      <c r="H66" s="459"/>
      <c r="I66" s="459"/>
      <c r="J66" s="460"/>
      <c r="K66" s="461" t="s">
        <v>131</v>
      </c>
      <c r="L66" s="461"/>
      <c r="M66" s="51" t="s">
        <v>154</v>
      </c>
      <c r="N66" s="462" t="s">
        <v>127</v>
      </c>
      <c r="O66" s="462"/>
      <c r="P66" s="463">
        <v>50</v>
      </c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4"/>
      <c r="AC66" s="465"/>
      <c r="AD66" s="466"/>
      <c r="AF66" s="50"/>
    </row>
    <row r="67" spans="1:32" ht="25.5" customHeight="1">
      <c r="A67" s="456">
        <v>2</v>
      </c>
      <c r="B67" s="457"/>
      <c r="C67" s="105"/>
      <c r="D67" s="120"/>
      <c r="E67" s="123"/>
      <c r="F67" s="458"/>
      <c r="G67" s="459"/>
      <c r="H67" s="459"/>
      <c r="I67" s="459"/>
      <c r="J67" s="460"/>
      <c r="K67" s="461"/>
      <c r="L67" s="461"/>
      <c r="M67" s="51"/>
      <c r="N67" s="462"/>
      <c r="O67" s="462"/>
      <c r="P67" s="463"/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3</v>
      </c>
      <c r="B68" s="457"/>
      <c r="C68" s="105"/>
      <c r="D68" s="120"/>
      <c r="E68" s="123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4</v>
      </c>
      <c r="B69" s="457"/>
      <c r="C69" s="105"/>
      <c r="D69" s="120"/>
      <c r="E69" s="123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5</v>
      </c>
      <c r="B70" s="457"/>
      <c r="C70" s="105"/>
      <c r="D70" s="120"/>
      <c r="E70" s="123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6</v>
      </c>
      <c r="B71" s="457"/>
      <c r="C71" s="105"/>
      <c r="D71" s="120"/>
      <c r="E71" s="123"/>
      <c r="F71" s="458"/>
      <c r="G71" s="459"/>
      <c r="H71" s="459"/>
      <c r="I71" s="459"/>
      <c r="J71" s="460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7</v>
      </c>
      <c r="B72" s="457"/>
      <c r="C72" s="105"/>
      <c r="D72" s="120"/>
      <c r="E72" s="123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8</v>
      </c>
      <c r="B73" s="457"/>
      <c r="C73" s="105"/>
      <c r="D73" s="120"/>
      <c r="E73" s="123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9</v>
      </c>
      <c r="B74" s="457"/>
      <c r="C74" s="105"/>
      <c r="D74" s="120"/>
      <c r="E74" s="123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5.5" customHeight="1">
      <c r="A75" s="456">
        <v>10</v>
      </c>
      <c r="B75" s="457"/>
      <c r="C75" s="105"/>
      <c r="D75" s="120"/>
      <c r="E75" s="123"/>
      <c r="F75" s="468"/>
      <c r="G75" s="461"/>
      <c r="H75" s="461"/>
      <c r="I75" s="461"/>
      <c r="J75" s="461"/>
      <c r="K75" s="461"/>
      <c r="L75" s="461"/>
      <c r="M75" s="51"/>
      <c r="N75" s="462"/>
      <c r="O75" s="462"/>
      <c r="P75" s="463"/>
      <c r="Q75" s="463"/>
      <c r="R75" s="439"/>
      <c r="S75" s="439"/>
      <c r="T75" s="439"/>
      <c r="U75" s="439"/>
      <c r="V75" s="439"/>
      <c r="W75" s="439"/>
      <c r="X75" s="439"/>
      <c r="Y75" s="439"/>
      <c r="Z75" s="439"/>
      <c r="AA75" s="439"/>
      <c r="AB75" s="461"/>
      <c r="AC75" s="461"/>
      <c r="AD75" s="467"/>
      <c r="AF75" s="50"/>
    </row>
    <row r="76" spans="1:32" ht="26.25" customHeight="1" thickBot="1">
      <c r="A76" s="469" t="s">
        <v>150</v>
      </c>
      <c r="B76" s="469"/>
      <c r="C76" s="469"/>
      <c r="D76" s="469"/>
      <c r="E76" s="469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0" t="s">
        <v>111</v>
      </c>
      <c r="B77" s="471"/>
      <c r="C77" s="122" t="s">
        <v>2</v>
      </c>
      <c r="D77" s="122" t="s">
        <v>37</v>
      </c>
      <c r="E77" s="122" t="s">
        <v>3</v>
      </c>
      <c r="F77" s="471" t="s">
        <v>38</v>
      </c>
      <c r="G77" s="471"/>
      <c r="H77" s="471"/>
      <c r="I77" s="471"/>
      <c r="J77" s="471"/>
      <c r="K77" s="472" t="s">
        <v>58</v>
      </c>
      <c r="L77" s="473"/>
      <c r="M77" s="473"/>
      <c r="N77" s="473"/>
      <c r="O77" s="473"/>
      <c r="P77" s="473"/>
      <c r="Q77" s="473"/>
      <c r="R77" s="473"/>
      <c r="S77" s="474"/>
      <c r="T77" s="471" t="s">
        <v>49</v>
      </c>
      <c r="U77" s="471"/>
      <c r="V77" s="472" t="s">
        <v>50</v>
      </c>
      <c r="W77" s="474"/>
      <c r="X77" s="473" t="s">
        <v>51</v>
      </c>
      <c r="Y77" s="473"/>
      <c r="Z77" s="473"/>
      <c r="AA77" s="473"/>
      <c r="AB77" s="473"/>
      <c r="AC77" s="473"/>
      <c r="AD77" s="475"/>
      <c r="AF77" s="50"/>
    </row>
    <row r="78" spans="1:32" ht="33.75" customHeight="1">
      <c r="A78" s="484">
        <v>1</v>
      </c>
      <c r="B78" s="485"/>
      <c r="C78" s="121" t="s">
        <v>112</v>
      </c>
      <c r="D78" s="121"/>
      <c r="E78" s="65" t="s">
        <v>117</v>
      </c>
      <c r="F78" s="486" t="s">
        <v>116</v>
      </c>
      <c r="G78" s="487"/>
      <c r="H78" s="487"/>
      <c r="I78" s="487"/>
      <c r="J78" s="488"/>
      <c r="K78" s="489" t="s">
        <v>122</v>
      </c>
      <c r="L78" s="490"/>
      <c r="M78" s="490"/>
      <c r="N78" s="490"/>
      <c r="O78" s="490"/>
      <c r="P78" s="490"/>
      <c r="Q78" s="490"/>
      <c r="R78" s="490"/>
      <c r="S78" s="491"/>
      <c r="T78" s="492">
        <v>43675</v>
      </c>
      <c r="U78" s="493"/>
      <c r="V78" s="494"/>
      <c r="W78" s="494"/>
      <c r="X78" s="495"/>
      <c r="Y78" s="495"/>
      <c r="Z78" s="495"/>
      <c r="AA78" s="495"/>
      <c r="AB78" s="495"/>
      <c r="AC78" s="495"/>
      <c r="AD78" s="496"/>
      <c r="AF78" s="50"/>
    </row>
    <row r="79" spans="1:32" ht="30" customHeight="1">
      <c r="A79" s="476">
        <f>A78+1</f>
        <v>2</v>
      </c>
      <c r="B79" s="477"/>
      <c r="C79" s="120"/>
      <c r="D79" s="120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ref="A80:A84" si="28">A79+1</f>
        <v>3</v>
      </c>
      <c r="B80" s="477"/>
      <c r="C80" s="120"/>
      <c r="D80" s="120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28"/>
        <v>4</v>
      </c>
      <c r="B81" s="477"/>
      <c r="C81" s="120"/>
      <c r="D81" s="120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28"/>
        <v>5</v>
      </c>
      <c r="B82" s="477"/>
      <c r="C82" s="120"/>
      <c r="D82" s="120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28"/>
        <v>6</v>
      </c>
      <c r="B83" s="477"/>
      <c r="C83" s="120"/>
      <c r="D83" s="120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0" customHeight="1">
      <c r="A84" s="476">
        <f t="shared" si="28"/>
        <v>7</v>
      </c>
      <c r="B84" s="477"/>
      <c r="C84" s="120"/>
      <c r="D84" s="120"/>
      <c r="E84" s="32"/>
      <c r="F84" s="477"/>
      <c r="G84" s="477"/>
      <c r="H84" s="477"/>
      <c r="I84" s="477"/>
      <c r="J84" s="477"/>
      <c r="K84" s="478"/>
      <c r="L84" s="479"/>
      <c r="M84" s="479"/>
      <c r="N84" s="479"/>
      <c r="O84" s="479"/>
      <c r="P84" s="479"/>
      <c r="Q84" s="479"/>
      <c r="R84" s="479"/>
      <c r="S84" s="480"/>
      <c r="T84" s="481"/>
      <c r="U84" s="481"/>
      <c r="V84" s="481"/>
      <c r="W84" s="481"/>
      <c r="X84" s="482"/>
      <c r="Y84" s="482"/>
      <c r="Z84" s="482"/>
      <c r="AA84" s="482"/>
      <c r="AB84" s="482"/>
      <c r="AC84" s="482"/>
      <c r="AD84" s="483"/>
      <c r="AF84" s="50"/>
    </row>
    <row r="85" spans="1:32" ht="36" thickBot="1">
      <c r="A85" s="469" t="s">
        <v>151</v>
      </c>
      <c r="B85" s="469"/>
      <c r="C85" s="469"/>
      <c r="D85" s="469"/>
      <c r="E85" s="469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0" t="s">
        <v>111</v>
      </c>
      <c r="B86" s="471"/>
      <c r="C86" s="497" t="s">
        <v>52</v>
      </c>
      <c r="D86" s="497"/>
      <c r="E86" s="497" t="s">
        <v>53</v>
      </c>
      <c r="F86" s="497"/>
      <c r="G86" s="497"/>
      <c r="H86" s="497"/>
      <c r="I86" s="497"/>
      <c r="J86" s="497"/>
      <c r="K86" s="497" t="s">
        <v>54</v>
      </c>
      <c r="L86" s="497"/>
      <c r="M86" s="497"/>
      <c r="N86" s="497"/>
      <c r="O86" s="497"/>
      <c r="P86" s="497"/>
      <c r="Q86" s="497"/>
      <c r="R86" s="497"/>
      <c r="S86" s="497"/>
      <c r="T86" s="497" t="s">
        <v>55</v>
      </c>
      <c r="U86" s="497"/>
      <c r="V86" s="497" t="s">
        <v>56</v>
      </c>
      <c r="W86" s="497"/>
      <c r="X86" s="497"/>
      <c r="Y86" s="497" t="s">
        <v>51</v>
      </c>
      <c r="Z86" s="497"/>
      <c r="AA86" s="497"/>
      <c r="AB86" s="497"/>
      <c r="AC86" s="497"/>
      <c r="AD86" s="498"/>
      <c r="AF86" s="50"/>
    </row>
    <row r="87" spans="1:32" ht="30.75" customHeight="1">
      <c r="A87" s="484">
        <v>1</v>
      </c>
      <c r="B87" s="485"/>
      <c r="C87" s="499"/>
      <c r="D87" s="499"/>
      <c r="E87" s="499"/>
      <c r="F87" s="499"/>
      <c r="G87" s="499"/>
      <c r="H87" s="499"/>
      <c r="I87" s="499"/>
      <c r="J87" s="499"/>
      <c r="K87" s="499"/>
      <c r="L87" s="499"/>
      <c r="M87" s="499"/>
      <c r="N87" s="499"/>
      <c r="O87" s="499"/>
      <c r="P87" s="499"/>
      <c r="Q87" s="499"/>
      <c r="R87" s="499"/>
      <c r="S87" s="499"/>
      <c r="T87" s="499"/>
      <c r="U87" s="499"/>
      <c r="V87" s="500"/>
      <c r="W87" s="500"/>
      <c r="X87" s="500"/>
      <c r="Y87" s="501"/>
      <c r="Z87" s="501"/>
      <c r="AA87" s="501"/>
      <c r="AB87" s="501"/>
      <c r="AC87" s="501"/>
      <c r="AD87" s="502"/>
      <c r="AF87" s="50"/>
    </row>
    <row r="88" spans="1:32" ht="30.75" customHeight="1">
      <c r="A88" s="476">
        <v>2</v>
      </c>
      <c r="B88" s="477"/>
      <c r="C88" s="510"/>
      <c r="D88" s="510"/>
      <c r="E88" s="510"/>
      <c r="F88" s="510"/>
      <c r="G88" s="510"/>
      <c r="H88" s="510"/>
      <c r="I88" s="510"/>
      <c r="J88" s="510"/>
      <c r="K88" s="510"/>
      <c r="L88" s="510"/>
      <c r="M88" s="510"/>
      <c r="N88" s="510"/>
      <c r="O88" s="510"/>
      <c r="P88" s="510"/>
      <c r="Q88" s="510"/>
      <c r="R88" s="510"/>
      <c r="S88" s="510"/>
      <c r="T88" s="511"/>
      <c r="U88" s="511"/>
      <c r="V88" s="512"/>
      <c r="W88" s="512"/>
      <c r="X88" s="512"/>
      <c r="Y88" s="503"/>
      <c r="Z88" s="503"/>
      <c r="AA88" s="503"/>
      <c r="AB88" s="503"/>
      <c r="AC88" s="503"/>
      <c r="AD88" s="504"/>
      <c r="AF88" s="50"/>
    </row>
    <row r="89" spans="1:32" ht="30.75" customHeight="1" thickBot="1">
      <c r="A89" s="505">
        <v>3</v>
      </c>
      <c r="B89" s="506"/>
      <c r="C89" s="507"/>
      <c r="D89" s="507"/>
      <c r="E89" s="507"/>
      <c r="F89" s="507"/>
      <c r="G89" s="507"/>
      <c r="H89" s="507"/>
      <c r="I89" s="507"/>
      <c r="J89" s="507"/>
      <c r="K89" s="507"/>
      <c r="L89" s="507"/>
      <c r="M89" s="507"/>
      <c r="N89" s="507"/>
      <c r="O89" s="507"/>
      <c r="P89" s="507"/>
      <c r="Q89" s="507"/>
      <c r="R89" s="507"/>
      <c r="S89" s="507"/>
      <c r="T89" s="507"/>
      <c r="U89" s="507"/>
      <c r="V89" s="507"/>
      <c r="W89" s="507"/>
      <c r="X89" s="507"/>
      <c r="Y89" s="508"/>
      <c r="Z89" s="508"/>
      <c r="AA89" s="508"/>
      <c r="AB89" s="508"/>
      <c r="AC89" s="508"/>
      <c r="AD89" s="509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FBB6-3856-41E0-98C6-B798546DFE6B}">
  <sheetPr codeName="Sheet3"/>
  <dimension ref="A1:AF87"/>
  <sheetViews>
    <sheetView view="pageBreakPreview" topLeftCell="A55" zoomScale="70" zoomScaleNormal="72" zoomScaleSheetLayoutView="70" workbookViewId="0">
      <selection activeCell="F66" sqref="F66:J6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7.7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194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132" t="s">
        <v>17</v>
      </c>
      <c r="L5" s="132" t="s">
        <v>18</v>
      </c>
      <c r="M5" s="132" t="s">
        <v>19</v>
      </c>
      <c r="N5" s="13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180</v>
      </c>
      <c r="E6" s="53" t="s">
        <v>181</v>
      </c>
      <c r="F6" s="30" t="s">
        <v>156</v>
      </c>
      <c r="G6" s="12">
        <v>1</v>
      </c>
      <c r="H6" s="13">
        <v>24</v>
      </c>
      <c r="I6" s="31">
        <v>4000</v>
      </c>
      <c r="J6" s="5">
        <v>2467</v>
      </c>
      <c r="K6" s="15">
        <f>L6+5382</f>
        <v>7849</v>
      </c>
      <c r="L6" s="15">
        <v>2467</v>
      </c>
      <c r="M6" s="15">
        <f t="shared" ref="M6:M21" si="0">L6-N6</f>
        <v>2467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12</v>
      </c>
      <c r="Q6" s="40">
        <f t="shared" ref="Q6:Q21" si="3">SUM(R6:AA6)</f>
        <v>12</v>
      </c>
      <c r="R6" s="7"/>
      <c r="S6" s="6"/>
      <c r="T6" s="16"/>
      <c r="U6" s="16"/>
      <c r="V6" s="17"/>
      <c r="W6" s="5">
        <v>12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0.5</v>
      </c>
      <c r="AD6" s="10">
        <f t="shared" ref="AD6:AD21" si="6">AC6*AB6*(1-O6)</f>
        <v>0.5</v>
      </c>
      <c r="AE6" s="36">
        <f>$AD$21</f>
        <v>0</v>
      </c>
      <c r="AF6" s="84">
        <f t="shared" ref="AF6:AF21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171</v>
      </c>
      <c r="F7" s="12" t="s">
        <v>152</v>
      </c>
      <c r="G7" s="12">
        <v>1</v>
      </c>
      <c r="H7" s="13">
        <v>24</v>
      </c>
      <c r="I7" s="31">
        <v>800</v>
      </c>
      <c r="J7" s="14">
        <v>1223</v>
      </c>
      <c r="K7" s="15">
        <f>L7+1223</f>
        <v>1223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ref="AE7:AE21" si="8">$AD$22</f>
        <v>0.58333333333333337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126</v>
      </c>
      <c r="E8" s="53" t="s">
        <v>134</v>
      </c>
      <c r="F8" s="30" t="s">
        <v>124</v>
      </c>
      <c r="G8" s="33">
        <v>1</v>
      </c>
      <c r="H8" s="35">
        <v>24</v>
      </c>
      <c r="I8" s="7">
        <v>22000</v>
      </c>
      <c r="J8" s="14">
        <v>5469</v>
      </c>
      <c r="K8" s="15">
        <f>L8+4150+5381+5409</f>
        <v>20409</v>
      </c>
      <c r="L8" s="15">
        <f>2935+2534</f>
        <v>5469</v>
      </c>
      <c r="M8" s="15">
        <f t="shared" si="0"/>
        <v>5469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8"/>
        <v>0.58333333333333337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191</v>
      </c>
      <c r="E9" s="53" t="s">
        <v>192</v>
      </c>
      <c r="F9" s="30" t="s">
        <v>195</v>
      </c>
      <c r="G9" s="33">
        <v>1</v>
      </c>
      <c r="H9" s="35">
        <v>24</v>
      </c>
      <c r="I9" s="7">
        <v>24000</v>
      </c>
      <c r="J9" s="14">
        <v>4275</v>
      </c>
      <c r="K9" s="15">
        <f>L9</f>
        <v>4275</v>
      </c>
      <c r="L9" s="15">
        <f>2025+2250</f>
        <v>4275</v>
      </c>
      <c r="M9" s="15">
        <f t="shared" si="0"/>
        <v>4275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8"/>
        <v>0.58333333333333337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144</v>
      </c>
      <c r="F10" s="30" t="s">
        <v>173</v>
      </c>
      <c r="G10" s="33">
        <v>4</v>
      </c>
      <c r="H10" s="35">
        <v>24</v>
      </c>
      <c r="I10" s="7">
        <v>250000</v>
      </c>
      <c r="J10" s="5">
        <v>39572</v>
      </c>
      <c r="K10" s="15">
        <f>L10+25160+41576+41808</f>
        <v>148116</v>
      </c>
      <c r="L10" s="15">
        <f>5000*4+4893*4</f>
        <v>39572</v>
      </c>
      <c r="M10" s="15">
        <f t="shared" si="0"/>
        <v>39572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8"/>
        <v>0.58333333333333337</v>
      </c>
      <c r="AF10" s="84">
        <f t="shared" si="7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115</v>
      </c>
      <c r="E11" s="53" t="s">
        <v>167</v>
      </c>
      <c r="F11" s="30" t="s">
        <v>119</v>
      </c>
      <c r="G11" s="12">
        <v>1</v>
      </c>
      <c r="H11" s="13">
        <v>28</v>
      </c>
      <c r="I11" s="7">
        <v>69000</v>
      </c>
      <c r="J11" s="14">
        <v>4654</v>
      </c>
      <c r="K11" s="15">
        <f>L11+2806+5234+5319+5378+5411+789+4935+3007+4151+5463+4141</f>
        <v>51288</v>
      </c>
      <c r="L11" s="15">
        <f>2787+1867</f>
        <v>4654</v>
      </c>
      <c r="M11" s="15">
        <f t="shared" si="0"/>
        <v>4654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>
        <v>2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ref="AD11:AD14" si="9">AC11*AB11*(1-O11)</f>
        <v>0.91666666666666663</v>
      </c>
      <c r="AE11" s="36">
        <f t="shared" si="8"/>
        <v>0.58333333333333337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164</v>
      </c>
      <c r="E12" s="53" t="s">
        <v>165</v>
      </c>
      <c r="F12" s="30" t="s">
        <v>119</v>
      </c>
      <c r="G12" s="33">
        <v>1</v>
      </c>
      <c r="H12" s="35">
        <v>24</v>
      </c>
      <c r="I12" s="7">
        <v>69000</v>
      </c>
      <c r="J12" s="14">
        <v>4456</v>
      </c>
      <c r="K12" s="15">
        <f>L12+2872+5295+4231+5295+5295+5281+840+3474+4762+3115+2852+3656</f>
        <v>51424</v>
      </c>
      <c r="L12" s="15">
        <f>2846+1610</f>
        <v>4456</v>
      </c>
      <c r="M12" s="15">
        <f t="shared" si="0"/>
        <v>4456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9"/>
        <v>0.875</v>
      </c>
      <c r="AE12" s="36">
        <f t="shared" si="8"/>
        <v>0.58333333333333337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182</v>
      </c>
      <c r="E13" s="53" t="s">
        <v>143</v>
      </c>
      <c r="F13" s="30" t="s">
        <v>125</v>
      </c>
      <c r="G13" s="33">
        <v>2</v>
      </c>
      <c r="H13" s="35">
        <v>24</v>
      </c>
      <c r="I13" s="7">
        <v>50000</v>
      </c>
      <c r="J13" s="5">
        <v>12076</v>
      </c>
      <c r="K13" s="15">
        <f>L13+5328</f>
        <v>17404</v>
      </c>
      <c r="L13" s="15">
        <f>3440*2+2598*2</f>
        <v>12076</v>
      </c>
      <c r="M13" s="15">
        <f t="shared" si="0"/>
        <v>12076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8"/>
        <v>0.58333333333333337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174</v>
      </c>
      <c r="F14" s="30" t="s">
        <v>177</v>
      </c>
      <c r="G14" s="33">
        <v>1</v>
      </c>
      <c r="H14" s="35">
        <v>24</v>
      </c>
      <c r="I14" s="7">
        <v>300</v>
      </c>
      <c r="J14" s="5">
        <v>376</v>
      </c>
      <c r="K14" s="15">
        <f>L14</f>
        <v>376</v>
      </c>
      <c r="L14" s="15">
        <v>376</v>
      </c>
      <c r="M14" s="15">
        <f t="shared" si="0"/>
        <v>376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9"/>
        <v>0.25</v>
      </c>
      <c r="AE14" s="36">
        <f t="shared" si="8"/>
        <v>0.58333333333333337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155</v>
      </c>
      <c r="D15" s="52"/>
      <c r="E15" s="53" t="s">
        <v>170</v>
      </c>
      <c r="F15" s="12">
        <v>8301</v>
      </c>
      <c r="G15" s="12" t="s">
        <v>157</v>
      </c>
      <c r="H15" s="13">
        <v>24</v>
      </c>
      <c r="I15" s="31">
        <f>3900+2000</f>
        <v>5900</v>
      </c>
      <c r="J15" s="14">
        <v>3839</v>
      </c>
      <c r="K15" s="15">
        <f>L15+2965+3839</f>
        <v>6804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8"/>
        <v>0.58333333333333337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126</v>
      </c>
      <c r="E16" s="53" t="s">
        <v>176</v>
      </c>
      <c r="F16" s="30" t="s">
        <v>138</v>
      </c>
      <c r="G16" s="12">
        <v>1</v>
      </c>
      <c r="H16" s="13">
        <v>24</v>
      </c>
      <c r="I16" s="7">
        <v>12000</v>
      </c>
      <c r="J16" s="14">
        <v>5463</v>
      </c>
      <c r="K16" s="15">
        <f>L16+3598+5458</f>
        <v>14519</v>
      </c>
      <c r="L16" s="15">
        <f>2902+2561</f>
        <v>5463</v>
      </c>
      <c r="M16" s="15">
        <f t="shared" si="0"/>
        <v>5463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8"/>
        <v>0.58333333333333337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126</v>
      </c>
      <c r="E17" s="53" t="s">
        <v>159</v>
      </c>
      <c r="F17" s="30" t="s">
        <v>160</v>
      </c>
      <c r="G17" s="12">
        <v>4</v>
      </c>
      <c r="H17" s="13">
        <v>24</v>
      </c>
      <c r="I17" s="7">
        <v>15000</v>
      </c>
      <c r="J17" s="14">
        <v>16824</v>
      </c>
      <c r="K17" s="15">
        <f>L17+22960+16824</f>
        <v>39784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8"/>
        <v>0.58333333333333337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183</v>
      </c>
      <c r="E18" s="53" t="s">
        <v>184</v>
      </c>
      <c r="F18" s="30" t="s">
        <v>139</v>
      </c>
      <c r="G18" s="33">
        <v>1</v>
      </c>
      <c r="H18" s="35">
        <v>24</v>
      </c>
      <c r="I18" s="7">
        <v>3000</v>
      </c>
      <c r="J18" s="14">
        <v>3116</v>
      </c>
      <c r="K18" s="15">
        <f>L18+1042</f>
        <v>4158</v>
      </c>
      <c r="L18" s="15">
        <f>2084+1032</f>
        <v>3116</v>
      </c>
      <c r="M18" s="15">
        <f t="shared" si="0"/>
        <v>3116</v>
      </c>
      <c r="N18" s="15">
        <v>0</v>
      </c>
      <c r="O18" s="58">
        <f t="shared" si="1"/>
        <v>0</v>
      </c>
      <c r="P18" s="39">
        <f t="shared" si="2"/>
        <v>19</v>
      </c>
      <c r="Q18" s="40">
        <f t="shared" si="3"/>
        <v>5</v>
      </c>
      <c r="R18" s="7"/>
      <c r="S18" s="6">
        <v>5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0.79166666666666663</v>
      </c>
      <c r="AD18" s="10">
        <f t="shared" si="6"/>
        <v>0.79166666666666663</v>
      </c>
      <c r="AE18" s="36">
        <f t="shared" si="8"/>
        <v>0.58333333333333337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141</v>
      </c>
      <c r="E19" s="53" t="s">
        <v>158</v>
      </c>
      <c r="F19" s="30" t="s">
        <v>124</v>
      </c>
      <c r="G19" s="33">
        <v>1</v>
      </c>
      <c r="H19" s="35">
        <v>24</v>
      </c>
      <c r="I19" s="7">
        <v>80000</v>
      </c>
      <c r="J19" s="5">
        <v>4583</v>
      </c>
      <c r="K19" s="15">
        <f>L19+1964+2699+1215+3702+2680+927+2666+4081+2052+4322+5042+2742+5050+5068+4805+2245+4856+4964+5099+5040+5062</f>
        <v>80864</v>
      </c>
      <c r="L19" s="15">
        <f>2220+2363</f>
        <v>4583</v>
      </c>
      <c r="M19" s="15">
        <f t="shared" si="0"/>
        <v>4583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 t="shared" si="8"/>
        <v>0.58333333333333337</v>
      </c>
      <c r="AF19" s="84">
        <f t="shared" si="7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166</v>
      </c>
      <c r="F20" s="30" t="s">
        <v>119</v>
      </c>
      <c r="G20" s="12">
        <v>1</v>
      </c>
      <c r="H20" s="13">
        <v>28</v>
      </c>
      <c r="I20" s="31">
        <v>40000</v>
      </c>
      <c r="J20" s="5">
        <v>464</v>
      </c>
      <c r="K20" s="15">
        <f>L20+2503+4146+3422+2211+1805+550+1849+2614+2495+1614+1413</f>
        <v>25086</v>
      </c>
      <c r="L20" s="15">
        <v>464</v>
      </c>
      <c r="M20" s="15">
        <f t="shared" si="0"/>
        <v>464</v>
      </c>
      <c r="N20" s="15">
        <v>0</v>
      </c>
      <c r="O20" s="58">
        <f t="shared" si="1"/>
        <v>0</v>
      </c>
      <c r="P20" s="39">
        <f t="shared" si="2"/>
        <v>3</v>
      </c>
      <c r="Q20" s="40">
        <f t="shared" si="3"/>
        <v>21</v>
      </c>
      <c r="R20" s="7"/>
      <c r="S20" s="6">
        <v>21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0.125</v>
      </c>
      <c r="AD20" s="10">
        <f t="shared" ref="AD20" si="10">AC20*AB20*(1-O20)</f>
        <v>0.125</v>
      </c>
      <c r="AE20" s="36">
        <f t="shared" si="8"/>
        <v>0.58333333333333337</v>
      </c>
      <c r="AF20" s="84">
        <f t="shared" si="7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169</v>
      </c>
      <c r="F21" s="12" t="s">
        <v>114</v>
      </c>
      <c r="G21" s="12">
        <v>3</v>
      </c>
      <c r="H21" s="35">
        <v>20</v>
      </c>
      <c r="I21" s="7">
        <v>500000</v>
      </c>
      <c r="J21" s="14">
        <v>17283</v>
      </c>
      <c r="K21" s="15">
        <f>L21+23862+26907+28221+30837+31647+17283</f>
        <v>158757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8"/>
        <v>0.58333333333333337</v>
      </c>
      <c r="AF21" s="84">
        <f t="shared" si="7"/>
        <v>16</v>
      </c>
    </row>
    <row r="22" spans="1:32" ht="31.5" customHeight="1" thickBot="1">
      <c r="A22" s="405" t="s">
        <v>34</v>
      </c>
      <c r="B22" s="406"/>
      <c r="C22" s="406"/>
      <c r="D22" s="406"/>
      <c r="E22" s="406"/>
      <c r="F22" s="406"/>
      <c r="G22" s="406"/>
      <c r="H22" s="407"/>
      <c r="I22" s="22">
        <f t="shared" ref="I22:N22" si="11">SUM(I6:I21)</f>
        <v>1145000</v>
      </c>
      <c r="J22" s="19">
        <f t="shared" si="11"/>
        <v>126140</v>
      </c>
      <c r="K22" s="20">
        <f t="shared" si="11"/>
        <v>632336</v>
      </c>
      <c r="L22" s="21">
        <f t="shared" si="11"/>
        <v>86971</v>
      </c>
      <c r="M22" s="20">
        <f t="shared" si="11"/>
        <v>86971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224</v>
      </c>
      <c r="Q22" s="43">
        <f t="shared" si="12"/>
        <v>160</v>
      </c>
      <c r="R22" s="23">
        <f t="shared" si="12"/>
        <v>0</v>
      </c>
      <c r="S22" s="24">
        <f t="shared" si="12"/>
        <v>34</v>
      </c>
      <c r="T22" s="24">
        <f t="shared" si="12"/>
        <v>0</v>
      </c>
      <c r="U22" s="24">
        <f t="shared" si="12"/>
        <v>0</v>
      </c>
      <c r="V22" s="25">
        <f t="shared" si="12"/>
        <v>24</v>
      </c>
      <c r="W22" s="26">
        <f t="shared" si="12"/>
        <v>78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24</v>
      </c>
      <c r="AB22" s="28">
        <f>AVERAGE(AB6:AB21)</f>
        <v>0.75</v>
      </c>
      <c r="AC22" s="4">
        <f>AVERAGE(AC6:AC21)</f>
        <v>0.58333333333333337</v>
      </c>
      <c r="AD22" s="4">
        <f>AVERAGE(AD6:AD21)</f>
        <v>0.58333333333333337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08" t="s">
        <v>45</v>
      </c>
      <c r="B49" s="408"/>
      <c r="C49" s="408"/>
      <c r="D49" s="408"/>
      <c r="E49" s="40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09" t="s">
        <v>196</v>
      </c>
      <c r="B50" s="410"/>
      <c r="C50" s="410"/>
      <c r="D50" s="410"/>
      <c r="E50" s="410"/>
      <c r="F50" s="410"/>
      <c r="G50" s="410"/>
      <c r="H50" s="410"/>
      <c r="I50" s="410"/>
      <c r="J50" s="410"/>
      <c r="K50" s="410"/>
      <c r="L50" s="410"/>
      <c r="M50" s="411"/>
      <c r="N50" s="412" t="s">
        <v>202</v>
      </c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3"/>
      <c r="AA50" s="413"/>
      <c r="AB50" s="413"/>
      <c r="AC50" s="413"/>
      <c r="AD50" s="414"/>
    </row>
    <row r="51" spans="1:32" ht="27" customHeight="1">
      <c r="A51" s="415" t="s">
        <v>2</v>
      </c>
      <c r="B51" s="416"/>
      <c r="C51" s="133" t="s">
        <v>46</v>
      </c>
      <c r="D51" s="133" t="s">
        <v>47</v>
      </c>
      <c r="E51" s="133" t="s">
        <v>107</v>
      </c>
      <c r="F51" s="417" t="s">
        <v>106</v>
      </c>
      <c r="G51" s="418"/>
      <c r="H51" s="418"/>
      <c r="I51" s="418"/>
      <c r="J51" s="418"/>
      <c r="K51" s="418"/>
      <c r="L51" s="418"/>
      <c r="M51" s="419"/>
      <c r="N51" s="67" t="s">
        <v>110</v>
      </c>
      <c r="O51" s="133" t="s">
        <v>46</v>
      </c>
      <c r="P51" s="417" t="s">
        <v>47</v>
      </c>
      <c r="Q51" s="420"/>
      <c r="R51" s="417" t="s">
        <v>38</v>
      </c>
      <c r="S51" s="418"/>
      <c r="T51" s="418"/>
      <c r="U51" s="420"/>
      <c r="V51" s="417" t="s">
        <v>48</v>
      </c>
      <c r="W51" s="418"/>
      <c r="X51" s="418"/>
      <c r="Y51" s="418"/>
      <c r="Z51" s="418"/>
      <c r="AA51" s="418"/>
      <c r="AB51" s="418"/>
      <c r="AC51" s="418"/>
      <c r="AD51" s="419"/>
    </row>
    <row r="52" spans="1:32" ht="27" customHeight="1">
      <c r="A52" s="431" t="s">
        <v>120</v>
      </c>
      <c r="B52" s="432"/>
      <c r="C52" s="135" t="s">
        <v>148</v>
      </c>
      <c r="D52" s="135" t="s">
        <v>115</v>
      </c>
      <c r="E52" s="135" t="s">
        <v>166</v>
      </c>
      <c r="F52" s="433" t="s">
        <v>168</v>
      </c>
      <c r="G52" s="434"/>
      <c r="H52" s="434"/>
      <c r="I52" s="434"/>
      <c r="J52" s="434"/>
      <c r="K52" s="434"/>
      <c r="L52" s="434"/>
      <c r="M52" s="435"/>
      <c r="N52" s="145" t="s">
        <v>120</v>
      </c>
      <c r="O52" s="144" t="s">
        <v>148</v>
      </c>
      <c r="P52" s="436" t="s">
        <v>115</v>
      </c>
      <c r="Q52" s="437"/>
      <c r="R52" s="436" t="s">
        <v>166</v>
      </c>
      <c r="S52" s="438"/>
      <c r="T52" s="438"/>
      <c r="U52" s="437"/>
      <c r="V52" s="439" t="s">
        <v>133</v>
      </c>
      <c r="W52" s="439"/>
      <c r="X52" s="439"/>
      <c r="Y52" s="439"/>
      <c r="Z52" s="439"/>
      <c r="AA52" s="439"/>
      <c r="AB52" s="439"/>
      <c r="AC52" s="439"/>
      <c r="AD52" s="440"/>
    </row>
    <row r="53" spans="1:32" ht="27" customHeight="1">
      <c r="A53" s="431" t="s">
        <v>120</v>
      </c>
      <c r="B53" s="432"/>
      <c r="C53" s="135" t="s">
        <v>197</v>
      </c>
      <c r="D53" s="135" t="s">
        <v>198</v>
      </c>
      <c r="E53" s="135" t="s">
        <v>199</v>
      </c>
      <c r="F53" s="433" t="s">
        <v>203</v>
      </c>
      <c r="G53" s="434"/>
      <c r="H53" s="434"/>
      <c r="I53" s="434"/>
      <c r="J53" s="434"/>
      <c r="K53" s="434"/>
      <c r="L53" s="434"/>
      <c r="M53" s="435"/>
      <c r="N53" s="145" t="s">
        <v>120</v>
      </c>
      <c r="O53" s="144" t="s">
        <v>190</v>
      </c>
      <c r="P53" s="436" t="s">
        <v>191</v>
      </c>
      <c r="Q53" s="437"/>
      <c r="R53" s="436" t="s">
        <v>192</v>
      </c>
      <c r="S53" s="438"/>
      <c r="T53" s="438"/>
      <c r="U53" s="437"/>
      <c r="V53" s="439" t="s">
        <v>133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121</v>
      </c>
      <c r="B54" s="432"/>
      <c r="C54" s="135" t="s">
        <v>140</v>
      </c>
      <c r="D54" s="135" t="s">
        <v>164</v>
      </c>
      <c r="E54" s="135" t="s">
        <v>165</v>
      </c>
      <c r="F54" s="433" t="s">
        <v>201</v>
      </c>
      <c r="G54" s="434"/>
      <c r="H54" s="434"/>
      <c r="I54" s="434"/>
      <c r="J54" s="434"/>
      <c r="K54" s="434"/>
      <c r="L54" s="434"/>
      <c r="M54" s="435"/>
      <c r="N54" s="134" t="s">
        <v>120</v>
      </c>
      <c r="O54" s="140" t="s">
        <v>206</v>
      </c>
      <c r="P54" s="436" t="s">
        <v>207</v>
      </c>
      <c r="Q54" s="437"/>
      <c r="R54" s="436" t="s">
        <v>204</v>
      </c>
      <c r="S54" s="438"/>
      <c r="T54" s="438"/>
      <c r="U54" s="437"/>
      <c r="V54" s="439" t="s">
        <v>205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121</v>
      </c>
      <c r="B55" s="432"/>
      <c r="C55" s="135" t="s">
        <v>142</v>
      </c>
      <c r="D55" s="135" t="s">
        <v>115</v>
      </c>
      <c r="E55" s="135" t="s">
        <v>167</v>
      </c>
      <c r="F55" s="433" t="s">
        <v>200</v>
      </c>
      <c r="G55" s="434"/>
      <c r="H55" s="434"/>
      <c r="I55" s="434"/>
      <c r="J55" s="434"/>
      <c r="K55" s="434"/>
      <c r="L55" s="434"/>
      <c r="M55" s="435"/>
      <c r="N55" s="134" t="s">
        <v>209</v>
      </c>
      <c r="O55" s="140" t="s">
        <v>210</v>
      </c>
      <c r="P55" s="436"/>
      <c r="Q55" s="437"/>
      <c r="R55" s="436" t="s">
        <v>208</v>
      </c>
      <c r="S55" s="438"/>
      <c r="T55" s="438"/>
      <c r="U55" s="437"/>
      <c r="V55" s="439" t="s">
        <v>205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112</v>
      </c>
      <c r="B56" s="432"/>
      <c r="C56" s="135" t="s">
        <v>137</v>
      </c>
      <c r="D56" s="135" t="s">
        <v>115</v>
      </c>
      <c r="E56" s="135" t="s">
        <v>174</v>
      </c>
      <c r="F56" s="433" t="s">
        <v>133</v>
      </c>
      <c r="G56" s="434"/>
      <c r="H56" s="434"/>
      <c r="I56" s="434"/>
      <c r="J56" s="434"/>
      <c r="K56" s="434"/>
      <c r="L56" s="434"/>
      <c r="M56" s="435"/>
      <c r="N56" s="134" t="s">
        <v>120</v>
      </c>
      <c r="O56" s="140" t="s">
        <v>210</v>
      </c>
      <c r="P56" s="436" t="s">
        <v>115</v>
      </c>
      <c r="Q56" s="437"/>
      <c r="R56" s="436" t="s">
        <v>211</v>
      </c>
      <c r="S56" s="438"/>
      <c r="T56" s="438"/>
      <c r="U56" s="437"/>
      <c r="V56" s="439" t="s">
        <v>205</v>
      </c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120</v>
      </c>
      <c r="B57" s="432"/>
      <c r="C57" s="135" t="s">
        <v>187</v>
      </c>
      <c r="D57" s="135" t="s">
        <v>183</v>
      </c>
      <c r="E57" s="135" t="s">
        <v>184</v>
      </c>
      <c r="F57" s="433" t="s">
        <v>133</v>
      </c>
      <c r="G57" s="434"/>
      <c r="H57" s="434"/>
      <c r="I57" s="434"/>
      <c r="J57" s="434"/>
      <c r="K57" s="434"/>
      <c r="L57" s="434"/>
      <c r="M57" s="435"/>
      <c r="N57" s="134"/>
      <c r="O57" s="140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/>
      <c r="B58" s="432"/>
      <c r="C58" s="135"/>
      <c r="D58" s="135"/>
      <c r="E58" s="135"/>
      <c r="F58" s="433"/>
      <c r="G58" s="434"/>
      <c r="H58" s="434"/>
      <c r="I58" s="434"/>
      <c r="J58" s="434"/>
      <c r="K58" s="434"/>
      <c r="L58" s="434"/>
      <c r="M58" s="435"/>
      <c r="N58" s="134"/>
      <c r="O58" s="140"/>
      <c r="P58" s="436"/>
      <c r="Q58" s="437"/>
      <c r="R58" s="432"/>
      <c r="S58" s="432"/>
      <c r="T58" s="432"/>
      <c r="U58" s="432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135"/>
      <c r="D59" s="135"/>
      <c r="E59" s="135"/>
      <c r="F59" s="433"/>
      <c r="G59" s="434"/>
      <c r="H59" s="434"/>
      <c r="I59" s="434"/>
      <c r="J59" s="434"/>
      <c r="K59" s="434"/>
      <c r="L59" s="434"/>
      <c r="M59" s="435"/>
      <c r="N59" s="134"/>
      <c r="O59" s="140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135"/>
      <c r="D60" s="135"/>
      <c r="E60" s="135"/>
      <c r="F60" s="433"/>
      <c r="G60" s="434"/>
      <c r="H60" s="434"/>
      <c r="I60" s="434"/>
      <c r="J60" s="434"/>
      <c r="K60" s="434"/>
      <c r="L60" s="434"/>
      <c r="M60" s="435"/>
      <c r="N60" s="134"/>
      <c r="O60" s="140"/>
      <c r="P60" s="432"/>
      <c r="Q60" s="432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  <c r="AF60" s="84">
        <f>8*3000</f>
        <v>24000</v>
      </c>
    </row>
    <row r="61" spans="1:32" ht="27" customHeight="1" thickBot="1">
      <c r="A61" s="441"/>
      <c r="B61" s="442"/>
      <c r="C61" s="136"/>
      <c r="D61" s="137"/>
      <c r="E61" s="137"/>
      <c r="F61" s="443"/>
      <c r="G61" s="444"/>
      <c r="H61" s="444"/>
      <c r="I61" s="444"/>
      <c r="J61" s="444"/>
      <c r="K61" s="444"/>
      <c r="L61" s="444"/>
      <c r="M61" s="445"/>
      <c r="N61" s="112"/>
      <c r="O61" s="103"/>
      <c r="P61" s="446"/>
      <c r="Q61" s="446"/>
      <c r="R61" s="446"/>
      <c r="S61" s="446"/>
      <c r="T61" s="446"/>
      <c r="U61" s="446"/>
      <c r="V61" s="447"/>
      <c r="W61" s="447"/>
      <c r="X61" s="447"/>
      <c r="Y61" s="447"/>
      <c r="Z61" s="447"/>
      <c r="AA61" s="447"/>
      <c r="AB61" s="447"/>
      <c r="AC61" s="447"/>
      <c r="AD61" s="448"/>
      <c r="AF61" s="84">
        <f>16*3000</f>
        <v>48000</v>
      </c>
    </row>
    <row r="62" spans="1:32" ht="27.75" thickBot="1">
      <c r="A62" s="449" t="s">
        <v>212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0" t="s">
        <v>111</v>
      </c>
      <c r="B63" s="451"/>
      <c r="C63" s="138" t="s">
        <v>2</v>
      </c>
      <c r="D63" s="138" t="s">
        <v>37</v>
      </c>
      <c r="E63" s="138" t="s">
        <v>3</v>
      </c>
      <c r="F63" s="451" t="s">
        <v>109</v>
      </c>
      <c r="G63" s="451"/>
      <c r="H63" s="451"/>
      <c r="I63" s="451"/>
      <c r="J63" s="451"/>
      <c r="K63" s="451" t="s">
        <v>39</v>
      </c>
      <c r="L63" s="451"/>
      <c r="M63" s="138" t="s">
        <v>40</v>
      </c>
      <c r="N63" s="451" t="s">
        <v>41</v>
      </c>
      <c r="O63" s="451"/>
      <c r="P63" s="452" t="s">
        <v>42</v>
      </c>
      <c r="Q63" s="453"/>
      <c r="R63" s="452" t="s">
        <v>43</v>
      </c>
      <c r="S63" s="454"/>
      <c r="T63" s="454"/>
      <c r="U63" s="454"/>
      <c r="V63" s="454"/>
      <c r="W63" s="454"/>
      <c r="X63" s="454"/>
      <c r="Y63" s="454"/>
      <c r="Z63" s="454"/>
      <c r="AA63" s="453"/>
      <c r="AB63" s="451" t="s">
        <v>44</v>
      </c>
      <c r="AC63" s="451"/>
      <c r="AD63" s="455"/>
      <c r="AF63" s="84">
        <f>SUM(AF60:AF62)</f>
        <v>96000</v>
      </c>
    </row>
    <row r="64" spans="1:32" ht="25.5" customHeight="1">
      <c r="A64" s="456">
        <v>1</v>
      </c>
      <c r="B64" s="457"/>
      <c r="C64" s="105"/>
      <c r="D64" s="142"/>
      <c r="E64" s="139"/>
      <c r="F64" s="458"/>
      <c r="G64" s="459"/>
      <c r="H64" s="459"/>
      <c r="I64" s="459"/>
      <c r="J64" s="460"/>
      <c r="K64" s="461"/>
      <c r="L64" s="461"/>
      <c r="M64" s="51"/>
      <c r="N64" s="462"/>
      <c r="O64" s="462"/>
      <c r="P64" s="463"/>
      <c r="Q64" s="463"/>
      <c r="R64" s="439"/>
      <c r="S64" s="439"/>
      <c r="T64" s="439"/>
      <c r="U64" s="439"/>
      <c r="V64" s="439"/>
      <c r="W64" s="439"/>
      <c r="X64" s="439"/>
      <c r="Y64" s="439"/>
      <c r="Z64" s="439"/>
      <c r="AA64" s="439"/>
      <c r="AB64" s="464"/>
      <c r="AC64" s="465"/>
      <c r="AD64" s="466"/>
      <c r="AF64" s="50"/>
    </row>
    <row r="65" spans="1:32" ht="25.5" customHeight="1">
      <c r="A65" s="456">
        <v>2</v>
      </c>
      <c r="B65" s="457"/>
      <c r="C65" s="105"/>
      <c r="D65" s="142"/>
      <c r="E65" s="139"/>
      <c r="F65" s="458"/>
      <c r="G65" s="459"/>
      <c r="H65" s="459"/>
      <c r="I65" s="459"/>
      <c r="J65" s="460"/>
      <c r="K65" s="461"/>
      <c r="L65" s="461"/>
      <c r="M65" s="51"/>
      <c r="N65" s="462"/>
      <c r="O65" s="462"/>
      <c r="P65" s="463"/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1"/>
      <c r="AC65" s="461"/>
      <c r="AD65" s="467"/>
      <c r="AF65" s="50"/>
    </row>
    <row r="66" spans="1:32" ht="25.5" customHeight="1">
      <c r="A66" s="456">
        <v>3</v>
      </c>
      <c r="B66" s="457"/>
      <c r="C66" s="105"/>
      <c r="D66" s="142"/>
      <c r="E66" s="139"/>
      <c r="F66" s="458"/>
      <c r="G66" s="459"/>
      <c r="H66" s="459"/>
      <c r="I66" s="459"/>
      <c r="J66" s="460"/>
      <c r="K66" s="461"/>
      <c r="L66" s="461"/>
      <c r="M66" s="51"/>
      <c r="N66" s="462"/>
      <c r="O66" s="462"/>
      <c r="P66" s="463"/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4</v>
      </c>
      <c r="B67" s="457"/>
      <c r="C67" s="105"/>
      <c r="D67" s="142"/>
      <c r="E67" s="139"/>
      <c r="F67" s="458"/>
      <c r="G67" s="459"/>
      <c r="H67" s="459"/>
      <c r="I67" s="459"/>
      <c r="J67" s="460"/>
      <c r="K67" s="461"/>
      <c r="L67" s="461"/>
      <c r="M67" s="51"/>
      <c r="N67" s="462"/>
      <c r="O67" s="462"/>
      <c r="P67" s="463"/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5</v>
      </c>
      <c r="B68" s="457"/>
      <c r="C68" s="105"/>
      <c r="D68" s="142"/>
      <c r="E68" s="139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6</v>
      </c>
      <c r="B69" s="457"/>
      <c r="C69" s="105"/>
      <c r="D69" s="142"/>
      <c r="E69" s="139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7</v>
      </c>
      <c r="B70" s="457"/>
      <c r="C70" s="105"/>
      <c r="D70" s="142"/>
      <c r="E70" s="139"/>
      <c r="F70" s="468"/>
      <c r="G70" s="461"/>
      <c r="H70" s="461"/>
      <c r="I70" s="461"/>
      <c r="J70" s="461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8</v>
      </c>
      <c r="B71" s="457"/>
      <c r="C71" s="105"/>
      <c r="D71" s="142"/>
      <c r="E71" s="139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9</v>
      </c>
      <c r="B72" s="457"/>
      <c r="C72" s="105"/>
      <c r="D72" s="142"/>
      <c r="E72" s="139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10</v>
      </c>
      <c r="B73" s="457"/>
      <c r="C73" s="105"/>
      <c r="D73" s="142"/>
      <c r="E73" s="139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6.25" customHeight="1" thickBot="1">
      <c r="A74" s="469" t="s">
        <v>213</v>
      </c>
      <c r="B74" s="469"/>
      <c r="C74" s="469"/>
      <c r="D74" s="469"/>
      <c r="E74" s="46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0" t="s">
        <v>111</v>
      </c>
      <c r="B75" s="471"/>
      <c r="C75" s="141" t="s">
        <v>2</v>
      </c>
      <c r="D75" s="141" t="s">
        <v>37</v>
      </c>
      <c r="E75" s="141" t="s">
        <v>3</v>
      </c>
      <c r="F75" s="471" t="s">
        <v>38</v>
      </c>
      <c r="G75" s="471"/>
      <c r="H75" s="471"/>
      <c r="I75" s="471"/>
      <c r="J75" s="471"/>
      <c r="K75" s="472" t="s">
        <v>58</v>
      </c>
      <c r="L75" s="473"/>
      <c r="M75" s="473"/>
      <c r="N75" s="473"/>
      <c r="O75" s="473"/>
      <c r="P75" s="473"/>
      <c r="Q75" s="473"/>
      <c r="R75" s="473"/>
      <c r="S75" s="474"/>
      <c r="T75" s="471" t="s">
        <v>49</v>
      </c>
      <c r="U75" s="471"/>
      <c r="V75" s="472" t="s">
        <v>50</v>
      </c>
      <c r="W75" s="474"/>
      <c r="X75" s="473" t="s">
        <v>51</v>
      </c>
      <c r="Y75" s="473"/>
      <c r="Z75" s="473"/>
      <c r="AA75" s="473"/>
      <c r="AB75" s="473"/>
      <c r="AC75" s="473"/>
      <c r="AD75" s="475"/>
      <c r="AF75" s="50"/>
    </row>
    <row r="76" spans="1:32" ht="33.75" customHeight="1">
      <c r="A76" s="484">
        <v>1</v>
      </c>
      <c r="B76" s="485"/>
      <c r="C76" s="143" t="s">
        <v>112</v>
      </c>
      <c r="D76" s="143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76">
        <f>A76+1</f>
        <v>2</v>
      </c>
      <c r="B77" s="477"/>
      <c r="C77" s="142"/>
      <c r="D77" s="142"/>
      <c r="E77" s="32"/>
      <c r="F77" s="477"/>
      <c r="G77" s="477"/>
      <c r="H77" s="477"/>
      <c r="I77" s="477"/>
      <c r="J77" s="477"/>
      <c r="K77" s="478"/>
      <c r="L77" s="479"/>
      <c r="M77" s="479"/>
      <c r="N77" s="479"/>
      <c r="O77" s="479"/>
      <c r="P77" s="479"/>
      <c r="Q77" s="479"/>
      <c r="R77" s="479"/>
      <c r="S77" s="480"/>
      <c r="T77" s="481"/>
      <c r="U77" s="481"/>
      <c r="V77" s="481"/>
      <c r="W77" s="481"/>
      <c r="X77" s="482"/>
      <c r="Y77" s="482"/>
      <c r="Z77" s="482"/>
      <c r="AA77" s="482"/>
      <c r="AB77" s="482"/>
      <c r="AC77" s="482"/>
      <c r="AD77" s="483"/>
      <c r="AF77" s="50"/>
    </row>
    <row r="78" spans="1:32" ht="30" customHeight="1">
      <c r="A78" s="476">
        <f t="shared" ref="A78:A82" si="13">A77+1</f>
        <v>3</v>
      </c>
      <c r="B78" s="477"/>
      <c r="C78" s="142"/>
      <c r="D78" s="142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si="13"/>
        <v>4</v>
      </c>
      <c r="B79" s="477"/>
      <c r="C79" s="142"/>
      <c r="D79" s="142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13"/>
        <v>5</v>
      </c>
      <c r="B80" s="477"/>
      <c r="C80" s="142"/>
      <c r="D80" s="142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13"/>
        <v>6</v>
      </c>
      <c r="B81" s="477"/>
      <c r="C81" s="142"/>
      <c r="D81" s="142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13"/>
        <v>7</v>
      </c>
      <c r="B82" s="477"/>
      <c r="C82" s="142"/>
      <c r="D82" s="142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6" thickBot="1">
      <c r="A83" s="469" t="s">
        <v>214</v>
      </c>
      <c r="B83" s="469"/>
      <c r="C83" s="469"/>
      <c r="D83" s="469"/>
      <c r="E83" s="46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0" t="s">
        <v>111</v>
      </c>
      <c r="B84" s="471"/>
      <c r="C84" s="497" t="s">
        <v>52</v>
      </c>
      <c r="D84" s="497"/>
      <c r="E84" s="497" t="s">
        <v>53</v>
      </c>
      <c r="F84" s="497"/>
      <c r="G84" s="497"/>
      <c r="H84" s="497"/>
      <c r="I84" s="497"/>
      <c r="J84" s="497"/>
      <c r="K84" s="497" t="s">
        <v>54</v>
      </c>
      <c r="L84" s="497"/>
      <c r="M84" s="497"/>
      <c r="N84" s="497"/>
      <c r="O84" s="497"/>
      <c r="P84" s="497"/>
      <c r="Q84" s="497"/>
      <c r="R84" s="497"/>
      <c r="S84" s="497"/>
      <c r="T84" s="497" t="s">
        <v>55</v>
      </c>
      <c r="U84" s="497"/>
      <c r="V84" s="497" t="s">
        <v>56</v>
      </c>
      <c r="W84" s="497"/>
      <c r="X84" s="497"/>
      <c r="Y84" s="497" t="s">
        <v>51</v>
      </c>
      <c r="Z84" s="497"/>
      <c r="AA84" s="497"/>
      <c r="AB84" s="497"/>
      <c r="AC84" s="497"/>
      <c r="AD84" s="498"/>
      <c r="AF84" s="50"/>
    </row>
    <row r="85" spans="1:32" ht="30.75" customHeight="1">
      <c r="A85" s="484">
        <v>1</v>
      </c>
      <c r="B85" s="485"/>
      <c r="C85" s="499"/>
      <c r="D85" s="499"/>
      <c r="E85" s="499"/>
      <c r="F85" s="499"/>
      <c r="G85" s="499"/>
      <c r="H85" s="499"/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500"/>
      <c r="W85" s="500"/>
      <c r="X85" s="500"/>
      <c r="Y85" s="501"/>
      <c r="Z85" s="501"/>
      <c r="AA85" s="501"/>
      <c r="AB85" s="501"/>
      <c r="AC85" s="501"/>
      <c r="AD85" s="502"/>
      <c r="AF85" s="50"/>
    </row>
    <row r="86" spans="1:32" ht="30.75" customHeight="1">
      <c r="A86" s="476">
        <v>2</v>
      </c>
      <c r="B86" s="477"/>
      <c r="C86" s="510"/>
      <c r="D86" s="510"/>
      <c r="E86" s="510"/>
      <c r="F86" s="510"/>
      <c r="G86" s="510"/>
      <c r="H86" s="510"/>
      <c r="I86" s="510"/>
      <c r="J86" s="510"/>
      <c r="K86" s="510"/>
      <c r="L86" s="510"/>
      <c r="M86" s="510"/>
      <c r="N86" s="510"/>
      <c r="O86" s="510"/>
      <c r="P86" s="510"/>
      <c r="Q86" s="510"/>
      <c r="R86" s="510"/>
      <c r="S86" s="510"/>
      <c r="T86" s="511"/>
      <c r="U86" s="511"/>
      <c r="V86" s="512"/>
      <c r="W86" s="512"/>
      <c r="X86" s="512"/>
      <c r="Y86" s="503"/>
      <c r="Z86" s="503"/>
      <c r="AA86" s="503"/>
      <c r="AB86" s="503"/>
      <c r="AC86" s="503"/>
      <c r="AD86" s="504"/>
      <c r="AF86" s="50"/>
    </row>
    <row r="87" spans="1:32" ht="30.75" customHeight="1" thickBot="1">
      <c r="A87" s="505">
        <v>3</v>
      </c>
      <c r="B87" s="506"/>
      <c r="C87" s="507"/>
      <c r="D87" s="507"/>
      <c r="E87" s="507"/>
      <c r="F87" s="507"/>
      <c r="G87" s="507"/>
      <c r="H87" s="507"/>
      <c r="I87" s="507"/>
      <c r="J87" s="507"/>
      <c r="K87" s="507"/>
      <c r="L87" s="507"/>
      <c r="M87" s="507"/>
      <c r="N87" s="507"/>
      <c r="O87" s="507"/>
      <c r="P87" s="507"/>
      <c r="Q87" s="507"/>
      <c r="R87" s="507"/>
      <c r="S87" s="507"/>
      <c r="T87" s="507"/>
      <c r="U87" s="507"/>
      <c r="V87" s="507"/>
      <c r="W87" s="507"/>
      <c r="X87" s="507"/>
      <c r="Y87" s="508"/>
      <c r="Z87" s="508"/>
      <c r="AA87" s="508"/>
      <c r="AB87" s="508"/>
      <c r="AC87" s="508"/>
      <c r="AD87" s="509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AFD8-A5BA-499C-A165-CCD417269CE3}">
  <sheetPr codeName="Sheet4"/>
  <dimension ref="A1:AF88"/>
  <sheetViews>
    <sheetView view="pageBreakPreview" topLeftCell="A51" zoomScale="70" zoomScaleNormal="72" zoomScaleSheetLayoutView="70" workbookViewId="0">
      <selection activeCell="F60" sqref="F60:M6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215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146" t="s">
        <v>17</v>
      </c>
      <c r="L5" s="146" t="s">
        <v>18</v>
      </c>
      <c r="M5" s="146" t="s">
        <v>19</v>
      </c>
      <c r="N5" s="14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180</v>
      </c>
      <c r="E6" s="53" t="s">
        <v>181</v>
      </c>
      <c r="F6" s="30" t="s">
        <v>156</v>
      </c>
      <c r="G6" s="12">
        <v>1</v>
      </c>
      <c r="H6" s="13">
        <v>24</v>
      </c>
      <c r="I6" s="31">
        <v>4000</v>
      </c>
      <c r="J6" s="5">
        <v>2467</v>
      </c>
      <c r="K6" s="15">
        <f>L6+5382+2467</f>
        <v>7849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>$AD$22</f>
        <v>0.33333333333333331</v>
      </c>
      <c r="AF6" s="84">
        <f t="shared" ref="AF6:AF22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171</v>
      </c>
      <c r="F7" s="12" t="s">
        <v>152</v>
      </c>
      <c r="G7" s="12">
        <v>1</v>
      </c>
      <c r="H7" s="13">
        <v>24</v>
      </c>
      <c r="I7" s="31">
        <v>800</v>
      </c>
      <c r="J7" s="14">
        <v>1223</v>
      </c>
      <c r="K7" s="15">
        <f>L7+1223</f>
        <v>1223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ref="AE7:AE22" si="8">$AD$23</f>
        <v>0.40686274509803927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126</v>
      </c>
      <c r="E8" s="53" t="s">
        <v>134</v>
      </c>
      <c r="F8" s="30" t="s">
        <v>124</v>
      </c>
      <c r="G8" s="33">
        <v>1</v>
      </c>
      <c r="H8" s="35">
        <v>24</v>
      </c>
      <c r="I8" s="7">
        <v>22000</v>
      </c>
      <c r="J8" s="14">
        <v>1721</v>
      </c>
      <c r="K8" s="15">
        <f>L8+4150+5381+5409+5469</f>
        <v>22130</v>
      </c>
      <c r="L8" s="15">
        <f>470+1251</f>
        <v>1721</v>
      </c>
      <c r="M8" s="15">
        <f t="shared" si="0"/>
        <v>1721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>
        <v>14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8"/>
        <v>0.40686274509803927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191</v>
      </c>
      <c r="E9" s="53" t="s">
        <v>192</v>
      </c>
      <c r="F9" s="30" t="s">
        <v>195</v>
      </c>
      <c r="G9" s="33">
        <v>1</v>
      </c>
      <c r="H9" s="35">
        <v>24</v>
      </c>
      <c r="I9" s="7">
        <v>24000</v>
      </c>
      <c r="J9" s="14">
        <v>4281</v>
      </c>
      <c r="K9" s="15">
        <f>L9+4275</f>
        <v>8556</v>
      </c>
      <c r="L9" s="15">
        <f>2701+1580</f>
        <v>4281</v>
      </c>
      <c r="M9" s="15">
        <f t="shared" si="0"/>
        <v>4281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8"/>
        <v>0.40686274509803927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144</v>
      </c>
      <c r="F10" s="30" t="s">
        <v>173</v>
      </c>
      <c r="G10" s="33">
        <v>4</v>
      </c>
      <c r="H10" s="35">
        <v>24</v>
      </c>
      <c r="I10" s="7">
        <v>250000</v>
      </c>
      <c r="J10" s="5">
        <v>33444</v>
      </c>
      <c r="K10" s="15">
        <f>L10+25160+41576+41808+39572</f>
        <v>181560</v>
      </c>
      <c r="L10" s="15">
        <f>5120*4+3241*4</f>
        <v>33444</v>
      </c>
      <c r="M10" s="15">
        <f t="shared" si="0"/>
        <v>33444</v>
      </c>
      <c r="N10" s="15">
        <v>0</v>
      </c>
      <c r="O10" s="58">
        <f t="shared" si="1"/>
        <v>0</v>
      </c>
      <c r="P10" s="39">
        <f t="shared" si="2"/>
        <v>21</v>
      </c>
      <c r="Q10" s="40">
        <f t="shared" si="3"/>
        <v>3</v>
      </c>
      <c r="R10" s="7"/>
      <c r="S10" s="6">
        <v>3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0.875</v>
      </c>
      <c r="AD10" s="10">
        <f>AC10*AB10*(1-O10)</f>
        <v>0.875</v>
      </c>
      <c r="AE10" s="36">
        <f t="shared" si="8"/>
        <v>0.40686274509803927</v>
      </c>
      <c r="AF10" s="84">
        <f t="shared" si="7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115</v>
      </c>
      <c r="E11" s="53" t="s">
        <v>167</v>
      </c>
      <c r="F11" s="30" t="s">
        <v>119</v>
      </c>
      <c r="G11" s="12">
        <v>1</v>
      </c>
      <c r="H11" s="13">
        <v>28</v>
      </c>
      <c r="I11" s="7">
        <v>69000</v>
      </c>
      <c r="J11" s="14">
        <v>5072</v>
      </c>
      <c r="K11" s="15">
        <f>L11+2806+5234+5319+5378+5411+789+4935+3007+4151+5463+4141+4654</f>
        <v>56360</v>
      </c>
      <c r="L11" s="15">
        <f>2632+2440</f>
        <v>5072</v>
      </c>
      <c r="M11" s="15">
        <f t="shared" si="0"/>
        <v>5072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8"/>
        <v>0.40686274509803927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164</v>
      </c>
      <c r="E12" s="53" t="s">
        <v>165</v>
      </c>
      <c r="F12" s="30" t="s">
        <v>119</v>
      </c>
      <c r="G12" s="33">
        <v>1</v>
      </c>
      <c r="H12" s="35">
        <v>24</v>
      </c>
      <c r="I12" s="7">
        <v>69000</v>
      </c>
      <c r="J12" s="14">
        <v>4456</v>
      </c>
      <c r="K12" s="15">
        <f>L12+2872+5295+4231+5295+5295+5281+840+3474+4762+3115+2852+3656+4456</f>
        <v>51424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>
        <v>24</v>
      </c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8"/>
        <v>0.40686274509803927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143</v>
      </c>
      <c r="F13" s="30" t="s">
        <v>125</v>
      </c>
      <c r="G13" s="33">
        <v>2</v>
      </c>
      <c r="H13" s="35">
        <v>24</v>
      </c>
      <c r="I13" s="7">
        <v>50000</v>
      </c>
      <c r="J13" s="5">
        <v>9770</v>
      </c>
      <c r="K13" s="15">
        <f>L13+5328+12076</f>
        <v>27174</v>
      </c>
      <c r="L13" s="15">
        <f>2863*2+2022*2</f>
        <v>9770</v>
      </c>
      <c r="M13" s="15">
        <f t="shared" si="0"/>
        <v>9770</v>
      </c>
      <c r="N13" s="15">
        <v>0</v>
      </c>
      <c r="O13" s="58">
        <f t="shared" si="1"/>
        <v>0</v>
      </c>
      <c r="P13" s="39">
        <f t="shared" si="2"/>
        <v>22</v>
      </c>
      <c r="Q13" s="40">
        <f t="shared" si="3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0.91666666666666663</v>
      </c>
      <c r="AD13" s="10">
        <f>AC13*AB13*(1-O13)</f>
        <v>0.91666666666666663</v>
      </c>
      <c r="AE13" s="36">
        <f t="shared" si="8"/>
        <v>0.40686274509803927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174</v>
      </c>
      <c r="F14" s="30" t="s">
        <v>177</v>
      </c>
      <c r="G14" s="33">
        <v>1</v>
      </c>
      <c r="H14" s="35">
        <v>24</v>
      </c>
      <c r="I14" s="7">
        <v>300</v>
      </c>
      <c r="J14" s="5">
        <v>376</v>
      </c>
      <c r="K14" s="15">
        <f>L14+376</f>
        <v>376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8"/>
        <v>0.40686274509803927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155</v>
      </c>
      <c r="D15" s="52"/>
      <c r="E15" s="53" t="s">
        <v>170</v>
      </c>
      <c r="F15" s="12">
        <v>8301</v>
      </c>
      <c r="G15" s="12" t="s">
        <v>157</v>
      </c>
      <c r="H15" s="13">
        <v>24</v>
      </c>
      <c r="I15" s="31">
        <f>3900+2000</f>
        <v>5900</v>
      </c>
      <c r="J15" s="14">
        <v>3839</v>
      </c>
      <c r="K15" s="15">
        <f>L15+2965+3839</f>
        <v>6804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8"/>
        <v>0.40686274509803927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6564</v>
      </c>
      <c r="K16" s="15">
        <f>L16</f>
        <v>6564</v>
      </c>
      <c r="L16" s="15">
        <f>591*2+2691*2</f>
        <v>6564</v>
      </c>
      <c r="M16" s="15">
        <f t="shared" si="0"/>
        <v>6564</v>
      </c>
      <c r="N16" s="15">
        <v>0</v>
      </c>
      <c r="O16" s="58">
        <f t="shared" si="1"/>
        <v>0</v>
      </c>
      <c r="P16" s="39">
        <f t="shared" si="2"/>
        <v>16</v>
      </c>
      <c r="Q16" s="40">
        <f t="shared" si="3"/>
        <v>8</v>
      </c>
      <c r="R16" s="7"/>
      <c r="S16" s="6">
        <v>8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0.66666666666666663</v>
      </c>
      <c r="AD16" s="10">
        <f t="shared" si="6"/>
        <v>0.66666666666666663</v>
      </c>
      <c r="AE16" s="36">
        <f t="shared" si="8"/>
        <v>0.40686274509803927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126</v>
      </c>
      <c r="E17" s="53" t="s">
        <v>159</v>
      </c>
      <c r="F17" s="30" t="s">
        <v>160</v>
      </c>
      <c r="G17" s="12">
        <v>4</v>
      </c>
      <c r="H17" s="13">
        <v>24</v>
      </c>
      <c r="I17" s="7">
        <v>15000</v>
      </c>
      <c r="J17" s="14">
        <v>16824</v>
      </c>
      <c r="K17" s="15">
        <f>L17+22960+16824</f>
        <v>39784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8"/>
        <v>0.40686274509803927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209</v>
      </c>
      <c r="D18" s="52"/>
      <c r="E18" s="53" t="s">
        <v>208</v>
      </c>
      <c r="F18" s="30" t="s">
        <v>139</v>
      </c>
      <c r="G18" s="33">
        <v>1</v>
      </c>
      <c r="H18" s="35">
        <v>24</v>
      </c>
      <c r="I18" s="7">
        <v>500</v>
      </c>
      <c r="J18" s="14">
        <v>1150</v>
      </c>
      <c r="K18" s="15">
        <f>L18</f>
        <v>1150</v>
      </c>
      <c r="L18" s="15">
        <v>1150</v>
      </c>
      <c r="M18" s="15">
        <f t="shared" si="0"/>
        <v>1150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/>
      <c r="T18" s="16"/>
      <c r="U18" s="16"/>
      <c r="V18" s="17"/>
      <c r="W18" s="5">
        <v>18</v>
      </c>
      <c r="X18" s="16"/>
      <c r="Y18" s="16"/>
      <c r="Z18" s="16"/>
      <c r="AA18" s="18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8"/>
        <v>0.40686274509803927</v>
      </c>
      <c r="AF18" s="84">
        <f t="shared" si="7"/>
        <v>13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211</v>
      </c>
      <c r="F19" s="30" t="s">
        <v>139</v>
      </c>
      <c r="G19" s="33">
        <v>1</v>
      </c>
      <c r="H19" s="35">
        <v>24</v>
      </c>
      <c r="I19" s="7">
        <v>20000</v>
      </c>
      <c r="J19" s="14">
        <v>2915</v>
      </c>
      <c r="K19" s="15">
        <f>L19</f>
        <v>2915</v>
      </c>
      <c r="L19" s="15">
        <f>294+2621</f>
        <v>2915</v>
      </c>
      <c r="M19" s="15">
        <f t="shared" ref="M19" si="10">L19-N19</f>
        <v>2915</v>
      </c>
      <c r="N19" s="15">
        <v>0</v>
      </c>
      <c r="O19" s="58">
        <f t="shared" ref="O19" si="11">IF(L19=0,"0",N19/L19)</f>
        <v>0</v>
      </c>
      <c r="P19" s="39">
        <f t="shared" ref="P19" si="12">IF(L19=0,"0",(24-Q19))</f>
        <v>15</v>
      </c>
      <c r="Q19" s="40">
        <f t="shared" ref="Q19" si="13">SUM(R19:AA19)</f>
        <v>9</v>
      </c>
      <c r="R19" s="7"/>
      <c r="S19" s="6">
        <v>9</v>
      </c>
      <c r="T19" s="16"/>
      <c r="U19" s="16"/>
      <c r="V19" s="17"/>
      <c r="W19" s="5"/>
      <c r="X19" s="16"/>
      <c r="Y19" s="16"/>
      <c r="Z19" s="16"/>
      <c r="AA19" s="18"/>
      <c r="AB19" s="8">
        <f t="shared" ref="AB19" si="14">IF(J19=0,"0",(L19/J19))</f>
        <v>1</v>
      </c>
      <c r="AC19" s="9">
        <f t="shared" ref="AC19" si="15">IF(P19=0,"0",(P19/24))</f>
        <v>0.625</v>
      </c>
      <c r="AD19" s="10">
        <f t="shared" ref="AD19" si="16">AC19*AB19*(1-O19)</f>
        <v>0.625</v>
      </c>
      <c r="AE19" s="36">
        <f t="shared" si="8"/>
        <v>0.40686274509803927</v>
      </c>
      <c r="AF19" s="84">
        <f t="shared" ref="AF19" si="17">A19</f>
        <v>13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141</v>
      </c>
      <c r="E20" s="53" t="s">
        <v>158</v>
      </c>
      <c r="F20" s="30" t="s">
        <v>124</v>
      </c>
      <c r="G20" s="33">
        <v>1</v>
      </c>
      <c r="H20" s="35">
        <v>24</v>
      </c>
      <c r="I20" s="7">
        <v>80000</v>
      </c>
      <c r="J20" s="5">
        <v>2066</v>
      </c>
      <c r="K20" s="15">
        <f>L20+1964+2699+1215+3702+2680+927+2666+4081+2052+4322+5042+2742+5050+5068+4805+2245+4856+4964+5099+5040+5062+4583</f>
        <v>82930</v>
      </c>
      <c r="L20" s="15">
        <v>2066</v>
      </c>
      <c r="M20" s="15">
        <f t="shared" si="0"/>
        <v>2066</v>
      </c>
      <c r="N20" s="15">
        <v>0</v>
      </c>
      <c r="O20" s="58">
        <f t="shared" si="1"/>
        <v>0</v>
      </c>
      <c r="P20" s="39">
        <f t="shared" si="2"/>
        <v>13</v>
      </c>
      <c r="Q20" s="40">
        <f t="shared" si="3"/>
        <v>11</v>
      </c>
      <c r="R20" s="7"/>
      <c r="S20" s="6">
        <v>11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0.54166666666666663</v>
      </c>
      <c r="AD20" s="10">
        <f>AC20*AB20*(1-O20)</f>
        <v>0.54166666666666663</v>
      </c>
      <c r="AE20" s="36">
        <f t="shared" si="8"/>
        <v>0.40686274509803927</v>
      </c>
      <c r="AF20" s="84">
        <f t="shared" si="7"/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115</v>
      </c>
      <c r="E21" s="53" t="s">
        <v>166</v>
      </c>
      <c r="F21" s="30" t="s">
        <v>119</v>
      </c>
      <c r="G21" s="12">
        <v>1</v>
      </c>
      <c r="H21" s="13">
        <v>28</v>
      </c>
      <c r="I21" s="31">
        <v>40000</v>
      </c>
      <c r="J21" s="5">
        <v>2031</v>
      </c>
      <c r="K21" s="15">
        <f>L21+2503+4146+3422+2211+1805+550+1849+2614+2495+1614+1413+464</f>
        <v>27117</v>
      </c>
      <c r="L21" s="15">
        <f>370+1661</f>
        <v>2031</v>
      </c>
      <c r="M21" s="15">
        <f t="shared" si="0"/>
        <v>2031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>
        <v>14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ref="AD21" si="18">AC21*AB21*(1-O21)</f>
        <v>0.41666666666666669</v>
      </c>
      <c r="AE21" s="36">
        <f t="shared" si="8"/>
        <v>0.40686274509803927</v>
      </c>
      <c r="AF21" s="84">
        <f t="shared" si="7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144</v>
      </c>
      <c r="F22" s="12" t="s">
        <v>114</v>
      </c>
      <c r="G22" s="12">
        <v>4</v>
      </c>
      <c r="H22" s="35">
        <v>20</v>
      </c>
      <c r="I22" s="7">
        <v>500000</v>
      </c>
      <c r="J22" s="14">
        <v>27600</v>
      </c>
      <c r="K22" s="15">
        <f>L22</f>
        <v>27600</v>
      </c>
      <c r="L22" s="15">
        <f>6900*4</f>
        <v>27600</v>
      </c>
      <c r="M22" s="15">
        <f t="shared" si="0"/>
        <v>27600</v>
      </c>
      <c r="N22" s="15">
        <v>0</v>
      </c>
      <c r="O22" s="58">
        <f t="shared" si="1"/>
        <v>0</v>
      </c>
      <c r="P22" s="39">
        <f t="shared" si="2"/>
        <v>8</v>
      </c>
      <c r="Q22" s="40">
        <f t="shared" si="3"/>
        <v>16</v>
      </c>
      <c r="R22" s="7"/>
      <c r="S22" s="6">
        <v>3</v>
      </c>
      <c r="T22" s="16"/>
      <c r="U22" s="16"/>
      <c r="V22" s="17">
        <v>13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0.33333333333333331</v>
      </c>
      <c r="AD22" s="10">
        <f t="shared" si="6"/>
        <v>0.33333333333333331</v>
      </c>
      <c r="AE22" s="36">
        <f t="shared" si="8"/>
        <v>0.40686274509803927</v>
      </c>
      <c r="AF22" s="84">
        <f t="shared" si="7"/>
        <v>16</v>
      </c>
    </row>
    <row r="23" spans="1:32" ht="31.5" customHeight="1" thickBot="1">
      <c r="A23" s="405" t="s">
        <v>34</v>
      </c>
      <c r="B23" s="406"/>
      <c r="C23" s="406"/>
      <c r="D23" s="406"/>
      <c r="E23" s="406"/>
      <c r="F23" s="406"/>
      <c r="G23" s="406"/>
      <c r="H23" s="407"/>
      <c r="I23" s="22">
        <f t="shared" ref="I23:N23" si="19">SUM(I6:I22)</f>
        <v>1450500</v>
      </c>
      <c r="J23" s="19">
        <f t="shared" si="19"/>
        <v>125799</v>
      </c>
      <c r="K23" s="20">
        <f t="shared" si="19"/>
        <v>551516</v>
      </c>
      <c r="L23" s="21">
        <f t="shared" si="19"/>
        <v>96614</v>
      </c>
      <c r="M23" s="20">
        <f t="shared" si="19"/>
        <v>96614</v>
      </c>
      <c r="N23" s="21">
        <f t="shared" si="19"/>
        <v>0</v>
      </c>
      <c r="O23" s="41">
        <f t="shared" si="1"/>
        <v>0</v>
      </c>
      <c r="P23" s="42">
        <f t="shared" ref="P23:AA23" si="20">SUM(P6:P22)</f>
        <v>166</v>
      </c>
      <c r="Q23" s="43">
        <f t="shared" si="20"/>
        <v>242</v>
      </c>
      <c r="R23" s="23">
        <f t="shared" si="20"/>
        <v>24</v>
      </c>
      <c r="S23" s="24">
        <f t="shared" si="20"/>
        <v>67</v>
      </c>
      <c r="T23" s="24">
        <f t="shared" si="20"/>
        <v>0</v>
      </c>
      <c r="U23" s="24">
        <f t="shared" si="20"/>
        <v>0</v>
      </c>
      <c r="V23" s="25">
        <f t="shared" si="20"/>
        <v>13</v>
      </c>
      <c r="W23" s="26">
        <f t="shared" si="20"/>
        <v>114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24</v>
      </c>
      <c r="AB23" s="28">
        <f>AVERAGE(AB6:AB22)</f>
        <v>0.6470588235294118</v>
      </c>
      <c r="AC23" s="4">
        <f>AVERAGE(AC6:AC22)</f>
        <v>0.40686274509803927</v>
      </c>
      <c r="AD23" s="4">
        <f>AVERAGE(AD6:AD22)</f>
        <v>0.40686274509803927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08" t="s">
        <v>45</v>
      </c>
      <c r="B50" s="408"/>
      <c r="C50" s="408"/>
      <c r="D50" s="408"/>
      <c r="E50" s="40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09" t="s">
        <v>216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1"/>
      <c r="N51" s="412" t="s">
        <v>227</v>
      </c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4"/>
    </row>
    <row r="52" spans="1:32" ht="27" customHeight="1">
      <c r="A52" s="415" t="s">
        <v>2</v>
      </c>
      <c r="B52" s="416"/>
      <c r="C52" s="147" t="s">
        <v>46</v>
      </c>
      <c r="D52" s="147" t="s">
        <v>47</v>
      </c>
      <c r="E52" s="147" t="s">
        <v>107</v>
      </c>
      <c r="F52" s="417" t="s">
        <v>106</v>
      </c>
      <c r="G52" s="418"/>
      <c r="H52" s="418"/>
      <c r="I52" s="418"/>
      <c r="J52" s="418"/>
      <c r="K52" s="418"/>
      <c r="L52" s="418"/>
      <c r="M52" s="419"/>
      <c r="N52" s="67" t="s">
        <v>110</v>
      </c>
      <c r="O52" s="147" t="s">
        <v>46</v>
      </c>
      <c r="P52" s="417" t="s">
        <v>47</v>
      </c>
      <c r="Q52" s="420"/>
      <c r="R52" s="417" t="s">
        <v>38</v>
      </c>
      <c r="S52" s="418"/>
      <c r="T52" s="418"/>
      <c r="U52" s="420"/>
      <c r="V52" s="417" t="s">
        <v>48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31" t="s">
        <v>120</v>
      </c>
      <c r="B53" s="432"/>
      <c r="C53" s="149" t="s">
        <v>148</v>
      </c>
      <c r="D53" s="149" t="s">
        <v>115</v>
      </c>
      <c r="E53" s="149" t="s">
        <v>166</v>
      </c>
      <c r="F53" s="433" t="s">
        <v>203</v>
      </c>
      <c r="G53" s="434"/>
      <c r="H53" s="434"/>
      <c r="I53" s="434"/>
      <c r="J53" s="434"/>
      <c r="K53" s="434"/>
      <c r="L53" s="434"/>
      <c r="M53" s="435"/>
      <c r="N53" s="148" t="s">
        <v>120</v>
      </c>
      <c r="O53" s="154" t="s">
        <v>148</v>
      </c>
      <c r="P53" s="436" t="s">
        <v>115</v>
      </c>
      <c r="Q53" s="437"/>
      <c r="R53" s="436" t="s">
        <v>166</v>
      </c>
      <c r="S53" s="438"/>
      <c r="T53" s="438"/>
      <c r="U53" s="437"/>
      <c r="V53" s="439" t="s">
        <v>133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112</v>
      </c>
      <c r="B54" s="432"/>
      <c r="C54" s="149" t="s">
        <v>217</v>
      </c>
      <c r="D54" s="149" t="s">
        <v>126</v>
      </c>
      <c r="E54" s="149" t="s">
        <v>134</v>
      </c>
      <c r="F54" s="433" t="s">
        <v>218</v>
      </c>
      <c r="G54" s="434"/>
      <c r="H54" s="434"/>
      <c r="I54" s="434"/>
      <c r="J54" s="434"/>
      <c r="K54" s="434"/>
      <c r="L54" s="434"/>
      <c r="M54" s="435"/>
      <c r="N54" s="148" t="s">
        <v>120</v>
      </c>
      <c r="O54" s="154" t="s">
        <v>217</v>
      </c>
      <c r="P54" s="436" t="s">
        <v>228</v>
      </c>
      <c r="Q54" s="437"/>
      <c r="R54" s="436" t="s">
        <v>229</v>
      </c>
      <c r="S54" s="438"/>
      <c r="T54" s="438"/>
      <c r="U54" s="437"/>
      <c r="V54" s="439" t="s">
        <v>118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121</v>
      </c>
      <c r="B55" s="432"/>
      <c r="C55" s="149" t="s">
        <v>219</v>
      </c>
      <c r="D55" s="149"/>
      <c r="E55" s="149" t="s">
        <v>144</v>
      </c>
      <c r="F55" s="433" t="s">
        <v>220</v>
      </c>
      <c r="G55" s="434"/>
      <c r="H55" s="434"/>
      <c r="I55" s="434"/>
      <c r="J55" s="434"/>
      <c r="K55" s="434"/>
      <c r="L55" s="434"/>
      <c r="M55" s="435"/>
      <c r="N55" s="148" t="s">
        <v>112</v>
      </c>
      <c r="O55" s="154" t="s">
        <v>136</v>
      </c>
      <c r="P55" s="436" t="s">
        <v>230</v>
      </c>
      <c r="Q55" s="437"/>
      <c r="R55" s="436" t="s">
        <v>231</v>
      </c>
      <c r="S55" s="438"/>
      <c r="T55" s="438"/>
      <c r="U55" s="437"/>
      <c r="V55" s="439" t="s">
        <v>118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121</v>
      </c>
      <c r="B56" s="432"/>
      <c r="C56" s="149" t="s">
        <v>189</v>
      </c>
      <c r="D56" s="149" t="s">
        <v>115</v>
      </c>
      <c r="E56" s="149" t="s">
        <v>143</v>
      </c>
      <c r="F56" s="433" t="s">
        <v>221</v>
      </c>
      <c r="G56" s="434"/>
      <c r="H56" s="434"/>
      <c r="I56" s="434"/>
      <c r="J56" s="434"/>
      <c r="K56" s="434"/>
      <c r="L56" s="434"/>
      <c r="M56" s="435"/>
      <c r="N56" s="148" t="s">
        <v>120</v>
      </c>
      <c r="O56" s="154" t="s">
        <v>233</v>
      </c>
      <c r="P56" s="436" t="s">
        <v>207</v>
      </c>
      <c r="Q56" s="437"/>
      <c r="R56" s="436" t="s">
        <v>232</v>
      </c>
      <c r="S56" s="438"/>
      <c r="T56" s="438"/>
      <c r="U56" s="437"/>
      <c r="V56" s="439" t="s">
        <v>118</v>
      </c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120</v>
      </c>
      <c r="B57" s="432"/>
      <c r="C57" s="149" t="s">
        <v>206</v>
      </c>
      <c r="D57" s="149" t="s">
        <v>207</v>
      </c>
      <c r="E57" s="149" t="s">
        <v>204</v>
      </c>
      <c r="F57" s="433" t="s">
        <v>118</v>
      </c>
      <c r="G57" s="434"/>
      <c r="H57" s="434"/>
      <c r="I57" s="434"/>
      <c r="J57" s="434"/>
      <c r="K57" s="434"/>
      <c r="L57" s="434"/>
      <c r="M57" s="435"/>
      <c r="N57" s="148" t="s">
        <v>121</v>
      </c>
      <c r="O57" s="154" t="s">
        <v>140</v>
      </c>
      <c r="P57" s="436" t="s">
        <v>164</v>
      </c>
      <c r="Q57" s="437"/>
      <c r="R57" s="436" t="s">
        <v>165</v>
      </c>
      <c r="S57" s="438"/>
      <c r="T57" s="438"/>
      <c r="U57" s="437"/>
      <c r="V57" s="439" t="s">
        <v>133</v>
      </c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209</v>
      </c>
      <c r="B58" s="432"/>
      <c r="C58" s="149" t="s">
        <v>187</v>
      </c>
      <c r="D58" s="149"/>
      <c r="E58" s="149" t="s">
        <v>208</v>
      </c>
      <c r="F58" s="433" t="s">
        <v>118</v>
      </c>
      <c r="G58" s="434"/>
      <c r="H58" s="434"/>
      <c r="I58" s="434"/>
      <c r="J58" s="434"/>
      <c r="K58" s="434"/>
      <c r="L58" s="434"/>
      <c r="M58" s="435"/>
      <c r="N58" s="148"/>
      <c r="O58" s="154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 t="s">
        <v>120</v>
      </c>
      <c r="B59" s="432"/>
      <c r="C59" s="149" t="s">
        <v>187</v>
      </c>
      <c r="D59" s="149" t="s">
        <v>115</v>
      </c>
      <c r="E59" s="149" t="s">
        <v>211</v>
      </c>
      <c r="F59" s="433" t="s">
        <v>118</v>
      </c>
      <c r="G59" s="434"/>
      <c r="H59" s="434"/>
      <c r="I59" s="434"/>
      <c r="J59" s="434"/>
      <c r="K59" s="434"/>
      <c r="L59" s="434"/>
      <c r="M59" s="435"/>
      <c r="N59" s="148"/>
      <c r="O59" s="154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 t="s">
        <v>112</v>
      </c>
      <c r="B60" s="432"/>
      <c r="C60" s="149" t="s">
        <v>223</v>
      </c>
      <c r="D60" s="149" t="s">
        <v>141</v>
      </c>
      <c r="E60" s="149" t="s">
        <v>158</v>
      </c>
      <c r="F60" s="433" t="s">
        <v>222</v>
      </c>
      <c r="G60" s="434"/>
      <c r="H60" s="434"/>
      <c r="I60" s="434"/>
      <c r="J60" s="434"/>
      <c r="K60" s="434"/>
      <c r="L60" s="434"/>
      <c r="M60" s="435"/>
      <c r="N60" s="148"/>
      <c r="O60" s="154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 t="s">
        <v>113</v>
      </c>
      <c r="B61" s="432"/>
      <c r="C61" s="149" t="s">
        <v>226</v>
      </c>
      <c r="D61" s="149"/>
      <c r="E61" s="149" t="s">
        <v>224</v>
      </c>
      <c r="F61" s="433" t="s">
        <v>225</v>
      </c>
      <c r="G61" s="434"/>
      <c r="H61" s="434"/>
      <c r="I61" s="434"/>
      <c r="J61" s="434"/>
      <c r="K61" s="434"/>
      <c r="L61" s="434"/>
      <c r="M61" s="435"/>
      <c r="N61" s="148"/>
      <c r="O61" s="154"/>
      <c r="P61" s="432"/>
      <c r="Q61" s="432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  <c r="AF61" s="84">
        <f>8*3000</f>
        <v>24000</v>
      </c>
    </row>
    <row r="62" spans="1:32" ht="27" customHeight="1" thickBot="1">
      <c r="A62" s="441"/>
      <c r="B62" s="442"/>
      <c r="C62" s="150"/>
      <c r="D62" s="151"/>
      <c r="E62" s="151"/>
      <c r="F62" s="443"/>
      <c r="G62" s="444"/>
      <c r="H62" s="444"/>
      <c r="I62" s="444"/>
      <c r="J62" s="444"/>
      <c r="K62" s="444"/>
      <c r="L62" s="444"/>
      <c r="M62" s="445"/>
      <c r="N62" s="112"/>
      <c r="O62" s="103"/>
      <c r="P62" s="446"/>
      <c r="Q62" s="446"/>
      <c r="R62" s="446"/>
      <c r="S62" s="446"/>
      <c r="T62" s="446"/>
      <c r="U62" s="446"/>
      <c r="V62" s="447"/>
      <c r="W62" s="447"/>
      <c r="X62" s="447"/>
      <c r="Y62" s="447"/>
      <c r="Z62" s="447"/>
      <c r="AA62" s="447"/>
      <c r="AB62" s="447"/>
      <c r="AC62" s="447"/>
      <c r="AD62" s="448"/>
      <c r="AF62" s="84">
        <f>16*3000</f>
        <v>48000</v>
      </c>
    </row>
    <row r="63" spans="1:32" ht="27.75" thickBot="1">
      <c r="A63" s="449" t="s">
        <v>234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0" t="s">
        <v>111</v>
      </c>
      <c r="B64" s="451"/>
      <c r="C64" s="152" t="s">
        <v>2</v>
      </c>
      <c r="D64" s="152" t="s">
        <v>37</v>
      </c>
      <c r="E64" s="152" t="s">
        <v>3</v>
      </c>
      <c r="F64" s="451" t="s">
        <v>109</v>
      </c>
      <c r="G64" s="451"/>
      <c r="H64" s="451"/>
      <c r="I64" s="451"/>
      <c r="J64" s="451"/>
      <c r="K64" s="451" t="s">
        <v>39</v>
      </c>
      <c r="L64" s="451"/>
      <c r="M64" s="152" t="s">
        <v>40</v>
      </c>
      <c r="N64" s="451" t="s">
        <v>41</v>
      </c>
      <c r="O64" s="451"/>
      <c r="P64" s="452" t="s">
        <v>42</v>
      </c>
      <c r="Q64" s="453"/>
      <c r="R64" s="452" t="s">
        <v>43</v>
      </c>
      <c r="S64" s="454"/>
      <c r="T64" s="454"/>
      <c r="U64" s="454"/>
      <c r="V64" s="454"/>
      <c r="W64" s="454"/>
      <c r="X64" s="454"/>
      <c r="Y64" s="454"/>
      <c r="Z64" s="454"/>
      <c r="AA64" s="453"/>
      <c r="AB64" s="451" t="s">
        <v>44</v>
      </c>
      <c r="AC64" s="451"/>
      <c r="AD64" s="455"/>
      <c r="AF64" s="84">
        <f>SUM(AF61:AF63)</f>
        <v>96000</v>
      </c>
    </row>
    <row r="65" spans="1:32" ht="25.5" customHeight="1">
      <c r="A65" s="456">
        <v>1</v>
      </c>
      <c r="B65" s="457"/>
      <c r="C65" s="105" t="s">
        <v>120</v>
      </c>
      <c r="D65" s="156"/>
      <c r="E65" s="153" t="s">
        <v>135</v>
      </c>
      <c r="F65" s="458" t="s">
        <v>235</v>
      </c>
      <c r="G65" s="459"/>
      <c r="H65" s="459"/>
      <c r="I65" s="459"/>
      <c r="J65" s="460"/>
      <c r="K65" s="461" t="s">
        <v>131</v>
      </c>
      <c r="L65" s="461"/>
      <c r="M65" s="51" t="s">
        <v>237</v>
      </c>
      <c r="N65" s="462" t="s">
        <v>136</v>
      </c>
      <c r="O65" s="462"/>
      <c r="P65" s="463">
        <v>50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4"/>
      <c r="AC65" s="465"/>
      <c r="AD65" s="466"/>
      <c r="AF65" s="50"/>
    </row>
    <row r="66" spans="1:32" ht="25.5" customHeight="1">
      <c r="A66" s="456">
        <v>2</v>
      </c>
      <c r="B66" s="457"/>
      <c r="C66" s="105" t="s">
        <v>120</v>
      </c>
      <c r="D66" s="156"/>
      <c r="E66" s="153" t="s">
        <v>135</v>
      </c>
      <c r="F66" s="458" t="s">
        <v>236</v>
      </c>
      <c r="G66" s="459"/>
      <c r="H66" s="459"/>
      <c r="I66" s="459"/>
      <c r="J66" s="460"/>
      <c r="K66" s="461" t="s">
        <v>131</v>
      </c>
      <c r="L66" s="461"/>
      <c r="M66" s="51" t="s">
        <v>154</v>
      </c>
      <c r="N66" s="462" t="s">
        <v>127</v>
      </c>
      <c r="O66" s="462"/>
      <c r="P66" s="463">
        <v>50</v>
      </c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3</v>
      </c>
      <c r="B67" s="457"/>
      <c r="C67" s="105" t="s">
        <v>120</v>
      </c>
      <c r="D67" s="156"/>
      <c r="E67" s="153" t="s">
        <v>161</v>
      </c>
      <c r="F67" s="458" t="s">
        <v>238</v>
      </c>
      <c r="G67" s="459"/>
      <c r="H67" s="459"/>
      <c r="I67" s="459"/>
      <c r="J67" s="460"/>
      <c r="K67" s="461" t="s">
        <v>124</v>
      </c>
      <c r="L67" s="461"/>
      <c r="M67" s="51" t="s">
        <v>239</v>
      </c>
      <c r="N67" s="462" t="s">
        <v>223</v>
      </c>
      <c r="O67" s="462"/>
      <c r="P67" s="463"/>
      <c r="Q67" s="463"/>
      <c r="R67" s="439" t="s">
        <v>240</v>
      </c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4</v>
      </c>
      <c r="B68" s="457"/>
      <c r="C68" s="105"/>
      <c r="D68" s="156"/>
      <c r="E68" s="153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5</v>
      </c>
      <c r="B69" s="457"/>
      <c r="C69" s="105"/>
      <c r="D69" s="156"/>
      <c r="E69" s="153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6</v>
      </c>
      <c r="B70" s="457"/>
      <c r="C70" s="105"/>
      <c r="D70" s="156"/>
      <c r="E70" s="153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7</v>
      </c>
      <c r="B71" s="457"/>
      <c r="C71" s="105"/>
      <c r="D71" s="156"/>
      <c r="E71" s="153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8</v>
      </c>
      <c r="B72" s="457"/>
      <c r="C72" s="105"/>
      <c r="D72" s="156"/>
      <c r="E72" s="153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9</v>
      </c>
      <c r="B73" s="457"/>
      <c r="C73" s="105"/>
      <c r="D73" s="156"/>
      <c r="E73" s="153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10</v>
      </c>
      <c r="B74" s="457"/>
      <c r="C74" s="105"/>
      <c r="D74" s="156"/>
      <c r="E74" s="153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6.25" customHeight="1" thickBot="1">
      <c r="A75" s="469" t="s">
        <v>241</v>
      </c>
      <c r="B75" s="469"/>
      <c r="C75" s="469"/>
      <c r="D75" s="469"/>
      <c r="E75" s="46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0" t="s">
        <v>111</v>
      </c>
      <c r="B76" s="471"/>
      <c r="C76" s="155" t="s">
        <v>2</v>
      </c>
      <c r="D76" s="155" t="s">
        <v>37</v>
      </c>
      <c r="E76" s="155" t="s">
        <v>3</v>
      </c>
      <c r="F76" s="471" t="s">
        <v>38</v>
      </c>
      <c r="G76" s="471"/>
      <c r="H76" s="471"/>
      <c r="I76" s="471"/>
      <c r="J76" s="471"/>
      <c r="K76" s="472" t="s">
        <v>58</v>
      </c>
      <c r="L76" s="473"/>
      <c r="M76" s="473"/>
      <c r="N76" s="473"/>
      <c r="O76" s="473"/>
      <c r="P76" s="473"/>
      <c r="Q76" s="473"/>
      <c r="R76" s="473"/>
      <c r="S76" s="474"/>
      <c r="T76" s="471" t="s">
        <v>49</v>
      </c>
      <c r="U76" s="471"/>
      <c r="V76" s="472" t="s">
        <v>50</v>
      </c>
      <c r="W76" s="474"/>
      <c r="X76" s="473" t="s">
        <v>51</v>
      </c>
      <c r="Y76" s="473"/>
      <c r="Z76" s="473"/>
      <c r="AA76" s="473"/>
      <c r="AB76" s="473"/>
      <c r="AC76" s="473"/>
      <c r="AD76" s="475"/>
      <c r="AF76" s="50"/>
    </row>
    <row r="77" spans="1:32" ht="33.75" customHeight="1">
      <c r="A77" s="484">
        <v>1</v>
      </c>
      <c r="B77" s="485"/>
      <c r="C77" s="157" t="s">
        <v>112</v>
      </c>
      <c r="D77" s="157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76">
        <f>A77+1</f>
        <v>2</v>
      </c>
      <c r="B78" s="477"/>
      <c r="C78" s="156"/>
      <c r="D78" s="156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ref="A79:A83" si="21">A78+1</f>
        <v>3</v>
      </c>
      <c r="B79" s="477"/>
      <c r="C79" s="156"/>
      <c r="D79" s="156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21"/>
        <v>4</v>
      </c>
      <c r="B80" s="477"/>
      <c r="C80" s="156"/>
      <c r="D80" s="156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21"/>
        <v>5</v>
      </c>
      <c r="B81" s="477"/>
      <c r="C81" s="156"/>
      <c r="D81" s="156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21"/>
        <v>6</v>
      </c>
      <c r="B82" s="477"/>
      <c r="C82" s="156"/>
      <c r="D82" s="156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21"/>
        <v>7</v>
      </c>
      <c r="B83" s="477"/>
      <c r="C83" s="156"/>
      <c r="D83" s="156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6" thickBot="1">
      <c r="A84" s="469" t="s">
        <v>242</v>
      </c>
      <c r="B84" s="469"/>
      <c r="C84" s="469"/>
      <c r="D84" s="469"/>
      <c r="E84" s="46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0" t="s">
        <v>111</v>
      </c>
      <c r="B85" s="471"/>
      <c r="C85" s="497" t="s">
        <v>52</v>
      </c>
      <c r="D85" s="497"/>
      <c r="E85" s="497" t="s">
        <v>53</v>
      </c>
      <c r="F85" s="497"/>
      <c r="G85" s="497"/>
      <c r="H85" s="497"/>
      <c r="I85" s="497"/>
      <c r="J85" s="497"/>
      <c r="K85" s="497" t="s">
        <v>54</v>
      </c>
      <c r="L85" s="497"/>
      <c r="M85" s="497"/>
      <c r="N85" s="497"/>
      <c r="O85" s="497"/>
      <c r="P85" s="497"/>
      <c r="Q85" s="497"/>
      <c r="R85" s="497"/>
      <c r="S85" s="497"/>
      <c r="T85" s="497" t="s">
        <v>55</v>
      </c>
      <c r="U85" s="497"/>
      <c r="V85" s="497" t="s">
        <v>56</v>
      </c>
      <c r="W85" s="497"/>
      <c r="X85" s="497"/>
      <c r="Y85" s="497" t="s">
        <v>51</v>
      </c>
      <c r="Z85" s="497"/>
      <c r="AA85" s="497"/>
      <c r="AB85" s="497"/>
      <c r="AC85" s="497"/>
      <c r="AD85" s="498"/>
      <c r="AF85" s="50"/>
    </row>
    <row r="86" spans="1:32" ht="30.75" customHeight="1">
      <c r="A86" s="484">
        <v>1</v>
      </c>
      <c r="B86" s="485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500"/>
      <c r="W86" s="500"/>
      <c r="X86" s="500"/>
      <c r="Y86" s="501"/>
      <c r="Z86" s="501"/>
      <c r="AA86" s="501"/>
      <c r="AB86" s="501"/>
      <c r="AC86" s="501"/>
      <c r="AD86" s="502"/>
      <c r="AF86" s="50"/>
    </row>
    <row r="87" spans="1:32" ht="30.75" customHeight="1">
      <c r="A87" s="476">
        <v>2</v>
      </c>
      <c r="B87" s="477"/>
      <c r="C87" s="510"/>
      <c r="D87" s="510"/>
      <c r="E87" s="510"/>
      <c r="F87" s="510"/>
      <c r="G87" s="510"/>
      <c r="H87" s="510"/>
      <c r="I87" s="510"/>
      <c r="J87" s="510"/>
      <c r="K87" s="510"/>
      <c r="L87" s="510"/>
      <c r="M87" s="510"/>
      <c r="N87" s="510"/>
      <c r="O87" s="510"/>
      <c r="P87" s="510"/>
      <c r="Q87" s="510"/>
      <c r="R87" s="510"/>
      <c r="S87" s="510"/>
      <c r="T87" s="511"/>
      <c r="U87" s="511"/>
      <c r="V87" s="512"/>
      <c r="W87" s="512"/>
      <c r="X87" s="512"/>
      <c r="Y87" s="503"/>
      <c r="Z87" s="503"/>
      <c r="AA87" s="503"/>
      <c r="AB87" s="503"/>
      <c r="AC87" s="503"/>
      <c r="AD87" s="504"/>
      <c r="AF87" s="50"/>
    </row>
    <row r="88" spans="1:32" ht="30.75" customHeight="1" thickBot="1">
      <c r="A88" s="505">
        <v>3</v>
      </c>
      <c r="B88" s="506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07"/>
      <c r="X88" s="507"/>
      <c r="Y88" s="508"/>
      <c r="Z88" s="508"/>
      <c r="AA88" s="508"/>
      <c r="AB88" s="508"/>
      <c r="AC88" s="508"/>
      <c r="AD88" s="509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9307-229B-4055-BDC9-5A5066440C30}">
  <sheetPr codeName="Sheet5"/>
  <dimension ref="A1:AF87"/>
  <sheetViews>
    <sheetView view="pageBreakPreview" zoomScale="70" zoomScaleNormal="72" zoomScaleSheetLayoutView="70" workbookViewId="0">
      <selection activeCell="D11" sqref="D11:L1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243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169" t="s">
        <v>17</v>
      </c>
      <c r="L5" s="169" t="s">
        <v>18</v>
      </c>
      <c r="M5" s="169" t="s">
        <v>19</v>
      </c>
      <c r="N5" s="16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244</v>
      </c>
      <c r="E6" s="53" t="s">
        <v>245</v>
      </c>
      <c r="F6" s="30" t="s">
        <v>131</v>
      </c>
      <c r="G6" s="12">
        <v>1</v>
      </c>
      <c r="H6" s="13">
        <v>24</v>
      </c>
      <c r="I6" s="31">
        <v>6000</v>
      </c>
      <c r="J6" s="5">
        <v>5034</v>
      </c>
      <c r="K6" s="15">
        <f>L6</f>
        <v>5034</v>
      </c>
      <c r="L6" s="15">
        <f>2723+2311</f>
        <v>5034</v>
      </c>
      <c r="M6" s="15">
        <f t="shared" ref="M6:M21" si="0">L6-N6</f>
        <v>5034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>$AD$21</f>
        <v>0.5</v>
      </c>
      <c r="AF6" s="84">
        <f t="shared" ref="AF6:AF21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171</v>
      </c>
      <c r="F7" s="12" t="s">
        <v>152</v>
      </c>
      <c r="G7" s="12">
        <v>1</v>
      </c>
      <c r="H7" s="13">
        <v>24</v>
      </c>
      <c r="I7" s="31">
        <v>800</v>
      </c>
      <c r="J7" s="14">
        <v>1223</v>
      </c>
      <c r="K7" s="15">
        <f>L7+1223</f>
        <v>1223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ref="AE7:AE21" si="8">$AD$22</f>
        <v>0.64062499999999989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228</v>
      </c>
      <c r="E8" s="53" t="s">
        <v>246</v>
      </c>
      <c r="F8" s="30" t="s">
        <v>124</v>
      </c>
      <c r="G8" s="33">
        <v>1</v>
      </c>
      <c r="H8" s="35">
        <v>24</v>
      </c>
      <c r="I8" s="7">
        <v>17000</v>
      </c>
      <c r="J8" s="14">
        <v>5318</v>
      </c>
      <c r="K8" s="15">
        <f>L8</f>
        <v>5318</v>
      </c>
      <c r="L8" s="15">
        <f>2861+2457</f>
        <v>5318</v>
      </c>
      <c r="M8" s="15">
        <f t="shared" si="0"/>
        <v>5318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8"/>
        <v>0.64062499999999989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191</v>
      </c>
      <c r="E9" s="53" t="s">
        <v>192</v>
      </c>
      <c r="F9" s="30" t="s">
        <v>195</v>
      </c>
      <c r="G9" s="33">
        <v>1</v>
      </c>
      <c r="H9" s="35">
        <v>24</v>
      </c>
      <c r="I9" s="7">
        <v>24000</v>
      </c>
      <c r="J9" s="14">
        <v>3934</v>
      </c>
      <c r="K9" s="15">
        <f>L9+4275+4281</f>
        <v>12490</v>
      </c>
      <c r="L9" s="15">
        <f>2484+1450</f>
        <v>3934</v>
      </c>
      <c r="M9" s="15">
        <f t="shared" si="0"/>
        <v>3934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6">
        <f t="shared" si="8"/>
        <v>0.64062499999999989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144</v>
      </c>
      <c r="F10" s="30" t="s">
        <v>173</v>
      </c>
      <c r="G10" s="33">
        <v>4</v>
      </c>
      <c r="H10" s="35">
        <v>24</v>
      </c>
      <c r="I10" s="7">
        <v>250000</v>
      </c>
      <c r="J10" s="5">
        <v>41972</v>
      </c>
      <c r="K10" s="15">
        <f>L10+25160+41576+41808+39572+33444</f>
        <v>223532</v>
      </c>
      <c r="L10" s="15">
        <f>5406*4+5087*4</f>
        <v>41972</v>
      </c>
      <c r="M10" s="15">
        <f t="shared" si="0"/>
        <v>41972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8"/>
        <v>0.64062499999999989</v>
      </c>
      <c r="AF10" s="84">
        <f t="shared" si="7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115</v>
      </c>
      <c r="E11" s="53" t="s">
        <v>167</v>
      </c>
      <c r="F11" s="30" t="s">
        <v>119</v>
      </c>
      <c r="G11" s="12">
        <v>1</v>
      </c>
      <c r="H11" s="13">
        <v>28</v>
      </c>
      <c r="I11" s="7">
        <v>69000</v>
      </c>
      <c r="J11" s="14">
        <v>5297</v>
      </c>
      <c r="K11" s="15">
        <f>L11+2806+5234+5319+5378+5411+789+4935+3007+4151+5463+4141+4654+5072</f>
        <v>61657</v>
      </c>
      <c r="L11" s="15">
        <f>2777+2520</f>
        <v>5297</v>
      </c>
      <c r="M11" s="15">
        <f t="shared" si="0"/>
        <v>5297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8"/>
        <v>0.64062499999999989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164</v>
      </c>
      <c r="E12" s="53" t="s">
        <v>165</v>
      </c>
      <c r="F12" s="30" t="s">
        <v>119</v>
      </c>
      <c r="G12" s="33">
        <v>1</v>
      </c>
      <c r="H12" s="35">
        <v>24</v>
      </c>
      <c r="I12" s="7">
        <v>69000</v>
      </c>
      <c r="J12" s="14">
        <v>3648</v>
      </c>
      <c r="K12" s="15">
        <f>L12+2872+5295+4231+5295+5295+5281+840+3474+4762+3115+2852+3656+4456</f>
        <v>55072</v>
      </c>
      <c r="L12" s="15">
        <f>998+2650</f>
        <v>3648</v>
      </c>
      <c r="M12" s="15">
        <f t="shared" si="0"/>
        <v>3648</v>
      </c>
      <c r="N12" s="15">
        <v>0</v>
      </c>
      <c r="O12" s="58">
        <f t="shared" si="1"/>
        <v>0</v>
      </c>
      <c r="P12" s="39">
        <f t="shared" si="2"/>
        <v>16</v>
      </c>
      <c r="Q12" s="40">
        <f t="shared" si="3"/>
        <v>8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8</v>
      </c>
      <c r="AB12" s="8">
        <f t="shared" si="4"/>
        <v>1</v>
      </c>
      <c r="AC12" s="9">
        <f t="shared" si="5"/>
        <v>0.66666666666666663</v>
      </c>
      <c r="AD12" s="10">
        <f t="shared" si="9"/>
        <v>0.66666666666666663</v>
      </c>
      <c r="AE12" s="36">
        <f t="shared" si="8"/>
        <v>0.64062499999999989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143</v>
      </c>
      <c r="F13" s="30" t="s">
        <v>125</v>
      </c>
      <c r="G13" s="33">
        <v>2</v>
      </c>
      <c r="H13" s="35">
        <v>24</v>
      </c>
      <c r="I13" s="7">
        <v>50000</v>
      </c>
      <c r="J13" s="5">
        <v>11344</v>
      </c>
      <c r="K13" s="15">
        <f>L13+5328+12076+9770</f>
        <v>38518</v>
      </c>
      <c r="L13" s="15">
        <f>2999*2+2673*2</f>
        <v>11344</v>
      </c>
      <c r="M13" s="15">
        <f t="shared" si="0"/>
        <v>11344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8"/>
        <v>0.64062499999999989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174</v>
      </c>
      <c r="F14" s="30" t="s">
        <v>177</v>
      </c>
      <c r="G14" s="33">
        <v>1</v>
      </c>
      <c r="H14" s="35">
        <v>24</v>
      </c>
      <c r="I14" s="7">
        <v>300</v>
      </c>
      <c r="J14" s="5">
        <v>376</v>
      </c>
      <c r="K14" s="15">
        <f>L14+376</f>
        <v>376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8"/>
        <v>0.64062499999999989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155</v>
      </c>
      <c r="D15" s="52"/>
      <c r="E15" s="53" t="s">
        <v>170</v>
      </c>
      <c r="F15" s="12">
        <v>8301</v>
      </c>
      <c r="G15" s="12" t="s">
        <v>157</v>
      </c>
      <c r="H15" s="13">
        <v>24</v>
      </c>
      <c r="I15" s="31">
        <f>3900+2000</f>
        <v>5900</v>
      </c>
      <c r="J15" s="14">
        <v>3839</v>
      </c>
      <c r="K15" s="15">
        <f>L15+2965+3839</f>
        <v>6804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8"/>
        <v>0.64062499999999989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12528</v>
      </c>
      <c r="K16" s="15">
        <f>L16+6564</f>
        <v>19092</v>
      </c>
      <c r="L16" s="15">
        <f>3180*2+3084*2</f>
        <v>12528</v>
      </c>
      <c r="M16" s="15">
        <f t="shared" si="0"/>
        <v>12528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8"/>
        <v>0.64062499999999989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126</v>
      </c>
      <c r="E17" s="53" t="s">
        <v>159</v>
      </c>
      <c r="F17" s="30" t="s">
        <v>160</v>
      </c>
      <c r="G17" s="12">
        <v>4</v>
      </c>
      <c r="H17" s="13">
        <v>24</v>
      </c>
      <c r="I17" s="7">
        <v>15000</v>
      </c>
      <c r="J17" s="14">
        <v>16824</v>
      </c>
      <c r="K17" s="15">
        <f>L17+22960+16824</f>
        <v>39784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8"/>
        <v>0.64062499999999989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211</v>
      </c>
      <c r="F18" s="30" t="s">
        <v>139</v>
      </c>
      <c r="G18" s="33">
        <v>1</v>
      </c>
      <c r="H18" s="35">
        <v>24</v>
      </c>
      <c r="I18" s="7">
        <v>20000</v>
      </c>
      <c r="J18" s="14">
        <v>5415</v>
      </c>
      <c r="K18" s="15">
        <f>L18+2915</f>
        <v>8330</v>
      </c>
      <c r="L18" s="15">
        <f>2788+2627</f>
        <v>5415</v>
      </c>
      <c r="M18" s="15">
        <f t="shared" si="0"/>
        <v>5415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8"/>
        <v>0.64062499999999989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141</v>
      </c>
      <c r="E19" s="53" t="s">
        <v>158</v>
      </c>
      <c r="F19" s="30" t="s">
        <v>124</v>
      </c>
      <c r="G19" s="33">
        <v>1</v>
      </c>
      <c r="H19" s="35">
        <v>24</v>
      </c>
      <c r="I19" s="7">
        <v>80000</v>
      </c>
      <c r="J19" s="5">
        <v>5108</v>
      </c>
      <c r="K19" s="15">
        <f>L19+1964+2699+1215+3702+2680+927+2666+4081+2052+4322+5042+2742+5050+5068+4805+2245+4856+4964+5099+5040+5062+4583+2066</f>
        <v>88038</v>
      </c>
      <c r="L19" s="15">
        <f>2629+2479</f>
        <v>5108</v>
      </c>
      <c r="M19" s="15">
        <f t="shared" si="0"/>
        <v>5108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 t="shared" si="8"/>
        <v>0.64062499999999989</v>
      </c>
      <c r="AF19" s="84">
        <f t="shared" si="7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166</v>
      </c>
      <c r="F20" s="30" t="s">
        <v>119</v>
      </c>
      <c r="G20" s="12">
        <v>1</v>
      </c>
      <c r="H20" s="13">
        <v>28</v>
      </c>
      <c r="I20" s="31">
        <v>40000</v>
      </c>
      <c r="J20" s="5">
        <v>1384</v>
      </c>
      <c r="K20" s="15">
        <f>L20+2503+4146+3422+2211+1805+550+1849+2614+2495+1614+1413+464+2031</f>
        <v>28501</v>
      </c>
      <c r="L20" s="15">
        <f>1083+301</f>
        <v>1384</v>
      </c>
      <c r="M20" s="15">
        <f t="shared" si="0"/>
        <v>1384</v>
      </c>
      <c r="N20" s="15">
        <v>0</v>
      </c>
      <c r="O20" s="58">
        <f t="shared" si="1"/>
        <v>0</v>
      </c>
      <c r="P20" s="39">
        <f t="shared" si="2"/>
        <v>7</v>
      </c>
      <c r="Q20" s="40">
        <f t="shared" si="3"/>
        <v>17</v>
      </c>
      <c r="R20" s="7"/>
      <c r="S20" s="6">
        <v>17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0.29166666666666669</v>
      </c>
      <c r="AD20" s="10">
        <f t="shared" ref="AD20" si="10">AC20*AB20*(1-O20)</f>
        <v>0.29166666666666669</v>
      </c>
      <c r="AE20" s="36">
        <f t="shared" si="8"/>
        <v>0.64062499999999989</v>
      </c>
      <c r="AF20" s="84">
        <f t="shared" si="7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144</v>
      </c>
      <c r="F21" s="12" t="s">
        <v>114</v>
      </c>
      <c r="G21" s="12">
        <v>4</v>
      </c>
      <c r="H21" s="35">
        <v>20</v>
      </c>
      <c r="I21" s="7">
        <v>500000</v>
      </c>
      <c r="J21" s="14">
        <v>41540</v>
      </c>
      <c r="K21" s="15">
        <f>L21+27600</f>
        <v>69140</v>
      </c>
      <c r="L21" s="15">
        <f>10385*4</f>
        <v>41540</v>
      </c>
      <c r="M21" s="15">
        <f t="shared" si="0"/>
        <v>41540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8"/>
        <v>0.64062499999999989</v>
      </c>
      <c r="AF21" s="84">
        <f t="shared" si="7"/>
        <v>16</v>
      </c>
    </row>
    <row r="22" spans="1:32" ht="31.5" customHeight="1" thickBot="1">
      <c r="A22" s="405" t="s">
        <v>34</v>
      </c>
      <c r="B22" s="406"/>
      <c r="C22" s="406"/>
      <c r="D22" s="406"/>
      <c r="E22" s="406"/>
      <c r="F22" s="406"/>
      <c r="G22" s="406"/>
      <c r="H22" s="407"/>
      <c r="I22" s="22">
        <f t="shared" ref="I22:N22" si="11">SUM(I6:I21)</f>
        <v>1447000</v>
      </c>
      <c r="J22" s="19">
        <f t="shared" si="11"/>
        <v>164784</v>
      </c>
      <c r="K22" s="20">
        <f t="shared" si="11"/>
        <v>662909</v>
      </c>
      <c r="L22" s="21">
        <f t="shared" si="11"/>
        <v>142522</v>
      </c>
      <c r="M22" s="20">
        <f t="shared" si="11"/>
        <v>142522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246</v>
      </c>
      <c r="Q22" s="43">
        <f t="shared" si="12"/>
        <v>138</v>
      </c>
      <c r="R22" s="23">
        <f t="shared" si="12"/>
        <v>0</v>
      </c>
      <c r="S22" s="24">
        <f t="shared" si="12"/>
        <v>22</v>
      </c>
      <c r="T22" s="24">
        <f t="shared" si="12"/>
        <v>0</v>
      </c>
      <c r="U22" s="24">
        <f t="shared" si="12"/>
        <v>0</v>
      </c>
      <c r="V22" s="25">
        <f t="shared" si="12"/>
        <v>12</v>
      </c>
      <c r="W22" s="26">
        <f t="shared" si="12"/>
        <v>72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32</v>
      </c>
      <c r="AB22" s="28">
        <f>AVERAGE(AB6:AB21)</f>
        <v>0.75</v>
      </c>
      <c r="AC22" s="4">
        <f>AVERAGE(AC6:AC21)</f>
        <v>0.64062499999999989</v>
      </c>
      <c r="AD22" s="4">
        <f>AVERAGE(AD6:AD21)</f>
        <v>0.64062499999999989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08" t="s">
        <v>45</v>
      </c>
      <c r="B49" s="408"/>
      <c r="C49" s="408"/>
      <c r="D49" s="408"/>
      <c r="E49" s="40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09" t="s">
        <v>247</v>
      </c>
      <c r="B50" s="410"/>
      <c r="C50" s="410"/>
      <c r="D50" s="410"/>
      <c r="E50" s="410"/>
      <c r="F50" s="410"/>
      <c r="G50" s="410"/>
      <c r="H50" s="410"/>
      <c r="I50" s="410"/>
      <c r="J50" s="410"/>
      <c r="K50" s="410"/>
      <c r="L50" s="410"/>
      <c r="M50" s="411"/>
      <c r="N50" s="412" t="s">
        <v>250</v>
      </c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3"/>
      <c r="AA50" s="413"/>
      <c r="AB50" s="413"/>
      <c r="AC50" s="413"/>
      <c r="AD50" s="414"/>
    </row>
    <row r="51" spans="1:32" ht="27" customHeight="1">
      <c r="A51" s="415" t="s">
        <v>2</v>
      </c>
      <c r="B51" s="416"/>
      <c r="C51" s="168" t="s">
        <v>46</v>
      </c>
      <c r="D51" s="168" t="s">
        <v>47</v>
      </c>
      <c r="E51" s="168" t="s">
        <v>107</v>
      </c>
      <c r="F51" s="417" t="s">
        <v>106</v>
      </c>
      <c r="G51" s="418"/>
      <c r="H51" s="418"/>
      <c r="I51" s="418"/>
      <c r="J51" s="418"/>
      <c r="K51" s="418"/>
      <c r="L51" s="418"/>
      <c r="M51" s="419"/>
      <c r="N51" s="67" t="s">
        <v>110</v>
      </c>
      <c r="O51" s="168" t="s">
        <v>46</v>
      </c>
      <c r="P51" s="417" t="s">
        <v>47</v>
      </c>
      <c r="Q51" s="420"/>
      <c r="R51" s="417" t="s">
        <v>38</v>
      </c>
      <c r="S51" s="418"/>
      <c r="T51" s="418"/>
      <c r="U51" s="420"/>
      <c r="V51" s="417" t="s">
        <v>48</v>
      </c>
      <c r="W51" s="418"/>
      <c r="X51" s="418"/>
      <c r="Y51" s="418"/>
      <c r="Z51" s="418"/>
      <c r="AA51" s="418"/>
      <c r="AB51" s="418"/>
      <c r="AC51" s="418"/>
      <c r="AD51" s="419"/>
    </row>
    <row r="52" spans="1:32" ht="27" customHeight="1">
      <c r="A52" s="431" t="s">
        <v>120</v>
      </c>
      <c r="B52" s="432"/>
      <c r="C52" s="165" t="s">
        <v>148</v>
      </c>
      <c r="D52" s="165" t="s">
        <v>115</v>
      </c>
      <c r="E52" s="165" t="s">
        <v>166</v>
      </c>
      <c r="F52" s="433" t="s">
        <v>248</v>
      </c>
      <c r="G52" s="434"/>
      <c r="H52" s="434"/>
      <c r="I52" s="434"/>
      <c r="J52" s="434"/>
      <c r="K52" s="434"/>
      <c r="L52" s="434"/>
      <c r="M52" s="435"/>
      <c r="N52" s="164" t="s">
        <v>120</v>
      </c>
      <c r="O52" s="162" t="s">
        <v>148</v>
      </c>
      <c r="P52" s="436" t="s">
        <v>115</v>
      </c>
      <c r="Q52" s="437"/>
      <c r="R52" s="436" t="s">
        <v>166</v>
      </c>
      <c r="S52" s="438"/>
      <c r="T52" s="438"/>
      <c r="U52" s="437"/>
      <c r="V52" s="439" t="s">
        <v>133</v>
      </c>
      <c r="W52" s="439"/>
      <c r="X52" s="439"/>
      <c r="Y52" s="439"/>
      <c r="Z52" s="439"/>
      <c r="AA52" s="439"/>
      <c r="AB52" s="439"/>
      <c r="AC52" s="439"/>
      <c r="AD52" s="440"/>
    </row>
    <row r="53" spans="1:32" ht="27" customHeight="1">
      <c r="A53" s="431" t="s">
        <v>120</v>
      </c>
      <c r="B53" s="432"/>
      <c r="C53" s="165" t="s">
        <v>217</v>
      </c>
      <c r="D53" s="165" t="s">
        <v>228</v>
      </c>
      <c r="E53" s="165" t="s">
        <v>246</v>
      </c>
      <c r="F53" s="433" t="s">
        <v>118</v>
      </c>
      <c r="G53" s="434"/>
      <c r="H53" s="434"/>
      <c r="I53" s="434"/>
      <c r="J53" s="434"/>
      <c r="K53" s="434"/>
      <c r="L53" s="434"/>
      <c r="M53" s="435"/>
      <c r="N53" s="164" t="s">
        <v>120</v>
      </c>
      <c r="O53" s="162" t="s">
        <v>190</v>
      </c>
      <c r="P53" s="436" t="s">
        <v>191</v>
      </c>
      <c r="Q53" s="437"/>
      <c r="R53" s="436" t="s">
        <v>192</v>
      </c>
      <c r="S53" s="438"/>
      <c r="T53" s="438"/>
      <c r="U53" s="437"/>
      <c r="V53" s="439" t="s">
        <v>133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121</v>
      </c>
      <c r="B54" s="432"/>
      <c r="C54" s="165" t="s">
        <v>140</v>
      </c>
      <c r="D54" s="165" t="s">
        <v>164</v>
      </c>
      <c r="E54" s="165" t="s">
        <v>165</v>
      </c>
      <c r="F54" s="433" t="s">
        <v>249</v>
      </c>
      <c r="G54" s="434"/>
      <c r="H54" s="434"/>
      <c r="I54" s="434"/>
      <c r="J54" s="434"/>
      <c r="K54" s="434"/>
      <c r="L54" s="434"/>
      <c r="M54" s="435"/>
      <c r="N54" s="164" t="s">
        <v>120</v>
      </c>
      <c r="O54" s="162" t="s">
        <v>233</v>
      </c>
      <c r="P54" s="436" t="s">
        <v>207</v>
      </c>
      <c r="Q54" s="437"/>
      <c r="R54" s="436" t="s">
        <v>232</v>
      </c>
      <c r="S54" s="438"/>
      <c r="T54" s="438"/>
      <c r="U54" s="437"/>
      <c r="V54" s="439" t="s">
        <v>118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112</v>
      </c>
      <c r="B55" s="432"/>
      <c r="C55" s="165" t="s">
        <v>136</v>
      </c>
      <c r="D55" s="165" t="s">
        <v>230</v>
      </c>
      <c r="E55" s="165" t="s">
        <v>231</v>
      </c>
      <c r="F55" s="433" t="s">
        <v>118</v>
      </c>
      <c r="G55" s="434"/>
      <c r="H55" s="434"/>
      <c r="I55" s="434"/>
      <c r="J55" s="434"/>
      <c r="K55" s="434"/>
      <c r="L55" s="434"/>
      <c r="M55" s="435"/>
      <c r="N55" s="164" t="s">
        <v>120</v>
      </c>
      <c r="O55" s="162" t="s">
        <v>142</v>
      </c>
      <c r="P55" s="436" t="s">
        <v>115</v>
      </c>
      <c r="Q55" s="437"/>
      <c r="R55" s="436" t="s">
        <v>251</v>
      </c>
      <c r="S55" s="438"/>
      <c r="T55" s="438"/>
      <c r="U55" s="437"/>
      <c r="V55" s="439" t="s">
        <v>118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120</v>
      </c>
      <c r="B56" s="432"/>
      <c r="C56" s="165" t="s">
        <v>190</v>
      </c>
      <c r="D56" s="165" t="s">
        <v>191</v>
      </c>
      <c r="E56" s="165" t="s">
        <v>192</v>
      </c>
      <c r="F56" s="433" t="s">
        <v>218</v>
      </c>
      <c r="G56" s="434"/>
      <c r="H56" s="434"/>
      <c r="I56" s="434"/>
      <c r="J56" s="434"/>
      <c r="K56" s="434"/>
      <c r="L56" s="434"/>
      <c r="M56" s="435"/>
      <c r="N56" s="164"/>
      <c r="O56" s="162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/>
      <c r="B57" s="432"/>
      <c r="C57" s="165"/>
      <c r="D57" s="165"/>
      <c r="E57" s="165"/>
      <c r="F57" s="433"/>
      <c r="G57" s="434"/>
      <c r="H57" s="434"/>
      <c r="I57" s="434"/>
      <c r="J57" s="434"/>
      <c r="K57" s="434"/>
      <c r="L57" s="434"/>
      <c r="M57" s="435"/>
      <c r="N57" s="164"/>
      <c r="O57" s="162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/>
      <c r="B58" s="432"/>
      <c r="C58" s="165"/>
      <c r="D58" s="165"/>
      <c r="E58" s="165"/>
      <c r="F58" s="433"/>
      <c r="G58" s="434"/>
      <c r="H58" s="434"/>
      <c r="I58" s="434"/>
      <c r="J58" s="434"/>
      <c r="K58" s="434"/>
      <c r="L58" s="434"/>
      <c r="M58" s="435"/>
      <c r="N58" s="164"/>
      <c r="O58" s="162"/>
      <c r="P58" s="436"/>
      <c r="Q58" s="437"/>
      <c r="R58" s="432"/>
      <c r="S58" s="432"/>
      <c r="T58" s="432"/>
      <c r="U58" s="432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165"/>
      <c r="D59" s="165"/>
      <c r="E59" s="165"/>
      <c r="F59" s="433"/>
      <c r="G59" s="434"/>
      <c r="H59" s="434"/>
      <c r="I59" s="434"/>
      <c r="J59" s="434"/>
      <c r="K59" s="434"/>
      <c r="L59" s="434"/>
      <c r="M59" s="435"/>
      <c r="N59" s="164"/>
      <c r="O59" s="162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165"/>
      <c r="D60" s="165"/>
      <c r="E60" s="165"/>
      <c r="F60" s="433"/>
      <c r="G60" s="434"/>
      <c r="H60" s="434"/>
      <c r="I60" s="434"/>
      <c r="J60" s="434"/>
      <c r="K60" s="434"/>
      <c r="L60" s="434"/>
      <c r="M60" s="435"/>
      <c r="N60" s="164"/>
      <c r="O60" s="162"/>
      <c r="P60" s="432"/>
      <c r="Q60" s="432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  <c r="AF60" s="84">
        <f>8*3000</f>
        <v>24000</v>
      </c>
    </row>
    <row r="61" spans="1:32" ht="27" customHeight="1" thickBot="1">
      <c r="A61" s="441"/>
      <c r="B61" s="442"/>
      <c r="C61" s="166"/>
      <c r="D61" s="167"/>
      <c r="E61" s="167"/>
      <c r="F61" s="443"/>
      <c r="G61" s="444"/>
      <c r="H61" s="444"/>
      <c r="I61" s="444"/>
      <c r="J61" s="444"/>
      <c r="K61" s="444"/>
      <c r="L61" s="444"/>
      <c r="M61" s="445"/>
      <c r="N61" s="112"/>
      <c r="O61" s="103"/>
      <c r="P61" s="446"/>
      <c r="Q61" s="446"/>
      <c r="R61" s="446"/>
      <c r="S61" s="446"/>
      <c r="T61" s="446"/>
      <c r="U61" s="446"/>
      <c r="V61" s="447"/>
      <c r="W61" s="447"/>
      <c r="X61" s="447"/>
      <c r="Y61" s="447"/>
      <c r="Z61" s="447"/>
      <c r="AA61" s="447"/>
      <c r="AB61" s="447"/>
      <c r="AC61" s="447"/>
      <c r="AD61" s="448"/>
      <c r="AF61" s="84">
        <f>16*3000</f>
        <v>48000</v>
      </c>
    </row>
    <row r="62" spans="1:32" ht="27.75" thickBot="1">
      <c r="A62" s="449" t="s">
        <v>252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0" t="s">
        <v>111</v>
      </c>
      <c r="B63" s="451"/>
      <c r="C63" s="163" t="s">
        <v>2</v>
      </c>
      <c r="D63" s="163" t="s">
        <v>37</v>
      </c>
      <c r="E63" s="163" t="s">
        <v>3</v>
      </c>
      <c r="F63" s="451" t="s">
        <v>109</v>
      </c>
      <c r="G63" s="451"/>
      <c r="H63" s="451"/>
      <c r="I63" s="451"/>
      <c r="J63" s="451"/>
      <c r="K63" s="451" t="s">
        <v>39</v>
      </c>
      <c r="L63" s="451"/>
      <c r="M63" s="163" t="s">
        <v>40</v>
      </c>
      <c r="N63" s="451" t="s">
        <v>41</v>
      </c>
      <c r="O63" s="451"/>
      <c r="P63" s="452" t="s">
        <v>42</v>
      </c>
      <c r="Q63" s="453"/>
      <c r="R63" s="452" t="s">
        <v>43</v>
      </c>
      <c r="S63" s="454"/>
      <c r="T63" s="454"/>
      <c r="U63" s="454"/>
      <c r="V63" s="454"/>
      <c r="W63" s="454"/>
      <c r="X63" s="454"/>
      <c r="Y63" s="454"/>
      <c r="Z63" s="454"/>
      <c r="AA63" s="453"/>
      <c r="AB63" s="451" t="s">
        <v>44</v>
      </c>
      <c r="AC63" s="451"/>
      <c r="AD63" s="455"/>
      <c r="AF63" s="84">
        <f>SUM(AF60:AF62)</f>
        <v>96000</v>
      </c>
    </row>
    <row r="64" spans="1:32" ht="25.5" customHeight="1">
      <c r="A64" s="456">
        <v>1</v>
      </c>
      <c r="B64" s="457"/>
      <c r="C64" s="105" t="s">
        <v>120</v>
      </c>
      <c r="D64" s="158"/>
      <c r="E64" s="161" t="s">
        <v>135</v>
      </c>
      <c r="F64" s="458" t="s">
        <v>253</v>
      </c>
      <c r="G64" s="459"/>
      <c r="H64" s="459"/>
      <c r="I64" s="459"/>
      <c r="J64" s="460"/>
      <c r="K64" s="461" t="s">
        <v>131</v>
      </c>
      <c r="L64" s="461"/>
      <c r="M64" s="51" t="s">
        <v>237</v>
      </c>
      <c r="N64" s="462" t="s">
        <v>254</v>
      </c>
      <c r="O64" s="462"/>
      <c r="P64" s="463">
        <v>50</v>
      </c>
      <c r="Q64" s="463"/>
      <c r="R64" s="439"/>
      <c r="S64" s="439"/>
      <c r="T64" s="439"/>
      <c r="U64" s="439"/>
      <c r="V64" s="439"/>
      <c r="W64" s="439"/>
      <c r="X64" s="439"/>
      <c r="Y64" s="439"/>
      <c r="Z64" s="439"/>
      <c r="AA64" s="439"/>
      <c r="AB64" s="464"/>
      <c r="AC64" s="465"/>
      <c r="AD64" s="466"/>
      <c r="AF64" s="50"/>
    </row>
    <row r="65" spans="1:32" ht="25.5" customHeight="1">
      <c r="A65" s="456">
        <v>2</v>
      </c>
      <c r="B65" s="457"/>
      <c r="C65" s="105" t="s">
        <v>120</v>
      </c>
      <c r="D65" s="158"/>
      <c r="E65" s="161" t="s">
        <v>161</v>
      </c>
      <c r="F65" s="458" t="s">
        <v>238</v>
      </c>
      <c r="G65" s="459"/>
      <c r="H65" s="459"/>
      <c r="I65" s="459"/>
      <c r="J65" s="460"/>
      <c r="K65" s="461" t="s">
        <v>124</v>
      </c>
      <c r="L65" s="461"/>
      <c r="M65" s="51" t="s">
        <v>239</v>
      </c>
      <c r="N65" s="462" t="s">
        <v>140</v>
      </c>
      <c r="O65" s="462"/>
      <c r="P65" s="463">
        <v>400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1"/>
      <c r="AC65" s="461"/>
      <c r="AD65" s="467"/>
      <c r="AF65" s="50"/>
    </row>
    <row r="66" spans="1:32" ht="25.5" customHeight="1">
      <c r="A66" s="456">
        <v>3</v>
      </c>
      <c r="B66" s="457"/>
      <c r="C66" s="105" t="s">
        <v>120</v>
      </c>
      <c r="D66" s="158"/>
      <c r="E66" s="161" t="s">
        <v>135</v>
      </c>
      <c r="F66" s="458" t="s">
        <v>255</v>
      </c>
      <c r="G66" s="459"/>
      <c r="H66" s="459"/>
      <c r="I66" s="459"/>
      <c r="J66" s="460"/>
      <c r="K66" s="461" t="s">
        <v>256</v>
      </c>
      <c r="L66" s="461"/>
      <c r="M66" s="51" t="s">
        <v>237</v>
      </c>
      <c r="N66" s="462" t="s">
        <v>127</v>
      </c>
      <c r="O66" s="462"/>
      <c r="P66" s="463">
        <v>100</v>
      </c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4</v>
      </c>
      <c r="B67" s="457"/>
      <c r="C67" s="105" t="s">
        <v>120</v>
      </c>
      <c r="D67" s="158"/>
      <c r="E67" s="161" t="s">
        <v>257</v>
      </c>
      <c r="F67" s="458">
        <v>3159020</v>
      </c>
      <c r="G67" s="459"/>
      <c r="H67" s="459"/>
      <c r="I67" s="459"/>
      <c r="J67" s="460"/>
      <c r="K67" s="461" t="s">
        <v>124</v>
      </c>
      <c r="L67" s="461"/>
      <c r="M67" s="51" t="s">
        <v>154</v>
      </c>
      <c r="N67" s="462" t="s">
        <v>140</v>
      </c>
      <c r="O67" s="462"/>
      <c r="P67" s="463">
        <v>400</v>
      </c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5</v>
      </c>
      <c r="B68" s="457"/>
      <c r="C68" s="105" t="s">
        <v>259</v>
      </c>
      <c r="D68" s="158"/>
      <c r="E68" s="161" t="s">
        <v>115</v>
      </c>
      <c r="F68" s="458" t="s">
        <v>258</v>
      </c>
      <c r="G68" s="459"/>
      <c r="H68" s="459"/>
      <c r="I68" s="459"/>
      <c r="J68" s="460"/>
      <c r="K68" s="461" t="s">
        <v>256</v>
      </c>
      <c r="L68" s="461"/>
      <c r="M68" s="51" t="s">
        <v>154</v>
      </c>
      <c r="N68" s="462" t="s">
        <v>137</v>
      </c>
      <c r="O68" s="462"/>
      <c r="P68" s="463">
        <v>30</v>
      </c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6</v>
      </c>
      <c r="B69" s="457"/>
      <c r="C69" s="105"/>
      <c r="D69" s="158"/>
      <c r="E69" s="161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7</v>
      </c>
      <c r="B70" s="457"/>
      <c r="C70" s="105"/>
      <c r="D70" s="158"/>
      <c r="E70" s="161"/>
      <c r="F70" s="468"/>
      <c r="G70" s="461"/>
      <c r="H70" s="461"/>
      <c r="I70" s="461"/>
      <c r="J70" s="461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8</v>
      </c>
      <c r="B71" s="457"/>
      <c r="C71" s="105"/>
      <c r="D71" s="158"/>
      <c r="E71" s="161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9</v>
      </c>
      <c r="B72" s="457"/>
      <c r="C72" s="105"/>
      <c r="D72" s="158"/>
      <c r="E72" s="161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10</v>
      </c>
      <c r="B73" s="457"/>
      <c r="C73" s="105"/>
      <c r="D73" s="158"/>
      <c r="E73" s="161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6.25" customHeight="1" thickBot="1">
      <c r="A74" s="469" t="s">
        <v>260</v>
      </c>
      <c r="B74" s="469"/>
      <c r="C74" s="469"/>
      <c r="D74" s="469"/>
      <c r="E74" s="46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0" t="s">
        <v>111</v>
      </c>
      <c r="B75" s="471"/>
      <c r="C75" s="160" t="s">
        <v>2</v>
      </c>
      <c r="D75" s="160" t="s">
        <v>37</v>
      </c>
      <c r="E75" s="160" t="s">
        <v>3</v>
      </c>
      <c r="F75" s="471" t="s">
        <v>38</v>
      </c>
      <c r="G75" s="471"/>
      <c r="H75" s="471"/>
      <c r="I75" s="471"/>
      <c r="J75" s="471"/>
      <c r="K75" s="472" t="s">
        <v>58</v>
      </c>
      <c r="L75" s="473"/>
      <c r="M75" s="473"/>
      <c r="N75" s="473"/>
      <c r="O75" s="473"/>
      <c r="P75" s="473"/>
      <c r="Q75" s="473"/>
      <c r="R75" s="473"/>
      <c r="S75" s="474"/>
      <c r="T75" s="471" t="s">
        <v>49</v>
      </c>
      <c r="U75" s="471"/>
      <c r="V75" s="472" t="s">
        <v>50</v>
      </c>
      <c r="W75" s="474"/>
      <c r="X75" s="473" t="s">
        <v>51</v>
      </c>
      <c r="Y75" s="473"/>
      <c r="Z75" s="473"/>
      <c r="AA75" s="473"/>
      <c r="AB75" s="473"/>
      <c r="AC75" s="473"/>
      <c r="AD75" s="475"/>
      <c r="AF75" s="50"/>
    </row>
    <row r="76" spans="1:32" ht="33.75" customHeight="1">
      <c r="A76" s="484">
        <v>1</v>
      </c>
      <c r="B76" s="485"/>
      <c r="C76" s="159" t="s">
        <v>112</v>
      </c>
      <c r="D76" s="159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76">
        <f>A76+1</f>
        <v>2</v>
      </c>
      <c r="B77" s="477"/>
      <c r="C77" s="158"/>
      <c r="D77" s="158"/>
      <c r="E77" s="32"/>
      <c r="F77" s="477"/>
      <c r="G77" s="477"/>
      <c r="H77" s="477"/>
      <c r="I77" s="477"/>
      <c r="J77" s="477"/>
      <c r="K77" s="478"/>
      <c r="L77" s="479"/>
      <c r="M77" s="479"/>
      <c r="N77" s="479"/>
      <c r="O77" s="479"/>
      <c r="P77" s="479"/>
      <c r="Q77" s="479"/>
      <c r="R77" s="479"/>
      <c r="S77" s="480"/>
      <c r="T77" s="481"/>
      <c r="U77" s="481"/>
      <c r="V77" s="481"/>
      <c r="W77" s="481"/>
      <c r="X77" s="482"/>
      <c r="Y77" s="482"/>
      <c r="Z77" s="482"/>
      <c r="AA77" s="482"/>
      <c r="AB77" s="482"/>
      <c r="AC77" s="482"/>
      <c r="AD77" s="483"/>
      <c r="AF77" s="50"/>
    </row>
    <row r="78" spans="1:32" ht="30" customHeight="1">
      <c r="A78" s="476">
        <f t="shared" ref="A78:A82" si="13">A77+1</f>
        <v>3</v>
      </c>
      <c r="B78" s="477"/>
      <c r="C78" s="158"/>
      <c r="D78" s="158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si="13"/>
        <v>4</v>
      </c>
      <c r="B79" s="477"/>
      <c r="C79" s="158"/>
      <c r="D79" s="158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13"/>
        <v>5</v>
      </c>
      <c r="B80" s="477"/>
      <c r="C80" s="158"/>
      <c r="D80" s="158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13"/>
        <v>6</v>
      </c>
      <c r="B81" s="477"/>
      <c r="C81" s="158"/>
      <c r="D81" s="158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13"/>
        <v>7</v>
      </c>
      <c r="B82" s="477"/>
      <c r="C82" s="158"/>
      <c r="D82" s="158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6" thickBot="1">
      <c r="A83" s="469" t="s">
        <v>261</v>
      </c>
      <c r="B83" s="469"/>
      <c r="C83" s="469"/>
      <c r="D83" s="469"/>
      <c r="E83" s="46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0" t="s">
        <v>111</v>
      </c>
      <c r="B84" s="471"/>
      <c r="C84" s="497" t="s">
        <v>52</v>
      </c>
      <c r="D84" s="497"/>
      <c r="E84" s="497" t="s">
        <v>53</v>
      </c>
      <c r="F84" s="497"/>
      <c r="G84" s="497"/>
      <c r="H84" s="497"/>
      <c r="I84" s="497"/>
      <c r="J84" s="497"/>
      <c r="K84" s="497" t="s">
        <v>54</v>
      </c>
      <c r="L84" s="497"/>
      <c r="M84" s="497"/>
      <c r="N84" s="497"/>
      <c r="O84" s="497"/>
      <c r="P84" s="497"/>
      <c r="Q84" s="497"/>
      <c r="R84" s="497"/>
      <c r="S84" s="497"/>
      <c r="T84" s="497" t="s">
        <v>55</v>
      </c>
      <c r="U84" s="497"/>
      <c r="V84" s="497" t="s">
        <v>56</v>
      </c>
      <c r="W84" s="497"/>
      <c r="X84" s="497"/>
      <c r="Y84" s="497" t="s">
        <v>51</v>
      </c>
      <c r="Z84" s="497"/>
      <c r="AA84" s="497"/>
      <c r="AB84" s="497"/>
      <c r="AC84" s="497"/>
      <c r="AD84" s="498"/>
      <c r="AF84" s="50"/>
    </row>
    <row r="85" spans="1:32" ht="30.75" customHeight="1">
      <c r="A85" s="484">
        <v>1</v>
      </c>
      <c r="B85" s="485"/>
      <c r="C85" s="499"/>
      <c r="D85" s="499"/>
      <c r="E85" s="499"/>
      <c r="F85" s="499"/>
      <c r="G85" s="499"/>
      <c r="H85" s="499"/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500"/>
      <c r="W85" s="500"/>
      <c r="X85" s="500"/>
      <c r="Y85" s="501"/>
      <c r="Z85" s="501"/>
      <c r="AA85" s="501"/>
      <c r="AB85" s="501"/>
      <c r="AC85" s="501"/>
      <c r="AD85" s="502"/>
      <c r="AF85" s="50"/>
    </row>
    <row r="86" spans="1:32" ht="30.75" customHeight="1">
      <c r="A86" s="476">
        <v>2</v>
      </c>
      <c r="B86" s="477"/>
      <c r="C86" s="510"/>
      <c r="D86" s="510"/>
      <c r="E86" s="510"/>
      <c r="F86" s="510"/>
      <c r="G86" s="510"/>
      <c r="H86" s="510"/>
      <c r="I86" s="510"/>
      <c r="J86" s="510"/>
      <c r="K86" s="510"/>
      <c r="L86" s="510"/>
      <c r="M86" s="510"/>
      <c r="N86" s="510"/>
      <c r="O86" s="510"/>
      <c r="P86" s="510"/>
      <c r="Q86" s="510"/>
      <c r="R86" s="510"/>
      <c r="S86" s="510"/>
      <c r="T86" s="511"/>
      <c r="U86" s="511"/>
      <c r="V86" s="512"/>
      <c r="W86" s="512"/>
      <c r="X86" s="512"/>
      <c r="Y86" s="503"/>
      <c r="Z86" s="503"/>
      <c r="AA86" s="503"/>
      <c r="AB86" s="503"/>
      <c r="AC86" s="503"/>
      <c r="AD86" s="504"/>
      <c r="AF86" s="50"/>
    </row>
    <row r="87" spans="1:32" ht="30.75" customHeight="1" thickBot="1">
      <c r="A87" s="505">
        <v>3</v>
      </c>
      <c r="B87" s="506"/>
      <c r="C87" s="507"/>
      <c r="D87" s="507"/>
      <c r="E87" s="507"/>
      <c r="F87" s="507"/>
      <c r="G87" s="507"/>
      <c r="H87" s="507"/>
      <c r="I87" s="507"/>
      <c r="J87" s="507"/>
      <c r="K87" s="507"/>
      <c r="L87" s="507"/>
      <c r="M87" s="507"/>
      <c r="N87" s="507"/>
      <c r="O87" s="507"/>
      <c r="P87" s="507"/>
      <c r="Q87" s="507"/>
      <c r="R87" s="507"/>
      <c r="S87" s="507"/>
      <c r="T87" s="507"/>
      <c r="U87" s="507"/>
      <c r="V87" s="507"/>
      <c r="W87" s="507"/>
      <c r="X87" s="507"/>
      <c r="Y87" s="508"/>
      <c r="Z87" s="508"/>
      <c r="AA87" s="508"/>
      <c r="AB87" s="508"/>
      <c r="AC87" s="508"/>
      <c r="AD87" s="509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3E03-AD41-4851-8563-F29DF8AA9888}">
  <sheetPr codeName="Sheet6"/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262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169" t="s">
        <v>17</v>
      </c>
      <c r="L5" s="169" t="s">
        <v>18</v>
      </c>
      <c r="M5" s="169" t="s">
        <v>19</v>
      </c>
      <c r="N5" s="16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244</v>
      </c>
      <c r="E6" s="53" t="s">
        <v>245</v>
      </c>
      <c r="F6" s="30" t="s">
        <v>131</v>
      </c>
      <c r="G6" s="12">
        <v>1</v>
      </c>
      <c r="H6" s="13">
        <v>24</v>
      </c>
      <c r="I6" s="31">
        <v>6000</v>
      </c>
      <c r="J6" s="5">
        <v>5492</v>
      </c>
      <c r="K6" s="15">
        <f>L6+5034</f>
        <v>10526</v>
      </c>
      <c r="L6" s="15">
        <f>2770+2722</f>
        <v>5492</v>
      </c>
      <c r="M6" s="15">
        <f t="shared" ref="M6:M21" si="0">L6-N6</f>
        <v>5492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>$AD$21</f>
        <v>0.5</v>
      </c>
      <c r="AF6" s="84">
        <f t="shared" ref="AF6:AF21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171</v>
      </c>
      <c r="F7" s="12" t="s">
        <v>152</v>
      </c>
      <c r="G7" s="12">
        <v>1</v>
      </c>
      <c r="H7" s="13">
        <v>24</v>
      </c>
      <c r="I7" s="31">
        <v>800</v>
      </c>
      <c r="J7" s="14">
        <v>1223</v>
      </c>
      <c r="K7" s="15">
        <f>L7+1223</f>
        <v>1223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ref="AE7:AE21" si="8">$AD$22</f>
        <v>0.640625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228</v>
      </c>
      <c r="E8" s="53" t="s">
        <v>246</v>
      </c>
      <c r="F8" s="30" t="s">
        <v>124</v>
      </c>
      <c r="G8" s="33">
        <v>1</v>
      </c>
      <c r="H8" s="35">
        <v>24</v>
      </c>
      <c r="I8" s="7">
        <v>17000</v>
      </c>
      <c r="J8" s="14">
        <v>5828</v>
      </c>
      <c r="K8" s="15">
        <f>L8+5318</f>
        <v>11146</v>
      </c>
      <c r="L8" s="15">
        <f>2899+2929</f>
        <v>5828</v>
      </c>
      <c r="M8" s="15">
        <f t="shared" si="0"/>
        <v>5828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8"/>
        <v>0.640625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191</v>
      </c>
      <c r="E9" s="53" t="s">
        <v>192</v>
      </c>
      <c r="F9" s="30" t="s">
        <v>195</v>
      </c>
      <c r="G9" s="33">
        <v>1</v>
      </c>
      <c r="H9" s="35">
        <v>24</v>
      </c>
      <c r="I9" s="7">
        <v>24000</v>
      </c>
      <c r="J9" s="14">
        <v>3095</v>
      </c>
      <c r="K9" s="15">
        <f>L9+4275+4281+3934</f>
        <v>15585</v>
      </c>
      <c r="L9" s="15">
        <f>2744+351</f>
        <v>3095</v>
      </c>
      <c r="M9" s="15">
        <f t="shared" si="0"/>
        <v>3095</v>
      </c>
      <c r="N9" s="15">
        <v>0</v>
      </c>
      <c r="O9" s="58">
        <f t="shared" si="1"/>
        <v>0</v>
      </c>
      <c r="P9" s="39">
        <f t="shared" si="2"/>
        <v>15</v>
      </c>
      <c r="Q9" s="40">
        <f t="shared" si="3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0.625</v>
      </c>
      <c r="AD9" s="10">
        <f t="shared" si="6"/>
        <v>0.625</v>
      </c>
      <c r="AE9" s="36">
        <f t="shared" si="8"/>
        <v>0.640625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144</v>
      </c>
      <c r="F10" s="30" t="s">
        <v>173</v>
      </c>
      <c r="G10" s="33">
        <v>4</v>
      </c>
      <c r="H10" s="35">
        <v>24</v>
      </c>
      <c r="I10" s="7">
        <v>250000</v>
      </c>
      <c r="J10" s="5">
        <v>41496</v>
      </c>
      <c r="K10" s="15">
        <f>L10+25160+41576+41808+39572+33444+41972</f>
        <v>265028</v>
      </c>
      <c r="L10" s="15">
        <f>5147*4+5227*4</f>
        <v>41496</v>
      </c>
      <c r="M10" s="15">
        <f t="shared" si="0"/>
        <v>41496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8"/>
        <v>0.640625</v>
      </c>
      <c r="AF10" s="84">
        <f t="shared" si="7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115</v>
      </c>
      <c r="E11" s="53" t="s">
        <v>251</v>
      </c>
      <c r="F11" s="30" t="s">
        <v>263</v>
      </c>
      <c r="G11" s="12">
        <v>1</v>
      </c>
      <c r="H11" s="13">
        <v>28</v>
      </c>
      <c r="I11" s="7">
        <v>10000</v>
      </c>
      <c r="J11" s="14">
        <v>2363</v>
      </c>
      <c r="K11" s="15">
        <f>L11</f>
        <v>2363</v>
      </c>
      <c r="L11" s="15">
        <f>794+1569</f>
        <v>2363</v>
      </c>
      <c r="M11" s="15">
        <f t="shared" si="0"/>
        <v>2363</v>
      </c>
      <c r="N11" s="15">
        <v>0</v>
      </c>
      <c r="O11" s="58">
        <f t="shared" si="1"/>
        <v>0</v>
      </c>
      <c r="P11" s="39">
        <f t="shared" si="2"/>
        <v>12</v>
      </c>
      <c r="Q11" s="40">
        <f t="shared" si="3"/>
        <v>12</v>
      </c>
      <c r="R11" s="7"/>
      <c r="S11" s="6">
        <v>12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</v>
      </c>
      <c r="AD11" s="10">
        <f t="shared" ref="AD11:AD14" si="9">AC11*AB11*(1-O11)</f>
        <v>0.5</v>
      </c>
      <c r="AE11" s="36">
        <f t="shared" si="8"/>
        <v>0.640625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164</v>
      </c>
      <c r="E12" s="53" t="s">
        <v>165</v>
      </c>
      <c r="F12" s="30" t="s">
        <v>119</v>
      </c>
      <c r="G12" s="33">
        <v>1</v>
      </c>
      <c r="H12" s="35">
        <v>24</v>
      </c>
      <c r="I12" s="7">
        <v>69000</v>
      </c>
      <c r="J12" s="14">
        <v>5388</v>
      </c>
      <c r="K12" s="15">
        <f>L12+2872+5295+4231+5295+5295+5281+840+3474+4762+3115+2852+3656+4456+3648</f>
        <v>60460</v>
      </c>
      <c r="L12" s="15">
        <f>2690+2698</f>
        <v>5388</v>
      </c>
      <c r="M12" s="15">
        <f t="shared" si="0"/>
        <v>5388</v>
      </c>
      <c r="N12" s="15">
        <v>0</v>
      </c>
      <c r="O12" s="58">
        <f t="shared" si="1"/>
        <v>0</v>
      </c>
      <c r="P12" s="39">
        <f t="shared" si="2"/>
        <v>16</v>
      </c>
      <c r="Q12" s="40">
        <f t="shared" si="3"/>
        <v>8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8</v>
      </c>
      <c r="AB12" s="8">
        <f t="shared" si="4"/>
        <v>1</v>
      </c>
      <c r="AC12" s="9">
        <f t="shared" si="5"/>
        <v>0.66666666666666663</v>
      </c>
      <c r="AD12" s="10">
        <f t="shared" si="9"/>
        <v>0.66666666666666663</v>
      </c>
      <c r="AE12" s="36">
        <f t="shared" si="8"/>
        <v>0.640625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143</v>
      </c>
      <c r="F13" s="30" t="s">
        <v>125</v>
      </c>
      <c r="G13" s="33">
        <v>2</v>
      </c>
      <c r="H13" s="35">
        <v>24</v>
      </c>
      <c r="I13" s="7">
        <v>50000</v>
      </c>
      <c r="J13" s="5">
        <v>9078</v>
      </c>
      <c r="K13" s="15">
        <f>L13+5328+12076+9770+11344</f>
        <v>47596</v>
      </c>
      <c r="L13" s="15">
        <f>1629*2+2910*2</f>
        <v>9078</v>
      </c>
      <c r="M13" s="15">
        <f t="shared" si="0"/>
        <v>9078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>AC13*AB13*(1-O13)</f>
        <v>0.875</v>
      </c>
      <c r="AE13" s="36">
        <f t="shared" si="8"/>
        <v>0.640625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174</v>
      </c>
      <c r="F14" s="30" t="s">
        <v>177</v>
      </c>
      <c r="G14" s="33">
        <v>1</v>
      </c>
      <c r="H14" s="35">
        <v>24</v>
      </c>
      <c r="I14" s="7">
        <v>300</v>
      </c>
      <c r="J14" s="5">
        <v>376</v>
      </c>
      <c r="K14" s="15">
        <f>L14+376</f>
        <v>376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8"/>
        <v>0.640625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155</v>
      </c>
      <c r="D15" s="52"/>
      <c r="E15" s="53" t="s">
        <v>170</v>
      </c>
      <c r="F15" s="12">
        <v>8301</v>
      </c>
      <c r="G15" s="12" t="s">
        <v>157</v>
      </c>
      <c r="H15" s="13">
        <v>24</v>
      </c>
      <c r="I15" s="31">
        <f>3900+2000</f>
        <v>5900</v>
      </c>
      <c r="J15" s="14">
        <v>3839</v>
      </c>
      <c r="K15" s="15">
        <f>L15+2965+3839</f>
        <v>6804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8"/>
        <v>0.640625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9524</v>
      </c>
      <c r="K16" s="15">
        <f>L16+6564+12528</f>
        <v>28616</v>
      </c>
      <c r="L16" s="15">
        <f>1697*2+3065*2</f>
        <v>9524</v>
      </c>
      <c r="M16" s="15">
        <f t="shared" si="0"/>
        <v>9524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8"/>
        <v>0.640625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123</v>
      </c>
      <c r="D17" s="52"/>
      <c r="E17" s="53" t="s">
        <v>264</v>
      </c>
      <c r="F17" s="30" t="s">
        <v>152</v>
      </c>
      <c r="G17" s="12">
        <v>1</v>
      </c>
      <c r="H17" s="13">
        <v>24</v>
      </c>
      <c r="I17" s="7">
        <v>2100</v>
      </c>
      <c r="J17" s="14">
        <v>3425</v>
      </c>
      <c r="K17" s="15">
        <f>L17</f>
        <v>3425</v>
      </c>
      <c r="L17" s="15">
        <f>555+2870</f>
        <v>3425</v>
      </c>
      <c r="M17" s="15">
        <f t="shared" si="0"/>
        <v>3425</v>
      </c>
      <c r="N17" s="15">
        <v>0</v>
      </c>
      <c r="O17" s="58">
        <f t="shared" si="1"/>
        <v>0</v>
      </c>
      <c r="P17" s="39">
        <f t="shared" si="2"/>
        <v>20</v>
      </c>
      <c r="Q17" s="40">
        <f t="shared" si="3"/>
        <v>4</v>
      </c>
      <c r="R17" s="7"/>
      <c r="S17" s="6"/>
      <c r="T17" s="16"/>
      <c r="U17" s="16"/>
      <c r="V17" s="17"/>
      <c r="W17" s="5">
        <v>4</v>
      </c>
      <c r="X17" s="16"/>
      <c r="Y17" s="16"/>
      <c r="Z17" s="16"/>
      <c r="AA17" s="18"/>
      <c r="AB17" s="8">
        <f t="shared" si="4"/>
        <v>1</v>
      </c>
      <c r="AC17" s="9">
        <f t="shared" si="5"/>
        <v>0.83333333333333337</v>
      </c>
      <c r="AD17" s="10">
        <f t="shared" si="6"/>
        <v>0.83333333333333337</v>
      </c>
      <c r="AE17" s="36">
        <f t="shared" si="8"/>
        <v>0.640625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211</v>
      </c>
      <c r="F18" s="30" t="s">
        <v>139</v>
      </c>
      <c r="G18" s="33">
        <v>1</v>
      </c>
      <c r="H18" s="35">
        <v>24</v>
      </c>
      <c r="I18" s="7">
        <v>20000</v>
      </c>
      <c r="J18" s="14">
        <v>5350</v>
      </c>
      <c r="K18" s="15">
        <f>L18+2915+5415</f>
        <v>13680</v>
      </c>
      <c r="L18" s="15">
        <f>2649+2701</f>
        <v>5350</v>
      </c>
      <c r="M18" s="15">
        <f t="shared" si="0"/>
        <v>5350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8"/>
        <v>0.640625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141</v>
      </c>
      <c r="E19" s="53" t="s">
        <v>158</v>
      </c>
      <c r="F19" s="30" t="s">
        <v>124</v>
      </c>
      <c r="G19" s="33">
        <v>1</v>
      </c>
      <c r="H19" s="35">
        <v>24</v>
      </c>
      <c r="I19" s="7">
        <v>80000</v>
      </c>
      <c r="J19" s="5">
        <v>3291</v>
      </c>
      <c r="K19" s="15">
        <f>L19+1964+2699+1215+3702+2680+927+2666+4081+2052+4322+5042+2742+5050+5068+4805+2245+4856+4964+5099+5040+5062+4583+2066+5108</f>
        <v>91329</v>
      </c>
      <c r="L19" s="15">
        <f>741+2550</f>
        <v>3291</v>
      </c>
      <c r="M19" s="15">
        <f t="shared" si="0"/>
        <v>3291</v>
      </c>
      <c r="N19" s="15">
        <v>0</v>
      </c>
      <c r="O19" s="58">
        <f t="shared" si="1"/>
        <v>0</v>
      </c>
      <c r="P19" s="39">
        <f t="shared" si="2"/>
        <v>16</v>
      </c>
      <c r="Q19" s="40">
        <f t="shared" si="3"/>
        <v>8</v>
      </c>
      <c r="R19" s="7"/>
      <c r="S19" s="6">
        <v>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0.66666666666666663</v>
      </c>
      <c r="AD19" s="10">
        <f>AC19*AB19*(1-O19)</f>
        <v>0.66666666666666663</v>
      </c>
      <c r="AE19" s="36">
        <f t="shared" si="8"/>
        <v>0.640625</v>
      </c>
      <c r="AF19" s="84">
        <f t="shared" si="7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166</v>
      </c>
      <c r="F20" s="30" t="s">
        <v>119</v>
      </c>
      <c r="G20" s="12">
        <v>1</v>
      </c>
      <c r="H20" s="13">
        <v>28</v>
      </c>
      <c r="I20" s="31">
        <v>40000</v>
      </c>
      <c r="J20" s="5">
        <v>2779</v>
      </c>
      <c r="K20" s="15">
        <f>L20+2503+4146+3422+2211+1805+550+1849+2614+2495+1614+1413+464+2031+1384</f>
        <v>31280</v>
      </c>
      <c r="L20" s="15">
        <f>2479+300</f>
        <v>2779</v>
      </c>
      <c r="M20" s="15">
        <f t="shared" si="0"/>
        <v>2779</v>
      </c>
      <c r="N20" s="15">
        <v>0</v>
      </c>
      <c r="O20" s="58">
        <f t="shared" si="1"/>
        <v>0</v>
      </c>
      <c r="P20" s="39">
        <f t="shared" si="2"/>
        <v>14</v>
      </c>
      <c r="Q20" s="40">
        <f t="shared" si="3"/>
        <v>10</v>
      </c>
      <c r="R20" s="7"/>
      <c r="S20" s="6">
        <v>10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0.58333333333333337</v>
      </c>
      <c r="AD20" s="10">
        <f t="shared" ref="AD20" si="10">AC20*AB20*(1-O20)</f>
        <v>0.58333333333333337</v>
      </c>
      <c r="AE20" s="36">
        <f t="shared" si="8"/>
        <v>0.640625</v>
      </c>
      <c r="AF20" s="84">
        <f t="shared" si="7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144</v>
      </c>
      <c r="F21" s="12" t="s">
        <v>114</v>
      </c>
      <c r="G21" s="12">
        <v>4</v>
      </c>
      <c r="H21" s="35">
        <v>20</v>
      </c>
      <c r="I21" s="7">
        <v>500000</v>
      </c>
      <c r="J21" s="14">
        <v>42440</v>
      </c>
      <c r="K21" s="15">
        <f>L21+27600+41540</f>
        <v>111580</v>
      </c>
      <c r="L21" s="15">
        <f>10610*4</f>
        <v>42440</v>
      </c>
      <c r="M21" s="15">
        <f t="shared" si="0"/>
        <v>42440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8"/>
        <v>0.640625</v>
      </c>
      <c r="AF21" s="84">
        <f t="shared" si="7"/>
        <v>16</v>
      </c>
    </row>
    <row r="22" spans="1:32" ht="31.5" customHeight="1" thickBot="1">
      <c r="A22" s="405" t="s">
        <v>34</v>
      </c>
      <c r="B22" s="406"/>
      <c r="C22" s="406"/>
      <c r="D22" s="406"/>
      <c r="E22" s="406"/>
      <c r="F22" s="406"/>
      <c r="G22" s="406"/>
      <c r="H22" s="407"/>
      <c r="I22" s="22">
        <f t="shared" ref="I22:N22" si="11">SUM(I6:I21)</f>
        <v>1375100</v>
      </c>
      <c r="J22" s="19">
        <f t="shared" si="11"/>
        <v>144987</v>
      </c>
      <c r="K22" s="20">
        <f t="shared" si="11"/>
        <v>701017</v>
      </c>
      <c r="L22" s="21">
        <f t="shared" si="11"/>
        <v>139549</v>
      </c>
      <c r="M22" s="20">
        <f t="shared" si="11"/>
        <v>139549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246</v>
      </c>
      <c r="Q22" s="43">
        <f t="shared" si="12"/>
        <v>138</v>
      </c>
      <c r="R22" s="23">
        <f t="shared" si="12"/>
        <v>0</v>
      </c>
      <c r="S22" s="24">
        <f t="shared" si="12"/>
        <v>42</v>
      </c>
      <c r="T22" s="24">
        <f t="shared" si="12"/>
        <v>0</v>
      </c>
      <c r="U22" s="24">
        <f t="shared" si="12"/>
        <v>0</v>
      </c>
      <c r="V22" s="25">
        <f t="shared" si="12"/>
        <v>12</v>
      </c>
      <c r="W22" s="26">
        <f t="shared" si="12"/>
        <v>52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32</v>
      </c>
      <c r="AB22" s="28">
        <f>AVERAGE(AB6:AB21)</f>
        <v>0.8125</v>
      </c>
      <c r="AC22" s="4">
        <f>AVERAGE(AC6:AC21)</f>
        <v>0.640625</v>
      </c>
      <c r="AD22" s="4">
        <f>AVERAGE(AD6:AD21)</f>
        <v>0.640625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08" t="s">
        <v>45</v>
      </c>
      <c r="B49" s="408"/>
      <c r="C49" s="408"/>
      <c r="D49" s="408"/>
      <c r="E49" s="40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09" t="s">
        <v>265</v>
      </c>
      <c r="B50" s="410"/>
      <c r="C50" s="410"/>
      <c r="D50" s="410"/>
      <c r="E50" s="410"/>
      <c r="F50" s="410"/>
      <c r="G50" s="410"/>
      <c r="H50" s="410"/>
      <c r="I50" s="410"/>
      <c r="J50" s="410"/>
      <c r="K50" s="410"/>
      <c r="L50" s="410"/>
      <c r="M50" s="411"/>
      <c r="N50" s="412" t="s">
        <v>269</v>
      </c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3"/>
      <c r="AA50" s="413"/>
      <c r="AB50" s="413"/>
      <c r="AC50" s="413"/>
      <c r="AD50" s="414"/>
    </row>
    <row r="51" spans="1:32" ht="27" customHeight="1">
      <c r="A51" s="415" t="s">
        <v>2</v>
      </c>
      <c r="B51" s="416"/>
      <c r="C51" s="168" t="s">
        <v>46</v>
      </c>
      <c r="D51" s="168" t="s">
        <v>47</v>
      </c>
      <c r="E51" s="168" t="s">
        <v>107</v>
      </c>
      <c r="F51" s="417" t="s">
        <v>106</v>
      </c>
      <c r="G51" s="418"/>
      <c r="H51" s="418"/>
      <c r="I51" s="418"/>
      <c r="J51" s="418"/>
      <c r="K51" s="418"/>
      <c r="L51" s="418"/>
      <c r="M51" s="419"/>
      <c r="N51" s="67" t="s">
        <v>110</v>
      </c>
      <c r="O51" s="168" t="s">
        <v>46</v>
      </c>
      <c r="P51" s="417" t="s">
        <v>47</v>
      </c>
      <c r="Q51" s="420"/>
      <c r="R51" s="417" t="s">
        <v>38</v>
      </c>
      <c r="S51" s="418"/>
      <c r="T51" s="418"/>
      <c r="U51" s="420"/>
      <c r="V51" s="417" t="s">
        <v>48</v>
      </c>
      <c r="W51" s="418"/>
      <c r="X51" s="418"/>
      <c r="Y51" s="418"/>
      <c r="Z51" s="418"/>
      <c r="AA51" s="418"/>
      <c r="AB51" s="418"/>
      <c r="AC51" s="418"/>
      <c r="AD51" s="419"/>
    </row>
    <row r="52" spans="1:32" ht="27" customHeight="1">
      <c r="A52" s="431" t="s">
        <v>120</v>
      </c>
      <c r="B52" s="432"/>
      <c r="C52" s="165" t="s">
        <v>148</v>
      </c>
      <c r="D52" s="165" t="s">
        <v>115</v>
      </c>
      <c r="E52" s="165" t="s">
        <v>166</v>
      </c>
      <c r="F52" s="433" t="s">
        <v>133</v>
      </c>
      <c r="G52" s="434"/>
      <c r="H52" s="434"/>
      <c r="I52" s="434"/>
      <c r="J52" s="434"/>
      <c r="K52" s="434"/>
      <c r="L52" s="434"/>
      <c r="M52" s="435"/>
      <c r="N52" s="170" t="s">
        <v>120</v>
      </c>
      <c r="O52" s="172" t="s">
        <v>142</v>
      </c>
      <c r="P52" s="436" t="s">
        <v>115</v>
      </c>
      <c r="Q52" s="437"/>
      <c r="R52" s="436" t="s">
        <v>251</v>
      </c>
      <c r="S52" s="438"/>
      <c r="T52" s="438"/>
      <c r="U52" s="437"/>
      <c r="V52" s="439" t="s">
        <v>133</v>
      </c>
      <c r="W52" s="439"/>
      <c r="X52" s="439"/>
      <c r="Y52" s="439"/>
      <c r="Z52" s="439"/>
      <c r="AA52" s="439"/>
      <c r="AB52" s="439"/>
      <c r="AC52" s="439"/>
      <c r="AD52" s="440"/>
    </row>
    <row r="53" spans="1:32" ht="27" customHeight="1">
      <c r="A53" s="431" t="s">
        <v>120</v>
      </c>
      <c r="B53" s="432"/>
      <c r="C53" s="171" t="s">
        <v>190</v>
      </c>
      <c r="D53" s="171" t="s">
        <v>191</v>
      </c>
      <c r="E53" s="171" t="s">
        <v>192</v>
      </c>
      <c r="F53" s="433" t="s">
        <v>133</v>
      </c>
      <c r="G53" s="434"/>
      <c r="H53" s="434"/>
      <c r="I53" s="434"/>
      <c r="J53" s="434"/>
      <c r="K53" s="434"/>
      <c r="L53" s="434"/>
      <c r="M53" s="435"/>
      <c r="N53" s="164" t="s">
        <v>120</v>
      </c>
      <c r="O53" s="162" t="s">
        <v>272</v>
      </c>
      <c r="P53" s="436" t="s">
        <v>273</v>
      </c>
      <c r="Q53" s="437"/>
      <c r="R53" s="436" t="s">
        <v>270</v>
      </c>
      <c r="S53" s="438"/>
      <c r="T53" s="438"/>
      <c r="U53" s="437"/>
      <c r="V53" s="439" t="s">
        <v>271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120</v>
      </c>
      <c r="B54" s="432"/>
      <c r="C54" s="165" t="s">
        <v>266</v>
      </c>
      <c r="D54" s="165" t="s">
        <v>115</v>
      </c>
      <c r="E54" s="165" t="s">
        <v>267</v>
      </c>
      <c r="F54" s="433" t="s">
        <v>268</v>
      </c>
      <c r="G54" s="434"/>
      <c r="H54" s="434"/>
      <c r="I54" s="434"/>
      <c r="J54" s="434"/>
      <c r="K54" s="434"/>
      <c r="L54" s="434"/>
      <c r="M54" s="435"/>
      <c r="N54" s="164" t="s">
        <v>120</v>
      </c>
      <c r="O54" s="162" t="s">
        <v>275</v>
      </c>
      <c r="P54" s="436" t="s">
        <v>273</v>
      </c>
      <c r="Q54" s="437"/>
      <c r="R54" s="436" t="s">
        <v>274</v>
      </c>
      <c r="S54" s="438"/>
      <c r="T54" s="438"/>
      <c r="U54" s="437"/>
      <c r="V54" s="439" t="s">
        <v>271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/>
      <c r="B55" s="432"/>
      <c r="C55" s="165"/>
      <c r="D55" s="165"/>
      <c r="E55" s="165"/>
      <c r="F55" s="433"/>
      <c r="G55" s="434"/>
      <c r="H55" s="434"/>
      <c r="I55" s="434"/>
      <c r="J55" s="434"/>
      <c r="K55" s="434"/>
      <c r="L55" s="434"/>
      <c r="M55" s="435"/>
      <c r="N55" s="164"/>
      <c r="O55" s="162"/>
      <c r="P55" s="436"/>
      <c r="Q55" s="437"/>
      <c r="R55" s="436"/>
      <c r="S55" s="438"/>
      <c r="T55" s="438"/>
      <c r="U55" s="437"/>
      <c r="V55" s="439"/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/>
      <c r="B56" s="432"/>
      <c r="C56" s="165"/>
      <c r="D56" s="165"/>
      <c r="E56" s="165"/>
      <c r="F56" s="433"/>
      <c r="G56" s="434"/>
      <c r="H56" s="434"/>
      <c r="I56" s="434"/>
      <c r="J56" s="434"/>
      <c r="K56" s="434"/>
      <c r="L56" s="434"/>
      <c r="M56" s="435"/>
      <c r="N56" s="164"/>
      <c r="O56" s="162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/>
      <c r="B57" s="432"/>
      <c r="C57" s="165"/>
      <c r="D57" s="165"/>
      <c r="E57" s="165"/>
      <c r="F57" s="433"/>
      <c r="G57" s="434"/>
      <c r="H57" s="434"/>
      <c r="I57" s="434"/>
      <c r="J57" s="434"/>
      <c r="K57" s="434"/>
      <c r="L57" s="434"/>
      <c r="M57" s="435"/>
      <c r="N57" s="164"/>
      <c r="O57" s="162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/>
      <c r="B58" s="432"/>
      <c r="C58" s="165"/>
      <c r="D58" s="165"/>
      <c r="E58" s="165"/>
      <c r="F58" s="433"/>
      <c r="G58" s="434"/>
      <c r="H58" s="434"/>
      <c r="I58" s="434"/>
      <c r="J58" s="434"/>
      <c r="K58" s="434"/>
      <c r="L58" s="434"/>
      <c r="M58" s="435"/>
      <c r="N58" s="164"/>
      <c r="O58" s="162"/>
      <c r="P58" s="436"/>
      <c r="Q58" s="437"/>
      <c r="R58" s="432"/>
      <c r="S58" s="432"/>
      <c r="T58" s="432"/>
      <c r="U58" s="432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165"/>
      <c r="D59" s="165"/>
      <c r="E59" s="165"/>
      <c r="F59" s="433"/>
      <c r="G59" s="434"/>
      <c r="H59" s="434"/>
      <c r="I59" s="434"/>
      <c r="J59" s="434"/>
      <c r="K59" s="434"/>
      <c r="L59" s="434"/>
      <c r="M59" s="435"/>
      <c r="N59" s="164"/>
      <c r="O59" s="162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165"/>
      <c r="D60" s="165"/>
      <c r="E60" s="165"/>
      <c r="F60" s="433"/>
      <c r="G60" s="434"/>
      <c r="H60" s="434"/>
      <c r="I60" s="434"/>
      <c r="J60" s="434"/>
      <c r="K60" s="434"/>
      <c r="L60" s="434"/>
      <c r="M60" s="435"/>
      <c r="N60" s="164"/>
      <c r="O60" s="162"/>
      <c r="P60" s="432"/>
      <c r="Q60" s="432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  <c r="AF60" s="84">
        <f>8*3000</f>
        <v>24000</v>
      </c>
    </row>
    <row r="61" spans="1:32" ht="27" customHeight="1" thickBot="1">
      <c r="A61" s="441"/>
      <c r="B61" s="442"/>
      <c r="C61" s="166"/>
      <c r="D61" s="167"/>
      <c r="E61" s="167"/>
      <c r="F61" s="443"/>
      <c r="G61" s="444"/>
      <c r="H61" s="444"/>
      <c r="I61" s="444"/>
      <c r="J61" s="444"/>
      <c r="K61" s="444"/>
      <c r="L61" s="444"/>
      <c r="M61" s="445"/>
      <c r="N61" s="112"/>
      <c r="O61" s="103"/>
      <c r="P61" s="446"/>
      <c r="Q61" s="446"/>
      <c r="R61" s="446"/>
      <c r="S61" s="446"/>
      <c r="T61" s="446"/>
      <c r="U61" s="446"/>
      <c r="V61" s="447"/>
      <c r="W61" s="447"/>
      <c r="X61" s="447"/>
      <c r="Y61" s="447"/>
      <c r="Z61" s="447"/>
      <c r="AA61" s="447"/>
      <c r="AB61" s="447"/>
      <c r="AC61" s="447"/>
      <c r="AD61" s="448"/>
      <c r="AF61" s="84">
        <f>16*3000</f>
        <v>48000</v>
      </c>
    </row>
    <row r="62" spans="1:32" ht="27.75" thickBot="1">
      <c r="A62" s="449" t="s">
        <v>276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0" t="s">
        <v>111</v>
      </c>
      <c r="B63" s="451"/>
      <c r="C63" s="163" t="s">
        <v>2</v>
      </c>
      <c r="D63" s="163" t="s">
        <v>37</v>
      </c>
      <c r="E63" s="163" t="s">
        <v>3</v>
      </c>
      <c r="F63" s="451" t="s">
        <v>109</v>
      </c>
      <c r="G63" s="451"/>
      <c r="H63" s="451"/>
      <c r="I63" s="451"/>
      <c r="J63" s="451"/>
      <c r="K63" s="451" t="s">
        <v>39</v>
      </c>
      <c r="L63" s="451"/>
      <c r="M63" s="163" t="s">
        <v>40</v>
      </c>
      <c r="N63" s="451" t="s">
        <v>41</v>
      </c>
      <c r="O63" s="451"/>
      <c r="P63" s="452" t="s">
        <v>42</v>
      </c>
      <c r="Q63" s="453"/>
      <c r="R63" s="452" t="s">
        <v>43</v>
      </c>
      <c r="S63" s="454"/>
      <c r="T63" s="454"/>
      <c r="U63" s="454"/>
      <c r="V63" s="454"/>
      <c r="W63" s="454"/>
      <c r="X63" s="454"/>
      <c r="Y63" s="454"/>
      <c r="Z63" s="454"/>
      <c r="AA63" s="453"/>
      <c r="AB63" s="451" t="s">
        <v>44</v>
      </c>
      <c r="AC63" s="451"/>
      <c r="AD63" s="455"/>
      <c r="AF63" s="84">
        <f>SUM(AF60:AF62)</f>
        <v>96000</v>
      </c>
    </row>
    <row r="64" spans="1:32" ht="25.5" customHeight="1">
      <c r="A64" s="456">
        <v>1</v>
      </c>
      <c r="B64" s="457"/>
      <c r="C64" s="105"/>
      <c r="D64" s="158"/>
      <c r="E64" s="161"/>
      <c r="F64" s="458"/>
      <c r="G64" s="459"/>
      <c r="H64" s="459"/>
      <c r="I64" s="459"/>
      <c r="J64" s="460"/>
      <c r="K64" s="461"/>
      <c r="L64" s="461"/>
      <c r="M64" s="51"/>
      <c r="N64" s="462"/>
      <c r="O64" s="462"/>
      <c r="P64" s="463"/>
      <c r="Q64" s="463"/>
      <c r="R64" s="439"/>
      <c r="S64" s="439"/>
      <c r="T64" s="439"/>
      <c r="U64" s="439"/>
      <c r="V64" s="439"/>
      <c r="W64" s="439"/>
      <c r="X64" s="439"/>
      <c r="Y64" s="439"/>
      <c r="Z64" s="439"/>
      <c r="AA64" s="439"/>
      <c r="AB64" s="464"/>
      <c r="AC64" s="465"/>
      <c r="AD64" s="466"/>
      <c r="AF64" s="50"/>
    </row>
    <row r="65" spans="1:32" ht="25.5" customHeight="1">
      <c r="A65" s="456">
        <v>2</v>
      </c>
      <c r="B65" s="457"/>
      <c r="C65" s="105"/>
      <c r="D65" s="158"/>
      <c r="E65" s="161"/>
      <c r="F65" s="458"/>
      <c r="G65" s="459"/>
      <c r="H65" s="459"/>
      <c r="I65" s="459"/>
      <c r="J65" s="460"/>
      <c r="K65" s="461"/>
      <c r="L65" s="461"/>
      <c r="M65" s="51"/>
      <c r="N65" s="462"/>
      <c r="O65" s="462"/>
      <c r="P65" s="463"/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1"/>
      <c r="AC65" s="461"/>
      <c r="AD65" s="467"/>
      <c r="AF65" s="50"/>
    </row>
    <row r="66" spans="1:32" ht="25.5" customHeight="1">
      <c r="A66" s="456">
        <v>3</v>
      </c>
      <c r="B66" s="457"/>
      <c r="C66" s="105"/>
      <c r="D66" s="158"/>
      <c r="E66" s="161"/>
      <c r="F66" s="458"/>
      <c r="G66" s="459"/>
      <c r="H66" s="459"/>
      <c r="I66" s="459"/>
      <c r="J66" s="460"/>
      <c r="K66" s="461"/>
      <c r="L66" s="461"/>
      <c r="M66" s="51"/>
      <c r="N66" s="462"/>
      <c r="O66" s="462"/>
      <c r="P66" s="463"/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4</v>
      </c>
      <c r="B67" s="457"/>
      <c r="C67" s="105"/>
      <c r="D67" s="158"/>
      <c r="E67" s="161"/>
      <c r="F67" s="458"/>
      <c r="G67" s="459"/>
      <c r="H67" s="459"/>
      <c r="I67" s="459"/>
      <c r="J67" s="460"/>
      <c r="K67" s="461"/>
      <c r="L67" s="461"/>
      <c r="M67" s="51"/>
      <c r="N67" s="462"/>
      <c r="O67" s="462"/>
      <c r="P67" s="463"/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5</v>
      </c>
      <c r="B68" s="457"/>
      <c r="C68" s="105"/>
      <c r="D68" s="158"/>
      <c r="E68" s="161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6</v>
      </c>
      <c r="B69" s="457"/>
      <c r="C69" s="105"/>
      <c r="D69" s="158"/>
      <c r="E69" s="161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7</v>
      </c>
      <c r="B70" s="457"/>
      <c r="C70" s="105"/>
      <c r="D70" s="158"/>
      <c r="E70" s="161"/>
      <c r="F70" s="468"/>
      <c r="G70" s="461"/>
      <c r="H70" s="461"/>
      <c r="I70" s="461"/>
      <c r="J70" s="461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8</v>
      </c>
      <c r="B71" s="457"/>
      <c r="C71" s="105"/>
      <c r="D71" s="158"/>
      <c r="E71" s="161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9</v>
      </c>
      <c r="B72" s="457"/>
      <c r="C72" s="105"/>
      <c r="D72" s="158"/>
      <c r="E72" s="161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10</v>
      </c>
      <c r="B73" s="457"/>
      <c r="C73" s="105"/>
      <c r="D73" s="158"/>
      <c r="E73" s="161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6.25" customHeight="1" thickBot="1">
      <c r="A74" s="469" t="s">
        <v>277</v>
      </c>
      <c r="B74" s="469"/>
      <c r="C74" s="469"/>
      <c r="D74" s="469"/>
      <c r="E74" s="46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0" t="s">
        <v>111</v>
      </c>
      <c r="B75" s="471"/>
      <c r="C75" s="160" t="s">
        <v>2</v>
      </c>
      <c r="D75" s="160" t="s">
        <v>37</v>
      </c>
      <c r="E75" s="160" t="s">
        <v>3</v>
      </c>
      <c r="F75" s="471" t="s">
        <v>38</v>
      </c>
      <c r="G75" s="471"/>
      <c r="H75" s="471"/>
      <c r="I75" s="471"/>
      <c r="J75" s="471"/>
      <c r="K75" s="472" t="s">
        <v>58</v>
      </c>
      <c r="L75" s="473"/>
      <c r="M75" s="473"/>
      <c r="N75" s="473"/>
      <c r="O75" s="473"/>
      <c r="P75" s="473"/>
      <c r="Q75" s="473"/>
      <c r="R75" s="473"/>
      <c r="S75" s="474"/>
      <c r="T75" s="471" t="s">
        <v>49</v>
      </c>
      <c r="U75" s="471"/>
      <c r="V75" s="472" t="s">
        <v>50</v>
      </c>
      <c r="W75" s="474"/>
      <c r="X75" s="473" t="s">
        <v>51</v>
      </c>
      <c r="Y75" s="473"/>
      <c r="Z75" s="473"/>
      <c r="AA75" s="473"/>
      <c r="AB75" s="473"/>
      <c r="AC75" s="473"/>
      <c r="AD75" s="475"/>
      <c r="AF75" s="50"/>
    </row>
    <row r="76" spans="1:32" ht="33.75" customHeight="1">
      <c r="A76" s="484">
        <v>1</v>
      </c>
      <c r="B76" s="485"/>
      <c r="C76" s="159" t="s">
        <v>112</v>
      </c>
      <c r="D76" s="159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76">
        <f>A76+1</f>
        <v>2</v>
      </c>
      <c r="B77" s="477"/>
      <c r="C77" s="158"/>
      <c r="D77" s="158"/>
      <c r="E77" s="32"/>
      <c r="F77" s="477"/>
      <c r="G77" s="477"/>
      <c r="H77" s="477"/>
      <c r="I77" s="477"/>
      <c r="J77" s="477"/>
      <c r="K77" s="478"/>
      <c r="L77" s="479"/>
      <c r="M77" s="479"/>
      <c r="N77" s="479"/>
      <c r="O77" s="479"/>
      <c r="P77" s="479"/>
      <c r="Q77" s="479"/>
      <c r="R77" s="479"/>
      <c r="S77" s="480"/>
      <c r="T77" s="481"/>
      <c r="U77" s="481"/>
      <c r="V77" s="481"/>
      <c r="W77" s="481"/>
      <c r="X77" s="482"/>
      <c r="Y77" s="482"/>
      <c r="Z77" s="482"/>
      <c r="AA77" s="482"/>
      <c r="AB77" s="482"/>
      <c r="AC77" s="482"/>
      <c r="AD77" s="483"/>
      <c r="AF77" s="50"/>
    </row>
    <row r="78" spans="1:32" ht="30" customHeight="1">
      <c r="A78" s="476">
        <f t="shared" ref="A78:A82" si="13">A77+1</f>
        <v>3</v>
      </c>
      <c r="B78" s="477"/>
      <c r="C78" s="158"/>
      <c r="D78" s="158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si="13"/>
        <v>4</v>
      </c>
      <c r="B79" s="477"/>
      <c r="C79" s="158"/>
      <c r="D79" s="158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13"/>
        <v>5</v>
      </c>
      <c r="B80" s="477"/>
      <c r="C80" s="158"/>
      <c r="D80" s="158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13"/>
        <v>6</v>
      </c>
      <c r="B81" s="477"/>
      <c r="C81" s="158"/>
      <c r="D81" s="158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13"/>
        <v>7</v>
      </c>
      <c r="B82" s="477"/>
      <c r="C82" s="158"/>
      <c r="D82" s="158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6" thickBot="1">
      <c r="A83" s="469" t="s">
        <v>278</v>
      </c>
      <c r="B83" s="469"/>
      <c r="C83" s="469"/>
      <c r="D83" s="469"/>
      <c r="E83" s="46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0" t="s">
        <v>111</v>
      </c>
      <c r="B84" s="471"/>
      <c r="C84" s="497" t="s">
        <v>52</v>
      </c>
      <c r="D84" s="497"/>
      <c r="E84" s="497" t="s">
        <v>53</v>
      </c>
      <c r="F84" s="497"/>
      <c r="G84" s="497"/>
      <c r="H84" s="497"/>
      <c r="I84" s="497"/>
      <c r="J84" s="497"/>
      <c r="K84" s="497" t="s">
        <v>54</v>
      </c>
      <c r="L84" s="497"/>
      <c r="M84" s="497"/>
      <c r="N84" s="497"/>
      <c r="O84" s="497"/>
      <c r="P84" s="497"/>
      <c r="Q84" s="497"/>
      <c r="R84" s="497"/>
      <c r="S84" s="497"/>
      <c r="T84" s="497" t="s">
        <v>55</v>
      </c>
      <c r="U84" s="497"/>
      <c r="V84" s="497" t="s">
        <v>56</v>
      </c>
      <c r="W84" s="497"/>
      <c r="X84" s="497"/>
      <c r="Y84" s="497" t="s">
        <v>51</v>
      </c>
      <c r="Z84" s="497"/>
      <c r="AA84" s="497"/>
      <c r="AB84" s="497"/>
      <c r="AC84" s="497"/>
      <c r="AD84" s="498"/>
      <c r="AF84" s="50"/>
    </row>
    <row r="85" spans="1:32" ht="30.75" customHeight="1">
      <c r="A85" s="484">
        <v>1</v>
      </c>
      <c r="B85" s="485"/>
      <c r="C85" s="499"/>
      <c r="D85" s="499"/>
      <c r="E85" s="499"/>
      <c r="F85" s="499"/>
      <c r="G85" s="499"/>
      <c r="H85" s="499"/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500"/>
      <c r="W85" s="500"/>
      <c r="X85" s="500"/>
      <c r="Y85" s="501"/>
      <c r="Z85" s="501"/>
      <c r="AA85" s="501"/>
      <c r="AB85" s="501"/>
      <c r="AC85" s="501"/>
      <c r="AD85" s="502"/>
      <c r="AF85" s="50"/>
    </row>
    <row r="86" spans="1:32" ht="30.75" customHeight="1">
      <c r="A86" s="476">
        <v>2</v>
      </c>
      <c r="B86" s="477"/>
      <c r="C86" s="510"/>
      <c r="D86" s="510"/>
      <c r="E86" s="510"/>
      <c r="F86" s="510"/>
      <c r="G86" s="510"/>
      <c r="H86" s="510"/>
      <c r="I86" s="510"/>
      <c r="J86" s="510"/>
      <c r="K86" s="510"/>
      <c r="L86" s="510"/>
      <c r="M86" s="510"/>
      <c r="N86" s="510"/>
      <c r="O86" s="510"/>
      <c r="P86" s="510"/>
      <c r="Q86" s="510"/>
      <c r="R86" s="510"/>
      <c r="S86" s="510"/>
      <c r="T86" s="511"/>
      <c r="U86" s="511"/>
      <c r="V86" s="512"/>
      <c r="W86" s="512"/>
      <c r="X86" s="512"/>
      <c r="Y86" s="503"/>
      <c r="Z86" s="503"/>
      <c r="AA86" s="503"/>
      <c r="AB86" s="503"/>
      <c r="AC86" s="503"/>
      <c r="AD86" s="504"/>
      <c r="AF86" s="50"/>
    </row>
    <row r="87" spans="1:32" ht="30.75" customHeight="1" thickBot="1">
      <c r="A87" s="505">
        <v>3</v>
      </c>
      <c r="B87" s="506"/>
      <c r="C87" s="507"/>
      <c r="D87" s="507"/>
      <c r="E87" s="507"/>
      <c r="F87" s="507"/>
      <c r="G87" s="507"/>
      <c r="H87" s="507"/>
      <c r="I87" s="507"/>
      <c r="J87" s="507"/>
      <c r="K87" s="507"/>
      <c r="L87" s="507"/>
      <c r="M87" s="507"/>
      <c r="N87" s="507"/>
      <c r="O87" s="507"/>
      <c r="P87" s="507"/>
      <c r="Q87" s="507"/>
      <c r="R87" s="507"/>
      <c r="S87" s="507"/>
      <c r="T87" s="507"/>
      <c r="U87" s="507"/>
      <c r="V87" s="507"/>
      <c r="W87" s="507"/>
      <c r="X87" s="507"/>
      <c r="Y87" s="508"/>
      <c r="Z87" s="508"/>
      <c r="AA87" s="508"/>
      <c r="AB87" s="508"/>
      <c r="AC87" s="508"/>
      <c r="AD87" s="509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02E6-F980-454C-B9D2-E9C885EBF0B3}">
  <sheetPr codeName="Sheet7"/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279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184" t="s">
        <v>17</v>
      </c>
      <c r="L5" s="184" t="s">
        <v>18</v>
      </c>
      <c r="M5" s="184" t="s">
        <v>19</v>
      </c>
      <c r="N5" s="18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244</v>
      </c>
      <c r="E6" s="53" t="s">
        <v>245</v>
      </c>
      <c r="F6" s="30" t="s">
        <v>131</v>
      </c>
      <c r="G6" s="12">
        <v>1</v>
      </c>
      <c r="H6" s="13">
        <v>24</v>
      </c>
      <c r="I6" s="31">
        <v>6000</v>
      </c>
      <c r="J6" s="5">
        <v>5492</v>
      </c>
      <c r="K6" s="15">
        <f>L6+5034+5492</f>
        <v>10526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>$AD$22</f>
        <v>0.5</v>
      </c>
      <c r="AF6" s="84">
        <f t="shared" ref="AF6:AF22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274</v>
      </c>
      <c r="F7" s="12" t="s">
        <v>131</v>
      </c>
      <c r="G7" s="12">
        <v>1</v>
      </c>
      <c r="H7" s="13">
        <v>24</v>
      </c>
      <c r="I7" s="31">
        <v>1000</v>
      </c>
      <c r="J7" s="14">
        <v>4354</v>
      </c>
      <c r="K7" s="15">
        <f>L7</f>
        <v>4354</v>
      </c>
      <c r="L7" s="15">
        <f>1338+3016</f>
        <v>4354</v>
      </c>
      <c r="M7" s="15">
        <f t="shared" si="0"/>
        <v>4354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/>
      <c r="T7" s="16">
        <v>3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ref="AE7:AE22" si="8">$AD$23</f>
        <v>0.59313725490196068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228</v>
      </c>
      <c r="E8" s="53" t="s">
        <v>246</v>
      </c>
      <c r="F8" s="30" t="s">
        <v>124</v>
      </c>
      <c r="G8" s="33">
        <v>1</v>
      </c>
      <c r="H8" s="35">
        <v>24</v>
      </c>
      <c r="I8" s="7">
        <v>17000</v>
      </c>
      <c r="J8" s="14">
        <v>5388</v>
      </c>
      <c r="K8" s="15">
        <f>L8+5318+5828</f>
        <v>16534</v>
      </c>
      <c r="L8" s="15">
        <f>2455+2933</f>
        <v>5388</v>
      </c>
      <c r="M8" s="15">
        <f t="shared" si="0"/>
        <v>5388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8"/>
        <v>0.59313725490196068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191</v>
      </c>
      <c r="E9" s="53" t="s">
        <v>192</v>
      </c>
      <c r="F9" s="30" t="s">
        <v>195</v>
      </c>
      <c r="G9" s="33">
        <v>1</v>
      </c>
      <c r="H9" s="35">
        <v>24</v>
      </c>
      <c r="I9" s="7">
        <v>24000</v>
      </c>
      <c r="J9" s="14">
        <v>2209</v>
      </c>
      <c r="K9" s="15">
        <f>L9+4275+4281+3934+3095</f>
        <v>17794</v>
      </c>
      <c r="L9" s="15">
        <f>360+1849</f>
        <v>2209</v>
      </c>
      <c r="M9" s="15">
        <f t="shared" si="0"/>
        <v>2209</v>
      </c>
      <c r="N9" s="15">
        <v>0</v>
      </c>
      <c r="O9" s="58">
        <f t="shared" si="1"/>
        <v>0</v>
      </c>
      <c r="P9" s="39">
        <f t="shared" si="2"/>
        <v>11</v>
      </c>
      <c r="Q9" s="40">
        <f t="shared" si="3"/>
        <v>13</v>
      </c>
      <c r="R9" s="7"/>
      <c r="S9" s="6">
        <v>13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0.45833333333333331</v>
      </c>
      <c r="AD9" s="10">
        <f t="shared" si="6"/>
        <v>0.45833333333333331</v>
      </c>
      <c r="AE9" s="36">
        <f t="shared" si="8"/>
        <v>0.59313725490196068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144</v>
      </c>
      <c r="F10" s="30" t="s">
        <v>173</v>
      </c>
      <c r="G10" s="33">
        <v>4</v>
      </c>
      <c r="H10" s="35">
        <v>24</v>
      </c>
      <c r="I10" s="7">
        <v>250000</v>
      </c>
      <c r="J10" s="5">
        <v>41236</v>
      </c>
      <c r="K10" s="15">
        <f>L10+25160+41576+41808+39572+33444+41972+41496</f>
        <v>306264</v>
      </c>
      <c r="L10" s="15">
        <f>5138*4+5171*4</f>
        <v>41236</v>
      </c>
      <c r="M10" s="15">
        <f t="shared" si="0"/>
        <v>41236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8"/>
        <v>0.59313725490196068</v>
      </c>
      <c r="AF10" s="84">
        <f t="shared" si="7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115</v>
      </c>
      <c r="E11" s="53" t="s">
        <v>251</v>
      </c>
      <c r="F11" s="30" t="s">
        <v>263</v>
      </c>
      <c r="G11" s="12">
        <v>1</v>
      </c>
      <c r="H11" s="13">
        <v>28</v>
      </c>
      <c r="I11" s="7">
        <v>10000</v>
      </c>
      <c r="J11" s="14">
        <v>2363</v>
      </c>
      <c r="K11" s="15">
        <f>L11+2363</f>
        <v>2363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ref="AD11:AD15" si="9">AC11*AB11*(1-O11)</f>
        <v>0</v>
      </c>
      <c r="AE11" s="36">
        <f t="shared" si="8"/>
        <v>0.59313725490196068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164</v>
      </c>
      <c r="E12" s="53" t="s">
        <v>165</v>
      </c>
      <c r="F12" s="30" t="s">
        <v>119</v>
      </c>
      <c r="G12" s="33">
        <v>1</v>
      </c>
      <c r="H12" s="35">
        <v>24</v>
      </c>
      <c r="I12" s="7">
        <v>69000</v>
      </c>
      <c r="J12" s="14">
        <v>5312</v>
      </c>
      <c r="K12" s="15">
        <f>L12+2872+5295+4231+5295+5295+5281+840+3474+4762+3115+2852+3656+4456+3648+5388</f>
        <v>65772</v>
      </c>
      <c r="L12" s="15">
        <f>2628+2684</f>
        <v>5312</v>
      </c>
      <c r="M12" s="15">
        <f t="shared" si="0"/>
        <v>5312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8"/>
        <v>0.59313725490196068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115</v>
      </c>
      <c r="E13" s="53" t="s">
        <v>280</v>
      </c>
      <c r="F13" s="30" t="s">
        <v>195</v>
      </c>
      <c r="G13" s="33">
        <v>1</v>
      </c>
      <c r="H13" s="35">
        <v>24</v>
      </c>
      <c r="I13" s="7">
        <v>300</v>
      </c>
      <c r="J13" s="5">
        <v>450</v>
      </c>
      <c r="K13" s="15">
        <f>L13</f>
        <v>450</v>
      </c>
      <c r="L13" s="15">
        <v>450</v>
      </c>
      <c r="M13" s="15">
        <f t="shared" ref="M13" si="10">L13-N13</f>
        <v>450</v>
      </c>
      <c r="N13" s="15">
        <v>0</v>
      </c>
      <c r="O13" s="58">
        <f t="shared" ref="O13" si="11">IF(L13=0,"0",N13/L13)</f>
        <v>0</v>
      </c>
      <c r="P13" s="39">
        <f t="shared" ref="P13" si="12">IF(L13=0,"0",(24-Q13))</f>
        <v>6</v>
      </c>
      <c r="Q13" s="40">
        <f t="shared" ref="Q13" si="13">SUM(R13:AA13)</f>
        <v>18</v>
      </c>
      <c r="R13" s="7"/>
      <c r="S13" s="6"/>
      <c r="T13" s="16"/>
      <c r="U13" s="16"/>
      <c r="V13" s="17"/>
      <c r="W13" s="5">
        <v>18</v>
      </c>
      <c r="X13" s="16"/>
      <c r="Y13" s="16"/>
      <c r="Z13" s="16"/>
      <c r="AA13" s="18"/>
      <c r="AB13" s="8">
        <f t="shared" ref="AB13" si="14">IF(J13=0,"0",(L13/J13))</f>
        <v>1</v>
      </c>
      <c r="AC13" s="9">
        <f t="shared" ref="AC13" si="15">IF(P13=0,"0",(P13/24))</f>
        <v>0.25</v>
      </c>
      <c r="AD13" s="10">
        <f>AC13*AB13*(1-O13)</f>
        <v>0.25</v>
      </c>
      <c r="AE13" s="36">
        <f t="shared" si="8"/>
        <v>0.59313725490196068</v>
      </c>
      <c r="AF13" s="84">
        <f t="shared" ref="AF13" si="16">A13</f>
        <v>8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143</v>
      </c>
      <c r="F14" s="30" t="s">
        <v>125</v>
      </c>
      <c r="G14" s="33">
        <v>2</v>
      </c>
      <c r="H14" s="35">
        <v>24</v>
      </c>
      <c r="I14" s="7">
        <v>50000</v>
      </c>
      <c r="J14" s="5">
        <v>7554</v>
      </c>
      <c r="K14" s="15">
        <f>L14+5328+12076+9770+11344+9078</f>
        <v>55150</v>
      </c>
      <c r="L14" s="15">
        <f>2518*3</f>
        <v>7554</v>
      </c>
      <c r="M14" s="15">
        <f t="shared" si="0"/>
        <v>7554</v>
      </c>
      <c r="N14" s="15">
        <v>0</v>
      </c>
      <c r="O14" s="58">
        <f t="shared" si="1"/>
        <v>0</v>
      </c>
      <c r="P14" s="39">
        <f t="shared" si="2"/>
        <v>12</v>
      </c>
      <c r="Q14" s="40">
        <f t="shared" si="3"/>
        <v>12</v>
      </c>
      <c r="R14" s="7"/>
      <c r="S14" s="6">
        <v>12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</v>
      </c>
      <c r="AD14" s="10">
        <f>AC14*AB14*(1-O14)</f>
        <v>0.5</v>
      </c>
      <c r="AE14" s="36">
        <f t="shared" si="8"/>
        <v>0.59313725490196068</v>
      </c>
      <c r="AF14" s="84">
        <f t="shared" si="7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174</v>
      </c>
      <c r="F15" s="30" t="s">
        <v>177</v>
      </c>
      <c r="G15" s="33">
        <v>1</v>
      </c>
      <c r="H15" s="35">
        <v>24</v>
      </c>
      <c r="I15" s="7">
        <v>300</v>
      </c>
      <c r="J15" s="5">
        <v>376</v>
      </c>
      <c r="K15" s="15">
        <f>L15+376</f>
        <v>376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8"/>
        <v>0.59313725490196068</v>
      </c>
      <c r="AF15" s="84">
        <f t="shared" si="7"/>
        <v>9</v>
      </c>
    </row>
    <row r="16" spans="1:32" ht="27" customHeight="1">
      <c r="A16" s="95">
        <v>10</v>
      </c>
      <c r="B16" s="11" t="s">
        <v>57</v>
      </c>
      <c r="C16" s="34" t="s">
        <v>120</v>
      </c>
      <c r="D16" s="52" t="s">
        <v>135</v>
      </c>
      <c r="E16" s="53" t="s">
        <v>253</v>
      </c>
      <c r="F16" s="12" t="s">
        <v>131</v>
      </c>
      <c r="G16" s="12">
        <v>1</v>
      </c>
      <c r="H16" s="13">
        <v>24</v>
      </c>
      <c r="I16" s="31">
        <v>550</v>
      </c>
      <c r="J16" s="14">
        <v>726</v>
      </c>
      <c r="K16" s="15">
        <f>L16</f>
        <v>726</v>
      </c>
      <c r="L16" s="15">
        <f>726</f>
        <v>726</v>
      </c>
      <c r="M16" s="15">
        <f t="shared" si="0"/>
        <v>726</v>
      </c>
      <c r="N16" s="15">
        <v>0</v>
      </c>
      <c r="O16" s="58">
        <f t="shared" si="1"/>
        <v>0</v>
      </c>
      <c r="P16" s="39">
        <f t="shared" si="2"/>
        <v>5</v>
      </c>
      <c r="Q16" s="40">
        <f t="shared" si="3"/>
        <v>19</v>
      </c>
      <c r="R16" s="7"/>
      <c r="S16" s="6"/>
      <c r="T16" s="16"/>
      <c r="U16" s="16"/>
      <c r="V16" s="17"/>
      <c r="W16" s="5">
        <v>19</v>
      </c>
      <c r="X16" s="16"/>
      <c r="Y16" s="16"/>
      <c r="Z16" s="16"/>
      <c r="AA16" s="18"/>
      <c r="AB16" s="8">
        <f t="shared" si="4"/>
        <v>1</v>
      </c>
      <c r="AC16" s="9">
        <f t="shared" si="5"/>
        <v>0.20833333333333334</v>
      </c>
      <c r="AD16" s="10">
        <f t="shared" si="6"/>
        <v>0.20833333333333334</v>
      </c>
      <c r="AE16" s="36">
        <f t="shared" si="8"/>
        <v>0.59313725490196068</v>
      </c>
      <c r="AF16" s="84">
        <f t="shared" si="7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207</v>
      </c>
      <c r="E17" s="53" t="s">
        <v>204</v>
      </c>
      <c r="F17" s="30" t="s">
        <v>138</v>
      </c>
      <c r="G17" s="12">
        <v>2</v>
      </c>
      <c r="H17" s="13">
        <v>24</v>
      </c>
      <c r="I17" s="7">
        <v>300000</v>
      </c>
      <c r="J17" s="14">
        <v>11762</v>
      </c>
      <c r="K17" s="15">
        <f>L17+6564+12528+9524</f>
        <v>40378</v>
      </c>
      <c r="L17" s="15">
        <f>3275*2+2606*2</f>
        <v>11762</v>
      </c>
      <c r="M17" s="15">
        <f t="shared" si="0"/>
        <v>11762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8"/>
        <v>0.59313725490196068</v>
      </c>
      <c r="AF17" s="84">
        <f t="shared" si="7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 t="s">
        <v>207</v>
      </c>
      <c r="E18" s="53" t="s">
        <v>232</v>
      </c>
      <c r="F18" s="30" t="s">
        <v>281</v>
      </c>
      <c r="G18" s="12">
        <v>2</v>
      </c>
      <c r="H18" s="13">
        <v>24</v>
      </c>
      <c r="I18" s="7">
        <v>15000</v>
      </c>
      <c r="J18" s="14">
        <v>8006</v>
      </c>
      <c r="K18" s="15">
        <f>L18</f>
        <v>8006</v>
      </c>
      <c r="L18" s="15">
        <f>595*2+3408*2</f>
        <v>8006</v>
      </c>
      <c r="M18" s="15">
        <f t="shared" si="0"/>
        <v>8006</v>
      </c>
      <c r="N18" s="15">
        <v>0</v>
      </c>
      <c r="O18" s="58">
        <f t="shared" si="1"/>
        <v>0</v>
      </c>
      <c r="P18" s="39">
        <f t="shared" si="2"/>
        <v>17</v>
      </c>
      <c r="Q18" s="40">
        <f t="shared" si="3"/>
        <v>7</v>
      </c>
      <c r="R18" s="7"/>
      <c r="S18" s="6">
        <v>7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0.70833333333333337</v>
      </c>
      <c r="AD18" s="10">
        <f t="shared" si="6"/>
        <v>0.70833333333333337</v>
      </c>
      <c r="AE18" s="36">
        <f t="shared" si="8"/>
        <v>0.59313725490196068</v>
      </c>
      <c r="AF18" s="84">
        <f t="shared" si="7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211</v>
      </c>
      <c r="F19" s="30" t="s">
        <v>139</v>
      </c>
      <c r="G19" s="33">
        <v>1</v>
      </c>
      <c r="H19" s="35">
        <v>24</v>
      </c>
      <c r="I19" s="7">
        <v>20000</v>
      </c>
      <c r="J19" s="14">
        <v>5233</v>
      </c>
      <c r="K19" s="15">
        <f>L19+2915+5415+5350</f>
        <v>18913</v>
      </c>
      <c r="L19" s="15">
        <f>2674+2559</f>
        <v>5233</v>
      </c>
      <c r="M19" s="15">
        <f t="shared" si="0"/>
        <v>5233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8"/>
        <v>0.59313725490196068</v>
      </c>
      <c r="AF19" s="84">
        <f t="shared" si="7"/>
        <v>13</v>
      </c>
    </row>
    <row r="20" spans="1:32" ht="27" customHeight="1">
      <c r="A20" s="96">
        <v>14</v>
      </c>
      <c r="B20" s="11" t="s">
        <v>57</v>
      </c>
      <c r="C20" s="34" t="s">
        <v>121</v>
      </c>
      <c r="D20" s="52" t="s">
        <v>282</v>
      </c>
      <c r="E20" s="53" t="s">
        <v>283</v>
      </c>
      <c r="F20" s="30" t="s">
        <v>139</v>
      </c>
      <c r="G20" s="33">
        <v>1</v>
      </c>
      <c r="H20" s="35">
        <v>24</v>
      </c>
      <c r="I20" s="7">
        <v>4000</v>
      </c>
      <c r="J20" s="5">
        <v>4204</v>
      </c>
      <c r="K20" s="15">
        <f>L20</f>
        <v>4204</v>
      </c>
      <c r="L20" s="15">
        <f>1619+2585</f>
        <v>4204</v>
      </c>
      <c r="M20" s="15">
        <f t="shared" si="0"/>
        <v>4204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/>
      <c r="T20" s="16">
        <v>2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>AC20*AB20*(1-O20)</f>
        <v>0.91666666666666663</v>
      </c>
      <c r="AE20" s="36">
        <f t="shared" si="8"/>
        <v>0.59313725490196068</v>
      </c>
      <c r="AF20" s="84">
        <f t="shared" si="7"/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115</v>
      </c>
      <c r="E21" s="53" t="s">
        <v>166</v>
      </c>
      <c r="F21" s="30" t="s">
        <v>119</v>
      </c>
      <c r="G21" s="12">
        <v>1</v>
      </c>
      <c r="H21" s="13">
        <v>28</v>
      </c>
      <c r="I21" s="31">
        <v>40000</v>
      </c>
      <c r="J21" s="5">
        <v>3110</v>
      </c>
      <c r="K21" s="15">
        <f>L21+2503+4146+3422+2211+1805+550+1849+2614+2495+1614+1413+464+2031+1384+2779</f>
        <v>34390</v>
      </c>
      <c r="L21" s="15">
        <f>450+2660</f>
        <v>3110</v>
      </c>
      <c r="M21" s="15">
        <f t="shared" si="0"/>
        <v>3110</v>
      </c>
      <c r="N21" s="15">
        <v>0</v>
      </c>
      <c r="O21" s="58">
        <f t="shared" si="1"/>
        <v>0</v>
      </c>
      <c r="P21" s="39">
        <f t="shared" si="2"/>
        <v>16</v>
      </c>
      <c r="Q21" s="40">
        <f t="shared" si="3"/>
        <v>8</v>
      </c>
      <c r="R21" s="7"/>
      <c r="S21" s="6">
        <v>8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0.66666666666666663</v>
      </c>
      <c r="AD21" s="10">
        <f t="shared" ref="AD21" si="17">AC21*AB21*(1-O21)</f>
        <v>0.66666666666666663</v>
      </c>
      <c r="AE21" s="36">
        <f t="shared" si="8"/>
        <v>0.59313725490196068</v>
      </c>
      <c r="AF21" s="84">
        <f t="shared" si="7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144</v>
      </c>
      <c r="F22" s="12" t="s">
        <v>114</v>
      </c>
      <c r="G22" s="12">
        <v>4</v>
      </c>
      <c r="H22" s="35">
        <v>20</v>
      </c>
      <c r="I22" s="7">
        <v>500000</v>
      </c>
      <c r="J22" s="14">
        <v>43780</v>
      </c>
      <c r="K22" s="15">
        <f>L22+27600+41540+42440</f>
        <v>155360</v>
      </c>
      <c r="L22" s="15">
        <f>10945*4</f>
        <v>43780</v>
      </c>
      <c r="M22" s="15">
        <f t="shared" si="0"/>
        <v>43780</v>
      </c>
      <c r="N22" s="15">
        <v>0</v>
      </c>
      <c r="O22" s="58">
        <f t="shared" si="1"/>
        <v>0</v>
      </c>
      <c r="P22" s="39">
        <f t="shared" si="2"/>
        <v>12</v>
      </c>
      <c r="Q22" s="40">
        <f t="shared" si="3"/>
        <v>12</v>
      </c>
      <c r="R22" s="7"/>
      <c r="S22" s="6"/>
      <c r="T22" s="16"/>
      <c r="U22" s="16"/>
      <c r="V22" s="17">
        <v>12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</v>
      </c>
      <c r="AD22" s="10">
        <f t="shared" si="6"/>
        <v>0.5</v>
      </c>
      <c r="AE22" s="36">
        <f t="shared" si="8"/>
        <v>0.59313725490196068</v>
      </c>
      <c r="AF22" s="84">
        <f t="shared" si="7"/>
        <v>16</v>
      </c>
    </row>
    <row r="23" spans="1:32" ht="31.5" customHeight="1" thickBot="1">
      <c r="A23" s="405" t="s">
        <v>34</v>
      </c>
      <c r="B23" s="406"/>
      <c r="C23" s="406"/>
      <c r="D23" s="406"/>
      <c r="E23" s="406"/>
      <c r="F23" s="406"/>
      <c r="G23" s="406"/>
      <c r="H23" s="407"/>
      <c r="I23" s="22">
        <f t="shared" ref="I23:N23" si="18">SUM(I6:I22)</f>
        <v>1307150</v>
      </c>
      <c r="J23" s="19">
        <f t="shared" si="18"/>
        <v>151555</v>
      </c>
      <c r="K23" s="20">
        <f t="shared" si="18"/>
        <v>741560</v>
      </c>
      <c r="L23" s="21">
        <f t="shared" si="18"/>
        <v>143324</v>
      </c>
      <c r="M23" s="20">
        <f t="shared" si="18"/>
        <v>143324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242</v>
      </c>
      <c r="Q23" s="43">
        <f t="shared" si="19"/>
        <v>166</v>
      </c>
      <c r="R23" s="23">
        <f t="shared" si="19"/>
        <v>0</v>
      </c>
      <c r="S23" s="24">
        <f t="shared" si="19"/>
        <v>64</v>
      </c>
      <c r="T23" s="24">
        <f t="shared" si="19"/>
        <v>5</v>
      </c>
      <c r="U23" s="24">
        <f t="shared" si="19"/>
        <v>0</v>
      </c>
      <c r="V23" s="25">
        <f t="shared" si="19"/>
        <v>12</v>
      </c>
      <c r="W23" s="26">
        <f t="shared" si="19"/>
        <v>85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0</v>
      </c>
      <c r="AB23" s="28">
        <f>AVERAGE(AB6:AB22)</f>
        <v>0.82352941176470584</v>
      </c>
      <c r="AC23" s="4">
        <f>AVERAGE(AC6:AC22)</f>
        <v>0.59313725490196068</v>
      </c>
      <c r="AD23" s="4">
        <f>AVERAGE(AD6:AD22)</f>
        <v>0.59313725490196068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08" t="s">
        <v>45</v>
      </c>
      <c r="B50" s="408"/>
      <c r="C50" s="408"/>
      <c r="D50" s="408"/>
      <c r="E50" s="40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09" t="s">
        <v>284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1"/>
      <c r="N51" s="412" t="s">
        <v>292</v>
      </c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4"/>
    </row>
    <row r="52" spans="1:32" ht="27" customHeight="1">
      <c r="A52" s="415" t="s">
        <v>2</v>
      </c>
      <c r="B52" s="416"/>
      <c r="C52" s="183" t="s">
        <v>46</v>
      </c>
      <c r="D52" s="183" t="s">
        <v>47</v>
      </c>
      <c r="E52" s="183" t="s">
        <v>107</v>
      </c>
      <c r="F52" s="417" t="s">
        <v>106</v>
      </c>
      <c r="G52" s="418"/>
      <c r="H52" s="418"/>
      <c r="I52" s="418"/>
      <c r="J52" s="418"/>
      <c r="K52" s="418"/>
      <c r="L52" s="418"/>
      <c r="M52" s="419"/>
      <c r="N52" s="67" t="s">
        <v>110</v>
      </c>
      <c r="O52" s="183" t="s">
        <v>46</v>
      </c>
      <c r="P52" s="417" t="s">
        <v>47</v>
      </c>
      <c r="Q52" s="420"/>
      <c r="R52" s="417" t="s">
        <v>38</v>
      </c>
      <c r="S52" s="418"/>
      <c r="T52" s="418"/>
      <c r="U52" s="420"/>
      <c r="V52" s="417" t="s">
        <v>48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31" t="s">
        <v>120</v>
      </c>
      <c r="B53" s="432"/>
      <c r="C53" s="180" t="s">
        <v>148</v>
      </c>
      <c r="D53" s="180" t="s">
        <v>115</v>
      </c>
      <c r="E53" s="180" t="s">
        <v>166</v>
      </c>
      <c r="F53" s="433" t="s">
        <v>285</v>
      </c>
      <c r="G53" s="434"/>
      <c r="H53" s="434"/>
      <c r="I53" s="434"/>
      <c r="J53" s="434"/>
      <c r="K53" s="434"/>
      <c r="L53" s="434"/>
      <c r="M53" s="435"/>
      <c r="N53" s="179" t="s">
        <v>120</v>
      </c>
      <c r="O53" s="177" t="s">
        <v>142</v>
      </c>
      <c r="P53" s="436" t="s">
        <v>115</v>
      </c>
      <c r="Q53" s="437"/>
      <c r="R53" s="436" t="s">
        <v>251</v>
      </c>
      <c r="S53" s="438"/>
      <c r="T53" s="438"/>
      <c r="U53" s="437"/>
      <c r="V53" s="439" t="s">
        <v>133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120</v>
      </c>
      <c r="B54" s="432"/>
      <c r="C54" s="180" t="s">
        <v>190</v>
      </c>
      <c r="D54" s="180" t="s">
        <v>191</v>
      </c>
      <c r="E54" s="180" t="s">
        <v>192</v>
      </c>
      <c r="F54" s="433" t="s">
        <v>286</v>
      </c>
      <c r="G54" s="434"/>
      <c r="H54" s="434"/>
      <c r="I54" s="434"/>
      <c r="J54" s="434"/>
      <c r="K54" s="434"/>
      <c r="L54" s="434"/>
      <c r="M54" s="435"/>
      <c r="N54" s="179" t="s">
        <v>120</v>
      </c>
      <c r="O54" s="177" t="s">
        <v>136</v>
      </c>
      <c r="P54" s="436" t="s">
        <v>135</v>
      </c>
      <c r="Q54" s="437"/>
      <c r="R54" s="436" t="s">
        <v>270</v>
      </c>
      <c r="S54" s="438"/>
      <c r="T54" s="438"/>
      <c r="U54" s="437"/>
      <c r="V54" s="439" t="s">
        <v>118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120</v>
      </c>
      <c r="B55" s="432"/>
      <c r="C55" s="180" t="s">
        <v>127</v>
      </c>
      <c r="D55" s="180" t="s">
        <v>135</v>
      </c>
      <c r="E55" s="180" t="s">
        <v>274</v>
      </c>
      <c r="F55" s="433" t="s">
        <v>118</v>
      </c>
      <c r="G55" s="434"/>
      <c r="H55" s="434"/>
      <c r="I55" s="434"/>
      <c r="J55" s="434"/>
      <c r="K55" s="434"/>
      <c r="L55" s="434"/>
      <c r="M55" s="435"/>
      <c r="N55" s="179" t="s">
        <v>120</v>
      </c>
      <c r="O55" s="177" t="s">
        <v>190</v>
      </c>
      <c r="P55" s="436" t="s">
        <v>191</v>
      </c>
      <c r="Q55" s="437"/>
      <c r="R55" s="436" t="s">
        <v>192</v>
      </c>
      <c r="S55" s="438"/>
      <c r="T55" s="438"/>
      <c r="U55" s="437"/>
      <c r="V55" s="439" t="s">
        <v>133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121</v>
      </c>
      <c r="B56" s="432"/>
      <c r="C56" s="180" t="s">
        <v>189</v>
      </c>
      <c r="D56" s="180" t="s">
        <v>115</v>
      </c>
      <c r="E56" s="180" t="s">
        <v>287</v>
      </c>
      <c r="F56" s="433" t="s">
        <v>288</v>
      </c>
      <c r="G56" s="434"/>
      <c r="H56" s="434"/>
      <c r="I56" s="434"/>
      <c r="J56" s="434"/>
      <c r="K56" s="434"/>
      <c r="L56" s="434"/>
      <c r="M56" s="435"/>
      <c r="N56" s="179" t="s">
        <v>120</v>
      </c>
      <c r="O56" s="177" t="s">
        <v>148</v>
      </c>
      <c r="P56" s="436" t="s">
        <v>115</v>
      </c>
      <c r="Q56" s="437"/>
      <c r="R56" s="436" t="s">
        <v>166</v>
      </c>
      <c r="S56" s="438"/>
      <c r="T56" s="438"/>
      <c r="U56" s="437"/>
      <c r="V56" s="439" t="s">
        <v>133</v>
      </c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112</v>
      </c>
      <c r="B57" s="432"/>
      <c r="C57" s="180" t="s">
        <v>189</v>
      </c>
      <c r="D57" s="180" t="s">
        <v>115</v>
      </c>
      <c r="E57" s="180" t="s">
        <v>280</v>
      </c>
      <c r="F57" s="433" t="s">
        <v>118</v>
      </c>
      <c r="G57" s="434"/>
      <c r="H57" s="434"/>
      <c r="I57" s="434"/>
      <c r="J57" s="434"/>
      <c r="K57" s="434"/>
      <c r="L57" s="434"/>
      <c r="M57" s="435"/>
      <c r="N57" s="179" t="s">
        <v>120</v>
      </c>
      <c r="O57" s="177" t="s">
        <v>187</v>
      </c>
      <c r="P57" s="436" t="s">
        <v>294</v>
      </c>
      <c r="Q57" s="437"/>
      <c r="R57" s="436" t="s">
        <v>293</v>
      </c>
      <c r="S57" s="438"/>
      <c r="T57" s="438"/>
      <c r="U57" s="437"/>
      <c r="V57" s="439" t="s">
        <v>118</v>
      </c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120</v>
      </c>
      <c r="B58" s="432"/>
      <c r="C58" s="180" t="s">
        <v>254</v>
      </c>
      <c r="D58" s="180" t="s">
        <v>135</v>
      </c>
      <c r="E58" s="180" t="s">
        <v>253</v>
      </c>
      <c r="F58" s="433" t="s">
        <v>289</v>
      </c>
      <c r="G58" s="434"/>
      <c r="H58" s="434"/>
      <c r="I58" s="434"/>
      <c r="J58" s="434"/>
      <c r="K58" s="434"/>
      <c r="L58" s="434"/>
      <c r="M58" s="435"/>
      <c r="N58" s="179"/>
      <c r="O58" s="177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 t="s">
        <v>120</v>
      </c>
      <c r="B59" s="432"/>
      <c r="C59" s="180" t="s">
        <v>233</v>
      </c>
      <c r="D59" s="180" t="s">
        <v>207</v>
      </c>
      <c r="E59" s="180" t="s">
        <v>232</v>
      </c>
      <c r="F59" s="433" t="s">
        <v>118</v>
      </c>
      <c r="G59" s="434"/>
      <c r="H59" s="434"/>
      <c r="I59" s="434"/>
      <c r="J59" s="434"/>
      <c r="K59" s="434"/>
      <c r="L59" s="434"/>
      <c r="M59" s="435"/>
      <c r="N59" s="179"/>
      <c r="O59" s="177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 t="s">
        <v>121</v>
      </c>
      <c r="B60" s="432"/>
      <c r="C60" s="180" t="s">
        <v>223</v>
      </c>
      <c r="D60" s="180" t="s">
        <v>291</v>
      </c>
      <c r="E60" s="180" t="s">
        <v>290</v>
      </c>
      <c r="F60" s="433" t="s">
        <v>118</v>
      </c>
      <c r="G60" s="434"/>
      <c r="H60" s="434"/>
      <c r="I60" s="434"/>
      <c r="J60" s="434"/>
      <c r="K60" s="434"/>
      <c r="L60" s="434"/>
      <c r="M60" s="435"/>
      <c r="N60" s="179"/>
      <c r="O60" s="177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180"/>
      <c r="D61" s="180"/>
      <c r="E61" s="180"/>
      <c r="F61" s="433"/>
      <c r="G61" s="434"/>
      <c r="H61" s="434"/>
      <c r="I61" s="434"/>
      <c r="J61" s="434"/>
      <c r="K61" s="434"/>
      <c r="L61" s="434"/>
      <c r="M61" s="435"/>
      <c r="N61" s="179"/>
      <c r="O61" s="177"/>
      <c r="P61" s="432"/>
      <c r="Q61" s="432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  <c r="AF61" s="84">
        <f>8*3000</f>
        <v>24000</v>
      </c>
    </row>
    <row r="62" spans="1:32" ht="27" customHeight="1" thickBot="1">
      <c r="A62" s="441"/>
      <c r="B62" s="442"/>
      <c r="C62" s="181"/>
      <c r="D62" s="182"/>
      <c r="E62" s="182"/>
      <c r="F62" s="443"/>
      <c r="G62" s="444"/>
      <c r="H62" s="444"/>
      <c r="I62" s="444"/>
      <c r="J62" s="444"/>
      <c r="K62" s="444"/>
      <c r="L62" s="444"/>
      <c r="M62" s="445"/>
      <c r="N62" s="112"/>
      <c r="O62" s="103"/>
      <c r="P62" s="446"/>
      <c r="Q62" s="446"/>
      <c r="R62" s="446"/>
      <c r="S62" s="446"/>
      <c r="T62" s="446"/>
      <c r="U62" s="446"/>
      <c r="V62" s="447"/>
      <c r="W62" s="447"/>
      <c r="X62" s="447"/>
      <c r="Y62" s="447"/>
      <c r="Z62" s="447"/>
      <c r="AA62" s="447"/>
      <c r="AB62" s="447"/>
      <c r="AC62" s="447"/>
      <c r="AD62" s="448"/>
      <c r="AF62" s="84">
        <f>16*3000</f>
        <v>48000</v>
      </c>
    </row>
    <row r="63" spans="1:32" ht="27.75" thickBot="1">
      <c r="A63" s="449" t="s">
        <v>295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0" t="s">
        <v>111</v>
      </c>
      <c r="B64" s="451"/>
      <c r="C64" s="178" t="s">
        <v>2</v>
      </c>
      <c r="D64" s="178" t="s">
        <v>37</v>
      </c>
      <c r="E64" s="178" t="s">
        <v>3</v>
      </c>
      <c r="F64" s="451" t="s">
        <v>109</v>
      </c>
      <c r="G64" s="451"/>
      <c r="H64" s="451"/>
      <c r="I64" s="451"/>
      <c r="J64" s="451"/>
      <c r="K64" s="451" t="s">
        <v>39</v>
      </c>
      <c r="L64" s="451"/>
      <c r="M64" s="178" t="s">
        <v>40</v>
      </c>
      <c r="N64" s="451" t="s">
        <v>41</v>
      </c>
      <c r="O64" s="451"/>
      <c r="P64" s="452" t="s">
        <v>42</v>
      </c>
      <c r="Q64" s="453"/>
      <c r="R64" s="452" t="s">
        <v>43</v>
      </c>
      <c r="S64" s="454"/>
      <c r="T64" s="454"/>
      <c r="U64" s="454"/>
      <c r="V64" s="454"/>
      <c r="W64" s="454"/>
      <c r="X64" s="454"/>
      <c r="Y64" s="454"/>
      <c r="Z64" s="454"/>
      <c r="AA64" s="453"/>
      <c r="AB64" s="451" t="s">
        <v>44</v>
      </c>
      <c r="AC64" s="451"/>
      <c r="AD64" s="455"/>
      <c r="AF64" s="84">
        <f>SUM(AF61:AF63)</f>
        <v>96000</v>
      </c>
    </row>
    <row r="65" spans="1:32" ht="25.5" customHeight="1">
      <c r="A65" s="456">
        <v>1</v>
      </c>
      <c r="B65" s="457"/>
      <c r="C65" s="105"/>
      <c r="D65" s="173"/>
      <c r="E65" s="176"/>
      <c r="F65" s="458"/>
      <c r="G65" s="459"/>
      <c r="H65" s="459"/>
      <c r="I65" s="459"/>
      <c r="J65" s="460"/>
      <c r="K65" s="461"/>
      <c r="L65" s="461"/>
      <c r="M65" s="51"/>
      <c r="N65" s="462"/>
      <c r="O65" s="462"/>
      <c r="P65" s="463"/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4"/>
      <c r="AC65" s="465"/>
      <c r="AD65" s="466"/>
      <c r="AF65" s="50"/>
    </row>
    <row r="66" spans="1:32" ht="25.5" customHeight="1">
      <c r="A66" s="456">
        <v>2</v>
      </c>
      <c r="B66" s="457"/>
      <c r="C66" s="105"/>
      <c r="D66" s="173"/>
      <c r="E66" s="176"/>
      <c r="F66" s="458"/>
      <c r="G66" s="459"/>
      <c r="H66" s="459"/>
      <c r="I66" s="459"/>
      <c r="J66" s="460"/>
      <c r="K66" s="461"/>
      <c r="L66" s="461"/>
      <c r="M66" s="51"/>
      <c r="N66" s="462"/>
      <c r="O66" s="462"/>
      <c r="P66" s="463"/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3</v>
      </c>
      <c r="B67" s="457"/>
      <c r="C67" s="105"/>
      <c r="D67" s="173"/>
      <c r="E67" s="176"/>
      <c r="F67" s="458"/>
      <c r="G67" s="459"/>
      <c r="H67" s="459"/>
      <c r="I67" s="459"/>
      <c r="J67" s="460"/>
      <c r="K67" s="461"/>
      <c r="L67" s="461"/>
      <c r="M67" s="51"/>
      <c r="N67" s="462"/>
      <c r="O67" s="462"/>
      <c r="P67" s="463"/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4</v>
      </c>
      <c r="B68" s="457"/>
      <c r="C68" s="105"/>
      <c r="D68" s="173"/>
      <c r="E68" s="176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5</v>
      </c>
      <c r="B69" s="457"/>
      <c r="C69" s="105"/>
      <c r="D69" s="173"/>
      <c r="E69" s="176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6</v>
      </c>
      <c r="B70" s="457"/>
      <c r="C70" s="105"/>
      <c r="D70" s="173"/>
      <c r="E70" s="176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7</v>
      </c>
      <c r="B71" s="457"/>
      <c r="C71" s="105"/>
      <c r="D71" s="173"/>
      <c r="E71" s="176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8</v>
      </c>
      <c r="B72" s="457"/>
      <c r="C72" s="105"/>
      <c r="D72" s="173"/>
      <c r="E72" s="176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9</v>
      </c>
      <c r="B73" s="457"/>
      <c r="C73" s="105"/>
      <c r="D73" s="173"/>
      <c r="E73" s="176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10</v>
      </c>
      <c r="B74" s="457"/>
      <c r="C74" s="105"/>
      <c r="D74" s="173"/>
      <c r="E74" s="176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6.25" customHeight="1" thickBot="1">
      <c r="A75" s="469" t="s">
        <v>296</v>
      </c>
      <c r="B75" s="469"/>
      <c r="C75" s="469"/>
      <c r="D75" s="469"/>
      <c r="E75" s="46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0" t="s">
        <v>111</v>
      </c>
      <c r="B76" s="471"/>
      <c r="C76" s="175" t="s">
        <v>2</v>
      </c>
      <c r="D76" s="175" t="s">
        <v>37</v>
      </c>
      <c r="E76" s="175" t="s">
        <v>3</v>
      </c>
      <c r="F76" s="471" t="s">
        <v>38</v>
      </c>
      <c r="G76" s="471"/>
      <c r="H76" s="471"/>
      <c r="I76" s="471"/>
      <c r="J76" s="471"/>
      <c r="K76" s="472" t="s">
        <v>58</v>
      </c>
      <c r="L76" s="473"/>
      <c r="M76" s="473"/>
      <c r="N76" s="473"/>
      <c r="O76" s="473"/>
      <c r="P76" s="473"/>
      <c r="Q76" s="473"/>
      <c r="R76" s="473"/>
      <c r="S76" s="474"/>
      <c r="T76" s="471" t="s">
        <v>49</v>
      </c>
      <c r="U76" s="471"/>
      <c r="V76" s="472" t="s">
        <v>50</v>
      </c>
      <c r="W76" s="474"/>
      <c r="X76" s="473" t="s">
        <v>51</v>
      </c>
      <c r="Y76" s="473"/>
      <c r="Z76" s="473"/>
      <c r="AA76" s="473"/>
      <c r="AB76" s="473"/>
      <c r="AC76" s="473"/>
      <c r="AD76" s="475"/>
      <c r="AF76" s="50"/>
    </row>
    <row r="77" spans="1:32" ht="33.75" customHeight="1">
      <c r="A77" s="484">
        <v>1</v>
      </c>
      <c r="B77" s="485"/>
      <c r="C77" s="174" t="s">
        <v>112</v>
      </c>
      <c r="D77" s="174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76">
        <f>A77+1</f>
        <v>2</v>
      </c>
      <c r="B78" s="477"/>
      <c r="C78" s="173"/>
      <c r="D78" s="173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ref="A79:A83" si="20">A78+1</f>
        <v>3</v>
      </c>
      <c r="B79" s="477"/>
      <c r="C79" s="173"/>
      <c r="D79" s="173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20"/>
        <v>4</v>
      </c>
      <c r="B80" s="477"/>
      <c r="C80" s="173"/>
      <c r="D80" s="173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20"/>
        <v>5</v>
      </c>
      <c r="B81" s="477"/>
      <c r="C81" s="173"/>
      <c r="D81" s="173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20"/>
        <v>6</v>
      </c>
      <c r="B82" s="477"/>
      <c r="C82" s="173"/>
      <c r="D82" s="173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20"/>
        <v>7</v>
      </c>
      <c r="B83" s="477"/>
      <c r="C83" s="173"/>
      <c r="D83" s="173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6" thickBot="1">
      <c r="A84" s="469" t="s">
        <v>297</v>
      </c>
      <c r="B84" s="469"/>
      <c r="C84" s="469"/>
      <c r="D84" s="469"/>
      <c r="E84" s="46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0" t="s">
        <v>111</v>
      </c>
      <c r="B85" s="471"/>
      <c r="C85" s="497" t="s">
        <v>52</v>
      </c>
      <c r="D85" s="497"/>
      <c r="E85" s="497" t="s">
        <v>53</v>
      </c>
      <c r="F85" s="497"/>
      <c r="G85" s="497"/>
      <c r="H85" s="497"/>
      <c r="I85" s="497"/>
      <c r="J85" s="497"/>
      <c r="K85" s="497" t="s">
        <v>54</v>
      </c>
      <c r="L85" s="497"/>
      <c r="M85" s="497"/>
      <c r="N85" s="497"/>
      <c r="O85" s="497"/>
      <c r="P85" s="497"/>
      <c r="Q85" s="497"/>
      <c r="R85" s="497"/>
      <c r="S85" s="497"/>
      <c r="T85" s="497" t="s">
        <v>55</v>
      </c>
      <c r="U85" s="497"/>
      <c r="V85" s="497" t="s">
        <v>56</v>
      </c>
      <c r="W85" s="497"/>
      <c r="X85" s="497"/>
      <c r="Y85" s="497" t="s">
        <v>51</v>
      </c>
      <c r="Z85" s="497"/>
      <c r="AA85" s="497"/>
      <c r="AB85" s="497"/>
      <c r="AC85" s="497"/>
      <c r="AD85" s="498"/>
      <c r="AF85" s="50"/>
    </row>
    <row r="86" spans="1:32" ht="30.75" customHeight="1">
      <c r="A86" s="484">
        <v>1</v>
      </c>
      <c r="B86" s="485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500"/>
      <c r="W86" s="500"/>
      <c r="X86" s="500"/>
      <c r="Y86" s="501"/>
      <c r="Z86" s="501"/>
      <c r="AA86" s="501"/>
      <c r="AB86" s="501"/>
      <c r="AC86" s="501"/>
      <c r="AD86" s="502"/>
      <c r="AF86" s="50"/>
    </row>
    <row r="87" spans="1:32" ht="30.75" customHeight="1">
      <c r="A87" s="476">
        <v>2</v>
      </c>
      <c r="B87" s="477"/>
      <c r="C87" s="510"/>
      <c r="D87" s="510"/>
      <c r="E87" s="510"/>
      <c r="F87" s="510"/>
      <c r="G87" s="510"/>
      <c r="H87" s="510"/>
      <c r="I87" s="510"/>
      <c r="J87" s="510"/>
      <c r="K87" s="510"/>
      <c r="L87" s="510"/>
      <c r="M87" s="510"/>
      <c r="N87" s="510"/>
      <c r="O87" s="510"/>
      <c r="P87" s="510"/>
      <c r="Q87" s="510"/>
      <c r="R87" s="510"/>
      <c r="S87" s="510"/>
      <c r="T87" s="511"/>
      <c r="U87" s="511"/>
      <c r="V87" s="512"/>
      <c r="W87" s="512"/>
      <c r="X87" s="512"/>
      <c r="Y87" s="503"/>
      <c r="Z87" s="503"/>
      <c r="AA87" s="503"/>
      <c r="AB87" s="503"/>
      <c r="AC87" s="503"/>
      <c r="AD87" s="504"/>
      <c r="AF87" s="50"/>
    </row>
    <row r="88" spans="1:32" ht="30.75" customHeight="1" thickBot="1">
      <c r="A88" s="505">
        <v>3</v>
      </c>
      <c r="B88" s="506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07"/>
      <c r="X88" s="507"/>
      <c r="Y88" s="508"/>
      <c r="Z88" s="508"/>
      <c r="AA88" s="508"/>
      <c r="AB88" s="508"/>
      <c r="AC88" s="508"/>
      <c r="AD88" s="509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2FDC-DC23-4888-85D1-77FD46AB8D71}">
  <sheetPr codeName="Sheet8"/>
  <dimension ref="A1:AF89"/>
  <sheetViews>
    <sheetView view="pageBreakPreview" zoomScale="70" zoomScaleNormal="72" zoomScaleSheetLayoutView="70" workbookViewId="0">
      <selection activeCell="A12" sqref="A12:XFD1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298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185" t="s">
        <v>17</v>
      </c>
      <c r="L5" s="185" t="s">
        <v>18</v>
      </c>
      <c r="M5" s="185" t="s">
        <v>19</v>
      </c>
      <c r="N5" s="18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135</v>
      </c>
      <c r="E6" s="53" t="s">
        <v>270</v>
      </c>
      <c r="F6" s="30" t="s">
        <v>131</v>
      </c>
      <c r="G6" s="12">
        <v>1</v>
      </c>
      <c r="H6" s="13">
        <v>24</v>
      </c>
      <c r="I6" s="31">
        <v>11000</v>
      </c>
      <c r="J6" s="5">
        <v>5378</v>
      </c>
      <c r="K6" s="15">
        <f>L6</f>
        <v>5378</v>
      </c>
      <c r="L6" s="15">
        <f>2508+2870</f>
        <v>5378</v>
      </c>
      <c r="M6" s="15">
        <f t="shared" ref="M6:M23" si="0">L6-N6</f>
        <v>5378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24</v>
      </c>
      <c r="Q6" s="40">
        <f t="shared" ref="Q6:Q23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1</v>
      </c>
      <c r="AD6" s="10">
        <f t="shared" ref="AD6:AD23" si="6">AC6*AB6*(1-O6)</f>
        <v>1</v>
      </c>
      <c r="AE6" s="36">
        <f>$AD$23</f>
        <v>0.5</v>
      </c>
      <c r="AF6" s="84">
        <f t="shared" ref="AF6:AF23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274</v>
      </c>
      <c r="F7" s="12" t="s">
        <v>131</v>
      </c>
      <c r="G7" s="12">
        <v>1</v>
      </c>
      <c r="H7" s="13">
        <v>24</v>
      </c>
      <c r="I7" s="31">
        <v>1000</v>
      </c>
      <c r="J7" s="14">
        <v>4354</v>
      </c>
      <c r="K7" s="15">
        <f>L7+4354</f>
        <v>4354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ref="AE7:AE23" si="8">$AD$24</f>
        <v>0.52083333333333337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228</v>
      </c>
      <c r="E8" s="53" t="s">
        <v>246</v>
      </c>
      <c r="F8" s="30" t="s">
        <v>124</v>
      </c>
      <c r="G8" s="33">
        <v>1</v>
      </c>
      <c r="H8" s="35">
        <v>24</v>
      </c>
      <c r="I8" s="7">
        <v>17000</v>
      </c>
      <c r="J8" s="14">
        <v>5388</v>
      </c>
      <c r="K8" s="15">
        <f>L8+5318+5828+5388</f>
        <v>16534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8"/>
        <v>0.52083333333333337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191</v>
      </c>
      <c r="E9" s="53" t="s">
        <v>192</v>
      </c>
      <c r="F9" s="30" t="s">
        <v>195</v>
      </c>
      <c r="G9" s="33">
        <v>1</v>
      </c>
      <c r="H9" s="35">
        <v>24</v>
      </c>
      <c r="I9" s="7">
        <v>24000</v>
      </c>
      <c r="J9" s="14">
        <v>2640</v>
      </c>
      <c r="K9" s="15">
        <f>L9+4275+4281+3934+3095+2209</f>
        <v>20434</v>
      </c>
      <c r="L9" s="15">
        <f>2264+376</f>
        <v>2640</v>
      </c>
      <c r="M9" s="15">
        <f t="shared" si="0"/>
        <v>2640</v>
      </c>
      <c r="N9" s="15">
        <v>0</v>
      </c>
      <c r="O9" s="58">
        <f t="shared" si="1"/>
        <v>0</v>
      </c>
      <c r="P9" s="39">
        <f t="shared" si="2"/>
        <v>14</v>
      </c>
      <c r="Q9" s="40">
        <f t="shared" si="3"/>
        <v>10</v>
      </c>
      <c r="R9" s="7"/>
      <c r="S9" s="6">
        <v>10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0.58333333333333337</v>
      </c>
      <c r="AD9" s="10">
        <f t="shared" si="6"/>
        <v>0.58333333333333337</v>
      </c>
      <c r="AE9" s="36">
        <f t="shared" si="8"/>
        <v>0.52083333333333337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144</v>
      </c>
      <c r="F10" s="30" t="s">
        <v>173</v>
      </c>
      <c r="G10" s="33">
        <v>4</v>
      </c>
      <c r="H10" s="35">
        <v>24</v>
      </c>
      <c r="I10" s="7">
        <v>250000</v>
      </c>
      <c r="J10" s="5">
        <v>41760</v>
      </c>
      <c r="K10" s="15">
        <f>L10+25160+41576+41808+39572+33444+41972+41496+41236</f>
        <v>348024</v>
      </c>
      <c r="L10" s="15">
        <f>5165*4+5275*4</f>
        <v>41760</v>
      </c>
      <c r="M10" s="15">
        <f t="shared" si="0"/>
        <v>41760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8"/>
        <v>0.52083333333333337</v>
      </c>
      <c r="AF10" s="84">
        <f t="shared" si="7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115</v>
      </c>
      <c r="E11" s="53" t="s">
        <v>251</v>
      </c>
      <c r="F11" s="30" t="s">
        <v>263</v>
      </c>
      <c r="G11" s="12">
        <v>1</v>
      </c>
      <c r="H11" s="13">
        <v>28</v>
      </c>
      <c r="I11" s="7">
        <v>10000</v>
      </c>
      <c r="J11" s="14">
        <v>3623</v>
      </c>
      <c r="K11" s="15">
        <f>L11+2363</f>
        <v>5986</v>
      </c>
      <c r="L11" s="15">
        <f>3131+492</f>
        <v>3623</v>
      </c>
      <c r="M11" s="15">
        <f t="shared" si="0"/>
        <v>3623</v>
      </c>
      <c r="N11" s="15">
        <v>0</v>
      </c>
      <c r="O11" s="58">
        <f t="shared" si="1"/>
        <v>0</v>
      </c>
      <c r="P11" s="39">
        <f t="shared" si="2"/>
        <v>15</v>
      </c>
      <c r="Q11" s="40">
        <f t="shared" si="3"/>
        <v>9</v>
      </c>
      <c r="R11" s="7"/>
      <c r="S11" s="6">
        <v>9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0.625</v>
      </c>
      <c r="AD11" s="10">
        <f t="shared" ref="AD11:AD15" si="9">AC11*AB11*(1-O11)</f>
        <v>0.625</v>
      </c>
      <c r="AE11" s="36">
        <f t="shared" si="8"/>
        <v>0.52083333333333337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164</v>
      </c>
      <c r="E12" s="53" t="s">
        <v>165</v>
      </c>
      <c r="F12" s="30" t="s">
        <v>119</v>
      </c>
      <c r="G12" s="33">
        <v>1</v>
      </c>
      <c r="H12" s="35">
        <v>24</v>
      </c>
      <c r="I12" s="7">
        <v>69000</v>
      </c>
      <c r="J12" s="14">
        <v>1641</v>
      </c>
      <c r="K12" s="15">
        <f>L12+2872+5295+4231+5295+5295+5281+840+3474+4762+3115+2852+3656+4456+3648+5388+5312</f>
        <v>67413</v>
      </c>
      <c r="L12" s="15">
        <f>1641</f>
        <v>1641</v>
      </c>
      <c r="M12" s="15">
        <f t="shared" si="0"/>
        <v>1641</v>
      </c>
      <c r="N12" s="15">
        <v>0</v>
      </c>
      <c r="O12" s="58">
        <f t="shared" si="1"/>
        <v>0</v>
      </c>
      <c r="P12" s="39">
        <f t="shared" si="2"/>
        <v>8</v>
      </c>
      <c r="Q12" s="40">
        <f t="shared" si="3"/>
        <v>16</v>
      </c>
      <c r="R12" s="7"/>
      <c r="S12" s="6">
        <v>16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0.33333333333333331</v>
      </c>
      <c r="AD12" s="10">
        <f t="shared" si="9"/>
        <v>0.33333333333333331</v>
      </c>
      <c r="AE12" s="36">
        <f t="shared" si="8"/>
        <v>0.52083333333333337</v>
      </c>
      <c r="AF12" s="84">
        <f t="shared" si="7"/>
        <v>7</v>
      </c>
    </row>
    <row r="13" spans="1:32" ht="27" customHeight="1">
      <c r="A13" s="96">
        <v>7</v>
      </c>
      <c r="B13" s="11" t="s">
        <v>57</v>
      </c>
      <c r="C13" s="11" t="s">
        <v>121</v>
      </c>
      <c r="D13" s="52" t="s">
        <v>115</v>
      </c>
      <c r="E13" s="53" t="s">
        <v>167</v>
      </c>
      <c r="F13" s="30" t="s">
        <v>119</v>
      </c>
      <c r="G13" s="12">
        <v>1</v>
      </c>
      <c r="H13" s="13">
        <v>28</v>
      </c>
      <c r="I13" s="7">
        <v>69000</v>
      </c>
      <c r="J13" s="14">
        <v>3305</v>
      </c>
      <c r="K13" s="15">
        <f>L13+2806+5234+5319+5378+5411+789+4935+3007+4151+5463+4141+4654+5072+5297</f>
        <v>64962</v>
      </c>
      <c r="L13" s="15">
        <f>2505+800</f>
        <v>3305</v>
      </c>
      <c r="M13" s="15">
        <f t="shared" ref="M13" si="10">L13-N13</f>
        <v>3305</v>
      </c>
      <c r="N13" s="15">
        <v>0</v>
      </c>
      <c r="O13" s="58">
        <f t="shared" ref="O13" si="11">IF(L13=0,"0",N13/L13)</f>
        <v>0</v>
      </c>
      <c r="P13" s="39">
        <f t="shared" ref="P13" si="12">IF(L13=0,"0",(24-Q13))</f>
        <v>15</v>
      </c>
      <c r="Q13" s="40">
        <f t="shared" ref="Q13" si="13">SUM(R13:AA13)</f>
        <v>9</v>
      </c>
      <c r="R13" s="7"/>
      <c r="S13" s="6"/>
      <c r="T13" s="16">
        <v>9</v>
      </c>
      <c r="U13" s="16"/>
      <c r="V13" s="17"/>
      <c r="W13" s="5"/>
      <c r="X13" s="16"/>
      <c r="Y13" s="16"/>
      <c r="Z13" s="16"/>
      <c r="AA13" s="18"/>
      <c r="AB13" s="8">
        <f t="shared" ref="AB13" si="14">IF(J13=0,"0",(L13/J13))</f>
        <v>1</v>
      </c>
      <c r="AC13" s="9">
        <f t="shared" ref="AC13" si="15">IF(P13=0,"0",(P13/24))</f>
        <v>0.625</v>
      </c>
      <c r="AD13" s="10">
        <f t="shared" ref="AD13" si="16">AC13*AB13*(1-O13)</f>
        <v>0.625</v>
      </c>
      <c r="AE13" s="36">
        <f t="shared" si="8"/>
        <v>0.52083333333333337</v>
      </c>
      <c r="AF13" s="84">
        <f t="shared" ref="AF13" si="17">A13</f>
        <v>7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143</v>
      </c>
      <c r="F14" s="30" t="s">
        <v>125</v>
      </c>
      <c r="G14" s="33">
        <v>2</v>
      </c>
      <c r="H14" s="35">
        <v>24</v>
      </c>
      <c r="I14" s="7">
        <v>100000</v>
      </c>
      <c r="J14" s="5">
        <v>15096</v>
      </c>
      <c r="K14" s="15">
        <f>L14</f>
        <v>15096</v>
      </c>
      <c r="L14" s="15">
        <f>1009*4+2765*4</f>
        <v>15096</v>
      </c>
      <c r="M14" s="15">
        <f t="shared" si="0"/>
        <v>15096</v>
      </c>
      <c r="N14" s="15">
        <v>0</v>
      </c>
      <c r="O14" s="58">
        <f t="shared" si="1"/>
        <v>0</v>
      </c>
      <c r="P14" s="39">
        <f t="shared" si="2"/>
        <v>20</v>
      </c>
      <c r="Q14" s="40">
        <f t="shared" si="3"/>
        <v>4</v>
      </c>
      <c r="R14" s="7"/>
      <c r="S14" s="6">
        <v>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0.83333333333333337</v>
      </c>
      <c r="AD14" s="10">
        <f>AC14*AB14*(1-O14)</f>
        <v>0.83333333333333337</v>
      </c>
      <c r="AE14" s="36">
        <f t="shared" si="8"/>
        <v>0.52083333333333337</v>
      </c>
      <c r="AF14" s="84">
        <f t="shared" si="7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174</v>
      </c>
      <c r="F15" s="30" t="s">
        <v>177</v>
      </c>
      <c r="G15" s="33">
        <v>1</v>
      </c>
      <c r="H15" s="35">
        <v>24</v>
      </c>
      <c r="I15" s="7">
        <v>300</v>
      </c>
      <c r="J15" s="5">
        <v>376</v>
      </c>
      <c r="K15" s="15">
        <f>L15+376</f>
        <v>376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8"/>
        <v>0.52083333333333337</v>
      </c>
      <c r="AF15" s="84">
        <f t="shared" si="7"/>
        <v>9</v>
      </c>
    </row>
    <row r="16" spans="1:32" ht="27" customHeight="1">
      <c r="A16" s="95">
        <v>10</v>
      </c>
      <c r="B16" s="11" t="s">
        <v>57</v>
      </c>
      <c r="C16" s="34" t="s">
        <v>120</v>
      </c>
      <c r="D16" s="52" t="s">
        <v>135</v>
      </c>
      <c r="E16" s="53" t="s">
        <v>253</v>
      </c>
      <c r="F16" s="12" t="s">
        <v>131</v>
      </c>
      <c r="G16" s="12">
        <v>1</v>
      </c>
      <c r="H16" s="13">
        <v>24</v>
      </c>
      <c r="I16" s="31">
        <v>550</v>
      </c>
      <c r="J16" s="14">
        <v>726</v>
      </c>
      <c r="K16" s="15">
        <f>L16+726</f>
        <v>726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8"/>
        <v>0.52083333333333337</v>
      </c>
      <c r="AF16" s="84">
        <f t="shared" si="7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207</v>
      </c>
      <c r="E17" s="53" t="s">
        <v>204</v>
      </c>
      <c r="F17" s="30" t="s">
        <v>138</v>
      </c>
      <c r="G17" s="12">
        <v>2</v>
      </c>
      <c r="H17" s="13">
        <v>24</v>
      </c>
      <c r="I17" s="7">
        <v>300000</v>
      </c>
      <c r="J17" s="14">
        <v>12146</v>
      </c>
      <c r="K17" s="15">
        <f>L17+6564+12528+9524+11762</f>
        <v>52524</v>
      </c>
      <c r="L17" s="15">
        <f>3090*2+2983*2</f>
        <v>12146</v>
      </c>
      <c r="M17" s="15">
        <f t="shared" si="0"/>
        <v>12146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8"/>
        <v>0.52083333333333337</v>
      </c>
      <c r="AF17" s="84">
        <f t="shared" si="7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 t="s">
        <v>207</v>
      </c>
      <c r="E18" s="53" t="s">
        <v>232</v>
      </c>
      <c r="F18" s="30" t="s">
        <v>281</v>
      </c>
      <c r="G18" s="12">
        <v>2</v>
      </c>
      <c r="H18" s="13">
        <v>24</v>
      </c>
      <c r="I18" s="7">
        <v>15000</v>
      </c>
      <c r="J18" s="14">
        <v>13914</v>
      </c>
      <c r="K18" s="15">
        <f>L18+8006</f>
        <v>21920</v>
      </c>
      <c r="L18" s="15">
        <f>3443*2+3514*2</f>
        <v>13914</v>
      </c>
      <c r="M18" s="15">
        <f t="shared" si="0"/>
        <v>13914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8"/>
        <v>0.52083333333333337</v>
      </c>
      <c r="AF18" s="84">
        <f t="shared" si="7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294</v>
      </c>
      <c r="E19" s="53" t="s">
        <v>293</v>
      </c>
      <c r="F19" s="30" t="s">
        <v>139</v>
      </c>
      <c r="G19" s="33">
        <v>1</v>
      </c>
      <c r="H19" s="35">
        <v>24</v>
      </c>
      <c r="I19" s="7">
        <v>10000</v>
      </c>
      <c r="J19" s="14">
        <v>2794</v>
      </c>
      <c r="K19" s="15">
        <f>L19</f>
        <v>2794</v>
      </c>
      <c r="L19" s="15">
        <f>2794</f>
        <v>2794</v>
      </c>
      <c r="M19" s="15">
        <f t="shared" si="0"/>
        <v>2794</v>
      </c>
      <c r="N19" s="15">
        <v>0</v>
      </c>
      <c r="O19" s="58">
        <f t="shared" si="1"/>
        <v>0</v>
      </c>
      <c r="P19" s="39">
        <f t="shared" si="2"/>
        <v>11</v>
      </c>
      <c r="Q19" s="40">
        <f t="shared" si="3"/>
        <v>13</v>
      </c>
      <c r="R19" s="7"/>
      <c r="S19" s="6">
        <v>13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0.45833333333333331</v>
      </c>
      <c r="AD19" s="10">
        <f t="shared" si="6"/>
        <v>0.45833333333333331</v>
      </c>
      <c r="AE19" s="36">
        <f t="shared" si="8"/>
        <v>0.52083333333333337</v>
      </c>
      <c r="AF19" s="84">
        <f t="shared" si="7"/>
        <v>13</v>
      </c>
    </row>
    <row r="20" spans="1:32" ht="27" customHeight="1">
      <c r="A20" s="96">
        <v>14</v>
      </c>
      <c r="B20" s="11" t="s">
        <v>57</v>
      </c>
      <c r="C20" s="34" t="s">
        <v>121</v>
      </c>
      <c r="D20" s="52" t="s">
        <v>282</v>
      </c>
      <c r="E20" s="53" t="s">
        <v>283</v>
      </c>
      <c r="F20" s="30" t="s">
        <v>139</v>
      </c>
      <c r="G20" s="33">
        <v>1</v>
      </c>
      <c r="H20" s="35">
        <v>24</v>
      </c>
      <c r="I20" s="7">
        <v>4000</v>
      </c>
      <c r="J20" s="5">
        <v>739</v>
      </c>
      <c r="K20" s="15">
        <f>L20+4204</f>
        <v>4943</v>
      </c>
      <c r="L20" s="15">
        <v>739</v>
      </c>
      <c r="M20" s="15">
        <f t="shared" si="0"/>
        <v>739</v>
      </c>
      <c r="N20" s="15">
        <v>0</v>
      </c>
      <c r="O20" s="58">
        <f t="shared" si="1"/>
        <v>0</v>
      </c>
      <c r="P20" s="39">
        <f t="shared" si="2"/>
        <v>5</v>
      </c>
      <c r="Q20" s="40">
        <f t="shared" si="3"/>
        <v>19</v>
      </c>
      <c r="R20" s="7"/>
      <c r="S20" s="6"/>
      <c r="T20" s="16"/>
      <c r="U20" s="16"/>
      <c r="V20" s="17"/>
      <c r="W20" s="5">
        <v>19</v>
      </c>
      <c r="X20" s="16"/>
      <c r="Y20" s="16"/>
      <c r="Z20" s="16"/>
      <c r="AA20" s="18"/>
      <c r="AB20" s="8">
        <f t="shared" si="4"/>
        <v>1</v>
      </c>
      <c r="AC20" s="9">
        <f t="shared" si="5"/>
        <v>0.20833333333333334</v>
      </c>
      <c r="AD20" s="10">
        <f>AC20*AB20*(1-O20)</f>
        <v>0.20833333333333334</v>
      </c>
      <c r="AE20" s="36">
        <f t="shared" si="8"/>
        <v>0.52083333333333337</v>
      </c>
      <c r="AF20" s="84">
        <f t="shared" si="7"/>
        <v>14</v>
      </c>
    </row>
    <row r="21" spans="1:32" ht="27" customHeight="1">
      <c r="A21" s="96">
        <v>14</v>
      </c>
      <c r="B21" s="11" t="s">
        <v>57</v>
      </c>
      <c r="C21" s="34" t="s">
        <v>120</v>
      </c>
      <c r="D21" s="52" t="s">
        <v>294</v>
      </c>
      <c r="E21" s="53" t="s">
        <v>299</v>
      </c>
      <c r="F21" s="30" t="s">
        <v>139</v>
      </c>
      <c r="G21" s="33">
        <v>1</v>
      </c>
      <c r="H21" s="35">
        <v>24</v>
      </c>
      <c r="I21" s="7">
        <v>1600</v>
      </c>
      <c r="J21" s="5">
        <v>4329</v>
      </c>
      <c r="K21" s="15">
        <f>L21</f>
        <v>4329</v>
      </c>
      <c r="L21" s="15">
        <f>1707+2622</f>
        <v>4329</v>
      </c>
      <c r="M21" s="15">
        <f t="shared" ref="M21" si="18">L21-N21</f>
        <v>4329</v>
      </c>
      <c r="N21" s="15">
        <v>0</v>
      </c>
      <c r="O21" s="58">
        <f t="shared" ref="O21" si="19">IF(L21=0,"0",N21/L21)</f>
        <v>0</v>
      </c>
      <c r="P21" s="39">
        <f t="shared" ref="P21" si="20">IF(L21=0,"0",(24-Q21))</f>
        <v>18</v>
      </c>
      <c r="Q21" s="40">
        <f t="shared" ref="Q21" si="21">SUM(R21:AA21)</f>
        <v>6</v>
      </c>
      <c r="R21" s="7"/>
      <c r="S21" s="6"/>
      <c r="T21" s="16">
        <v>6</v>
      </c>
      <c r="U21" s="16"/>
      <c r="V21" s="17"/>
      <c r="W21" s="5"/>
      <c r="X21" s="16"/>
      <c r="Y21" s="16"/>
      <c r="Z21" s="16"/>
      <c r="AA21" s="18"/>
      <c r="AB21" s="8">
        <f t="shared" ref="AB21" si="22">IF(J21=0,"0",(L21/J21))</f>
        <v>1</v>
      </c>
      <c r="AC21" s="9">
        <f t="shared" ref="AC21" si="23">IF(P21=0,"0",(P21/24))</f>
        <v>0.75</v>
      </c>
      <c r="AD21" s="10">
        <f>AC21*AB21*(1-O21)</f>
        <v>0.75</v>
      </c>
      <c r="AE21" s="36">
        <f t="shared" si="8"/>
        <v>0.52083333333333337</v>
      </c>
      <c r="AF21" s="84">
        <f t="shared" ref="AF21" si="24">A21</f>
        <v>14</v>
      </c>
    </row>
    <row r="22" spans="1:32" ht="27" customHeight="1">
      <c r="A22" s="113">
        <v>15</v>
      </c>
      <c r="B22" s="11" t="s">
        <v>57</v>
      </c>
      <c r="C22" s="34" t="s">
        <v>120</v>
      </c>
      <c r="D22" s="52" t="s">
        <v>115</v>
      </c>
      <c r="E22" s="53" t="s">
        <v>166</v>
      </c>
      <c r="F22" s="30" t="s">
        <v>119</v>
      </c>
      <c r="G22" s="12">
        <v>1</v>
      </c>
      <c r="H22" s="13">
        <v>28</v>
      </c>
      <c r="I22" s="31">
        <v>40000</v>
      </c>
      <c r="J22" s="5">
        <v>1852</v>
      </c>
      <c r="K22" s="15">
        <f>L22+2503+4146+3422+2211+1805+550+1849+2614+2495+1614+1413+464+2031+1384+2779+3110</f>
        <v>36242</v>
      </c>
      <c r="L22" s="15">
        <f>1852</f>
        <v>1852</v>
      </c>
      <c r="M22" s="15">
        <f t="shared" si="0"/>
        <v>1852</v>
      </c>
      <c r="N22" s="15">
        <v>0</v>
      </c>
      <c r="O22" s="58">
        <f t="shared" si="1"/>
        <v>0</v>
      </c>
      <c r="P22" s="39">
        <f t="shared" si="2"/>
        <v>11</v>
      </c>
      <c r="Q22" s="40">
        <f t="shared" si="3"/>
        <v>13</v>
      </c>
      <c r="R22" s="7"/>
      <c r="S22" s="6">
        <v>13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0.45833333333333331</v>
      </c>
      <c r="AD22" s="10">
        <f t="shared" ref="AD22" si="25">AC22*AB22*(1-O22)</f>
        <v>0.45833333333333331</v>
      </c>
      <c r="AE22" s="36">
        <f t="shared" si="8"/>
        <v>0.52083333333333337</v>
      </c>
      <c r="AF22" s="84">
        <f t="shared" si="7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144</v>
      </c>
      <c r="F23" s="12" t="s">
        <v>114</v>
      </c>
      <c r="G23" s="12">
        <v>4</v>
      </c>
      <c r="H23" s="35">
        <v>20</v>
      </c>
      <c r="I23" s="7">
        <v>500000</v>
      </c>
      <c r="J23" s="14">
        <v>40264</v>
      </c>
      <c r="K23" s="15">
        <f>L23+27600+41540+42440+43780</f>
        <v>195624</v>
      </c>
      <c r="L23" s="15">
        <f>10066*4</f>
        <v>40264</v>
      </c>
      <c r="M23" s="15">
        <f t="shared" si="0"/>
        <v>40264</v>
      </c>
      <c r="N23" s="15">
        <v>0</v>
      </c>
      <c r="O23" s="58">
        <f t="shared" si="1"/>
        <v>0</v>
      </c>
      <c r="P23" s="39">
        <f t="shared" si="2"/>
        <v>12</v>
      </c>
      <c r="Q23" s="40">
        <f t="shared" si="3"/>
        <v>12</v>
      </c>
      <c r="R23" s="7"/>
      <c r="S23" s="6"/>
      <c r="T23" s="16"/>
      <c r="U23" s="16"/>
      <c r="V23" s="17">
        <v>12</v>
      </c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0.5</v>
      </c>
      <c r="AD23" s="10">
        <f t="shared" si="6"/>
        <v>0.5</v>
      </c>
      <c r="AE23" s="36">
        <f t="shared" si="8"/>
        <v>0.52083333333333337</v>
      </c>
      <c r="AF23" s="84">
        <f t="shared" si="7"/>
        <v>16</v>
      </c>
    </row>
    <row r="24" spans="1:32" ht="31.5" customHeight="1" thickBot="1">
      <c r="A24" s="405" t="s">
        <v>34</v>
      </c>
      <c r="B24" s="406"/>
      <c r="C24" s="406"/>
      <c r="D24" s="406"/>
      <c r="E24" s="406"/>
      <c r="F24" s="406"/>
      <c r="G24" s="406"/>
      <c r="H24" s="407"/>
      <c r="I24" s="22">
        <f t="shared" ref="I24:N24" si="26">SUM(I6:I23)</f>
        <v>1422450</v>
      </c>
      <c r="J24" s="19">
        <f t="shared" si="26"/>
        <v>160325</v>
      </c>
      <c r="K24" s="20">
        <f t="shared" si="26"/>
        <v>867659</v>
      </c>
      <c r="L24" s="21">
        <f t="shared" si="26"/>
        <v>149481</v>
      </c>
      <c r="M24" s="20">
        <f t="shared" si="26"/>
        <v>149481</v>
      </c>
      <c r="N24" s="21">
        <f t="shared" si="26"/>
        <v>0</v>
      </c>
      <c r="O24" s="41">
        <f t="shared" si="1"/>
        <v>0</v>
      </c>
      <c r="P24" s="42">
        <f t="shared" ref="P24:AA24" si="27">SUM(P6:P23)</f>
        <v>225</v>
      </c>
      <c r="Q24" s="43">
        <f t="shared" si="27"/>
        <v>207</v>
      </c>
      <c r="R24" s="23">
        <f t="shared" si="27"/>
        <v>0</v>
      </c>
      <c r="S24" s="24">
        <f t="shared" si="27"/>
        <v>65</v>
      </c>
      <c r="T24" s="24">
        <f t="shared" si="27"/>
        <v>15</v>
      </c>
      <c r="U24" s="24">
        <f t="shared" si="27"/>
        <v>0</v>
      </c>
      <c r="V24" s="25">
        <f t="shared" si="27"/>
        <v>12</v>
      </c>
      <c r="W24" s="26">
        <f t="shared" si="27"/>
        <v>115</v>
      </c>
      <c r="X24" s="27">
        <f t="shared" si="27"/>
        <v>0</v>
      </c>
      <c r="Y24" s="27">
        <f t="shared" si="27"/>
        <v>0</v>
      </c>
      <c r="Z24" s="27">
        <f t="shared" si="27"/>
        <v>0</v>
      </c>
      <c r="AA24" s="27">
        <f t="shared" si="27"/>
        <v>0</v>
      </c>
      <c r="AB24" s="28">
        <f>AVERAGE(AB6:AB23)</f>
        <v>0.77777777777777779</v>
      </c>
      <c r="AC24" s="4">
        <f>AVERAGE(AC6:AC23)</f>
        <v>0.52083333333333337</v>
      </c>
      <c r="AD24" s="4">
        <f>AVERAGE(AD6:AD23)</f>
        <v>0.52083333333333337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08" t="s">
        <v>45</v>
      </c>
      <c r="B51" s="408"/>
      <c r="C51" s="408"/>
      <c r="D51" s="408"/>
      <c r="E51" s="40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09" t="s">
        <v>300</v>
      </c>
      <c r="B52" s="410"/>
      <c r="C52" s="410"/>
      <c r="D52" s="410"/>
      <c r="E52" s="410"/>
      <c r="F52" s="410"/>
      <c r="G52" s="410"/>
      <c r="H52" s="410"/>
      <c r="I52" s="410"/>
      <c r="J52" s="410"/>
      <c r="K52" s="410"/>
      <c r="L52" s="410"/>
      <c r="M52" s="411"/>
      <c r="N52" s="412" t="s">
        <v>302</v>
      </c>
      <c r="O52" s="413"/>
      <c r="P52" s="413"/>
      <c r="Q52" s="413"/>
      <c r="R52" s="413"/>
      <c r="S52" s="413"/>
      <c r="T52" s="413"/>
      <c r="U52" s="413"/>
      <c r="V52" s="413"/>
      <c r="W52" s="413"/>
      <c r="X52" s="413"/>
      <c r="Y52" s="413"/>
      <c r="Z52" s="413"/>
      <c r="AA52" s="413"/>
      <c r="AB52" s="413"/>
      <c r="AC52" s="413"/>
      <c r="AD52" s="414"/>
    </row>
    <row r="53" spans="1:32" ht="27" customHeight="1">
      <c r="A53" s="415" t="s">
        <v>2</v>
      </c>
      <c r="B53" s="416"/>
      <c r="C53" s="186" t="s">
        <v>46</v>
      </c>
      <c r="D53" s="186" t="s">
        <v>47</v>
      </c>
      <c r="E53" s="186" t="s">
        <v>107</v>
      </c>
      <c r="F53" s="417" t="s">
        <v>106</v>
      </c>
      <c r="G53" s="418"/>
      <c r="H53" s="418"/>
      <c r="I53" s="418"/>
      <c r="J53" s="418"/>
      <c r="K53" s="418"/>
      <c r="L53" s="418"/>
      <c r="M53" s="419"/>
      <c r="N53" s="67" t="s">
        <v>110</v>
      </c>
      <c r="O53" s="186" t="s">
        <v>46</v>
      </c>
      <c r="P53" s="417" t="s">
        <v>47</v>
      </c>
      <c r="Q53" s="420"/>
      <c r="R53" s="417" t="s">
        <v>38</v>
      </c>
      <c r="S53" s="418"/>
      <c r="T53" s="418"/>
      <c r="U53" s="420"/>
      <c r="V53" s="417" t="s">
        <v>48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31" t="s">
        <v>120</v>
      </c>
      <c r="B54" s="432"/>
      <c r="C54" s="188" t="s">
        <v>148</v>
      </c>
      <c r="D54" s="188" t="s">
        <v>115</v>
      </c>
      <c r="E54" s="188" t="s">
        <v>166</v>
      </c>
      <c r="F54" s="433" t="s">
        <v>133</v>
      </c>
      <c r="G54" s="434"/>
      <c r="H54" s="434"/>
      <c r="I54" s="434"/>
      <c r="J54" s="434"/>
      <c r="K54" s="434"/>
      <c r="L54" s="434"/>
      <c r="M54" s="435"/>
      <c r="N54" s="187" t="s">
        <v>120</v>
      </c>
      <c r="O54" s="193" t="s">
        <v>187</v>
      </c>
      <c r="P54" s="436" t="s">
        <v>294</v>
      </c>
      <c r="Q54" s="437"/>
      <c r="R54" s="436" t="s">
        <v>293</v>
      </c>
      <c r="S54" s="438"/>
      <c r="T54" s="438"/>
      <c r="U54" s="437"/>
      <c r="V54" s="439" t="s">
        <v>133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120</v>
      </c>
      <c r="B55" s="432"/>
      <c r="C55" s="188" t="s">
        <v>190</v>
      </c>
      <c r="D55" s="188" t="s">
        <v>191</v>
      </c>
      <c r="E55" s="188" t="s">
        <v>192</v>
      </c>
      <c r="F55" s="433" t="s">
        <v>301</v>
      </c>
      <c r="G55" s="434"/>
      <c r="H55" s="434"/>
      <c r="I55" s="434"/>
      <c r="J55" s="434"/>
      <c r="K55" s="434"/>
      <c r="L55" s="434"/>
      <c r="M55" s="435"/>
      <c r="N55" s="187" t="s">
        <v>121</v>
      </c>
      <c r="O55" s="193" t="s">
        <v>189</v>
      </c>
      <c r="P55" s="436" t="s">
        <v>115</v>
      </c>
      <c r="Q55" s="437"/>
      <c r="R55" s="436" t="s">
        <v>143</v>
      </c>
      <c r="S55" s="438"/>
      <c r="T55" s="438"/>
      <c r="U55" s="437"/>
      <c r="V55" s="439" t="s">
        <v>133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120</v>
      </c>
      <c r="B56" s="432"/>
      <c r="C56" s="188" t="s">
        <v>136</v>
      </c>
      <c r="D56" s="188" t="s">
        <v>135</v>
      </c>
      <c r="E56" s="188" t="s">
        <v>270</v>
      </c>
      <c r="F56" s="433" t="s">
        <v>118</v>
      </c>
      <c r="G56" s="434"/>
      <c r="H56" s="434"/>
      <c r="I56" s="434"/>
      <c r="J56" s="434"/>
      <c r="K56" s="434"/>
      <c r="L56" s="434"/>
      <c r="M56" s="435"/>
      <c r="N56" s="187" t="s">
        <v>121</v>
      </c>
      <c r="O56" s="193" t="s">
        <v>223</v>
      </c>
      <c r="P56" s="436"/>
      <c r="Q56" s="437"/>
      <c r="R56" s="436" t="s">
        <v>303</v>
      </c>
      <c r="S56" s="438"/>
      <c r="T56" s="438"/>
      <c r="U56" s="437"/>
      <c r="V56" s="439" t="s">
        <v>118</v>
      </c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121</v>
      </c>
      <c r="B57" s="432"/>
      <c r="C57" s="188" t="s">
        <v>189</v>
      </c>
      <c r="D57" s="188" t="s">
        <v>115</v>
      </c>
      <c r="E57" s="188" t="s">
        <v>287</v>
      </c>
      <c r="F57" s="433" t="s">
        <v>288</v>
      </c>
      <c r="G57" s="434"/>
      <c r="H57" s="434"/>
      <c r="I57" s="434"/>
      <c r="J57" s="434"/>
      <c r="K57" s="434"/>
      <c r="L57" s="434"/>
      <c r="M57" s="435"/>
      <c r="N57" s="187"/>
      <c r="O57" s="193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121</v>
      </c>
      <c r="B58" s="432"/>
      <c r="C58" s="188" t="s">
        <v>140</v>
      </c>
      <c r="D58" s="188" t="s">
        <v>115</v>
      </c>
      <c r="E58" s="188" t="s">
        <v>167</v>
      </c>
      <c r="F58" s="433" t="s">
        <v>249</v>
      </c>
      <c r="G58" s="434"/>
      <c r="H58" s="434"/>
      <c r="I58" s="434"/>
      <c r="J58" s="434"/>
      <c r="K58" s="434"/>
      <c r="L58" s="434"/>
      <c r="M58" s="435"/>
      <c r="N58" s="187"/>
      <c r="O58" s="193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 t="s">
        <v>120</v>
      </c>
      <c r="B59" s="432"/>
      <c r="C59" s="188" t="s">
        <v>223</v>
      </c>
      <c r="D59" s="188" t="s">
        <v>294</v>
      </c>
      <c r="E59" s="188" t="s">
        <v>299</v>
      </c>
      <c r="F59" s="433" t="s">
        <v>118</v>
      </c>
      <c r="G59" s="434"/>
      <c r="H59" s="434"/>
      <c r="I59" s="434"/>
      <c r="J59" s="434"/>
      <c r="K59" s="434"/>
      <c r="L59" s="434"/>
      <c r="M59" s="435"/>
      <c r="N59" s="187"/>
      <c r="O59" s="193"/>
      <c r="P59" s="436"/>
      <c r="Q59" s="437"/>
      <c r="R59" s="436"/>
      <c r="S59" s="438"/>
      <c r="T59" s="438"/>
      <c r="U59" s="437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 t="s">
        <v>120</v>
      </c>
      <c r="B60" s="432"/>
      <c r="C60" s="188" t="s">
        <v>187</v>
      </c>
      <c r="D60" s="188" t="s">
        <v>294</v>
      </c>
      <c r="E60" s="188" t="s">
        <v>293</v>
      </c>
      <c r="F60" s="433" t="s">
        <v>118</v>
      </c>
      <c r="G60" s="434"/>
      <c r="H60" s="434"/>
      <c r="I60" s="434"/>
      <c r="J60" s="434"/>
      <c r="K60" s="434"/>
      <c r="L60" s="434"/>
      <c r="M60" s="435"/>
      <c r="N60" s="187"/>
      <c r="O60" s="193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188"/>
      <c r="D61" s="188"/>
      <c r="E61" s="188"/>
      <c r="F61" s="433"/>
      <c r="G61" s="434"/>
      <c r="H61" s="434"/>
      <c r="I61" s="434"/>
      <c r="J61" s="434"/>
      <c r="K61" s="434"/>
      <c r="L61" s="434"/>
      <c r="M61" s="435"/>
      <c r="N61" s="187"/>
      <c r="O61" s="193"/>
      <c r="P61" s="436"/>
      <c r="Q61" s="437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</row>
    <row r="62" spans="1:32" ht="27" customHeight="1">
      <c r="A62" s="431"/>
      <c r="B62" s="432"/>
      <c r="C62" s="188"/>
      <c r="D62" s="188"/>
      <c r="E62" s="188"/>
      <c r="F62" s="433"/>
      <c r="G62" s="434"/>
      <c r="H62" s="434"/>
      <c r="I62" s="434"/>
      <c r="J62" s="434"/>
      <c r="K62" s="434"/>
      <c r="L62" s="434"/>
      <c r="M62" s="435"/>
      <c r="N62" s="187"/>
      <c r="O62" s="193"/>
      <c r="P62" s="432"/>
      <c r="Q62" s="432"/>
      <c r="R62" s="432"/>
      <c r="S62" s="432"/>
      <c r="T62" s="432"/>
      <c r="U62" s="432"/>
      <c r="V62" s="439"/>
      <c r="W62" s="439"/>
      <c r="X62" s="439"/>
      <c r="Y62" s="439"/>
      <c r="Z62" s="439"/>
      <c r="AA62" s="439"/>
      <c r="AB62" s="439"/>
      <c r="AC62" s="439"/>
      <c r="AD62" s="440"/>
      <c r="AF62" s="84">
        <f>8*3000</f>
        <v>24000</v>
      </c>
    </row>
    <row r="63" spans="1:32" ht="27" customHeight="1" thickBot="1">
      <c r="A63" s="441"/>
      <c r="B63" s="442"/>
      <c r="C63" s="189"/>
      <c r="D63" s="190"/>
      <c r="E63" s="190"/>
      <c r="F63" s="443"/>
      <c r="G63" s="444"/>
      <c r="H63" s="444"/>
      <c r="I63" s="444"/>
      <c r="J63" s="444"/>
      <c r="K63" s="444"/>
      <c r="L63" s="444"/>
      <c r="M63" s="445"/>
      <c r="N63" s="112"/>
      <c r="O63" s="103"/>
      <c r="P63" s="446"/>
      <c r="Q63" s="446"/>
      <c r="R63" s="446"/>
      <c r="S63" s="446"/>
      <c r="T63" s="446"/>
      <c r="U63" s="446"/>
      <c r="V63" s="447"/>
      <c r="W63" s="447"/>
      <c r="X63" s="447"/>
      <c r="Y63" s="447"/>
      <c r="Z63" s="447"/>
      <c r="AA63" s="447"/>
      <c r="AB63" s="447"/>
      <c r="AC63" s="447"/>
      <c r="AD63" s="448"/>
      <c r="AF63" s="84">
        <f>16*3000</f>
        <v>48000</v>
      </c>
    </row>
    <row r="64" spans="1:32" ht="27.75" thickBot="1">
      <c r="A64" s="449" t="s">
        <v>304</v>
      </c>
      <c r="B64" s="449"/>
      <c r="C64" s="449"/>
      <c r="D64" s="449"/>
      <c r="E64" s="449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50" t="s">
        <v>111</v>
      </c>
      <c r="B65" s="451"/>
      <c r="C65" s="191" t="s">
        <v>2</v>
      </c>
      <c r="D65" s="191" t="s">
        <v>37</v>
      </c>
      <c r="E65" s="191" t="s">
        <v>3</v>
      </c>
      <c r="F65" s="451" t="s">
        <v>109</v>
      </c>
      <c r="G65" s="451"/>
      <c r="H65" s="451"/>
      <c r="I65" s="451"/>
      <c r="J65" s="451"/>
      <c r="K65" s="451" t="s">
        <v>39</v>
      </c>
      <c r="L65" s="451"/>
      <c r="M65" s="191" t="s">
        <v>40</v>
      </c>
      <c r="N65" s="451" t="s">
        <v>41</v>
      </c>
      <c r="O65" s="451"/>
      <c r="P65" s="452" t="s">
        <v>42</v>
      </c>
      <c r="Q65" s="453"/>
      <c r="R65" s="452" t="s">
        <v>43</v>
      </c>
      <c r="S65" s="454"/>
      <c r="T65" s="454"/>
      <c r="U65" s="454"/>
      <c r="V65" s="454"/>
      <c r="W65" s="454"/>
      <c r="X65" s="454"/>
      <c r="Y65" s="454"/>
      <c r="Z65" s="454"/>
      <c r="AA65" s="453"/>
      <c r="AB65" s="451" t="s">
        <v>44</v>
      </c>
      <c r="AC65" s="451"/>
      <c r="AD65" s="455"/>
      <c r="AF65" s="84">
        <f>SUM(AF62:AF64)</f>
        <v>96000</v>
      </c>
    </row>
    <row r="66" spans="1:32" ht="25.5" customHeight="1">
      <c r="A66" s="456">
        <v>1</v>
      </c>
      <c r="B66" s="457"/>
      <c r="C66" s="105"/>
      <c r="D66" s="195"/>
      <c r="E66" s="192"/>
      <c r="F66" s="458"/>
      <c r="G66" s="459"/>
      <c r="H66" s="459"/>
      <c r="I66" s="459"/>
      <c r="J66" s="460"/>
      <c r="K66" s="461"/>
      <c r="L66" s="461"/>
      <c r="M66" s="51"/>
      <c r="N66" s="462"/>
      <c r="O66" s="462"/>
      <c r="P66" s="463"/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4"/>
      <c r="AC66" s="465"/>
      <c r="AD66" s="466"/>
      <c r="AF66" s="50"/>
    </row>
    <row r="67" spans="1:32" ht="25.5" customHeight="1">
      <c r="A67" s="456">
        <v>2</v>
      </c>
      <c r="B67" s="457"/>
      <c r="C67" s="105"/>
      <c r="D67" s="195"/>
      <c r="E67" s="192"/>
      <c r="F67" s="458"/>
      <c r="G67" s="459"/>
      <c r="H67" s="459"/>
      <c r="I67" s="459"/>
      <c r="J67" s="460"/>
      <c r="K67" s="461"/>
      <c r="L67" s="461"/>
      <c r="M67" s="51"/>
      <c r="N67" s="462"/>
      <c r="O67" s="462"/>
      <c r="P67" s="463"/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3</v>
      </c>
      <c r="B68" s="457"/>
      <c r="C68" s="105"/>
      <c r="D68" s="195"/>
      <c r="E68" s="192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4</v>
      </c>
      <c r="B69" s="457"/>
      <c r="C69" s="105"/>
      <c r="D69" s="195"/>
      <c r="E69" s="192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5</v>
      </c>
      <c r="B70" s="457"/>
      <c r="C70" s="105"/>
      <c r="D70" s="195"/>
      <c r="E70" s="192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6</v>
      </c>
      <c r="B71" s="457"/>
      <c r="C71" s="105"/>
      <c r="D71" s="195"/>
      <c r="E71" s="192"/>
      <c r="F71" s="458"/>
      <c r="G71" s="459"/>
      <c r="H71" s="459"/>
      <c r="I71" s="459"/>
      <c r="J71" s="460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7</v>
      </c>
      <c r="B72" s="457"/>
      <c r="C72" s="105"/>
      <c r="D72" s="195"/>
      <c r="E72" s="192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8</v>
      </c>
      <c r="B73" s="457"/>
      <c r="C73" s="105"/>
      <c r="D73" s="195"/>
      <c r="E73" s="192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9</v>
      </c>
      <c r="B74" s="457"/>
      <c r="C74" s="105"/>
      <c r="D74" s="195"/>
      <c r="E74" s="192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5.5" customHeight="1">
      <c r="A75" s="456">
        <v>10</v>
      </c>
      <c r="B75" s="457"/>
      <c r="C75" s="105"/>
      <c r="D75" s="195"/>
      <c r="E75" s="192"/>
      <c r="F75" s="468"/>
      <c r="G75" s="461"/>
      <c r="H75" s="461"/>
      <c r="I75" s="461"/>
      <c r="J75" s="461"/>
      <c r="K75" s="461"/>
      <c r="L75" s="461"/>
      <c r="M75" s="51"/>
      <c r="N75" s="462"/>
      <c r="O75" s="462"/>
      <c r="P75" s="463"/>
      <c r="Q75" s="463"/>
      <c r="R75" s="439"/>
      <c r="S75" s="439"/>
      <c r="T75" s="439"/>
      <c r="U75" s="439"/>
      <c r="V75" s="439"/>
      <c r="W75" s="439"/>
      <c r="X75" s="439"/>
      <c r="Y75" s="439"/>
      <c r="Z75" s="439"/>
      <c r="AA75" s="439"/>
      <c r="AB75" s="461"/>
      <c r="AC75" s="461"/>
      <c r="AD75" s="467"/>
      <c r="AF75" s="50"/>
    </row>
    <row r="76" spans="1:32" ht="26.25" customHeight="1" thickBot="1">
      <c r="A76" s="469" t="s">
        <v>305</v>
      </c>
      <c r="B76" s="469"/>
      <c r="C76" s="469"/>
      <c r="D76" s="469"/>
      <c r="E76" s="469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70" t="s">
        <v>111</v>
      </c>
      <c r="B77" s="471"/>
      <c r="C77" s="194" t="s">
        <v>2</v>
      </c>
      <c r="D77" s="194" t="s">
        <v>37</v>
      </c>
      <c r="E77" s="194" t="s">
        <v>3</v>
      </c>
      <c r="F77" s="471" t="s">
        <v>38</v>
      </c>
      <c r="G77" s="471"/>
      <c r="H77" s="471"/>
      <c r="I77" s="471"/>
      <c r="J77" s="471"/>
      <c r="K77" s="472" t="s">
        <v>58</v>
      </c>
      <c r="L77" s="473"/>
      <c r="M77" s="473"/>
      <c r="N77" s="473"/>
      <c r="O77" s="473"/>
      <c r="P77" s="473"/>
      <c r="Q77" s="473"/>
      <c r="R77" s="473"/>
      <c r="S77" s="474"/>
      <c r="T77" s="471" t="s">
        <v>49</v>
      </c>
      <c r="U77" s="471"/>
      <c r="V77" s="472" t="s">
        <v>50</v>
      </c>
      <c r="W77" s="474"/>
      <c r="X77" s="473" t="s">
        <v>51</v>
      </c>
      <c r="Y77" s="473"/>
      <c r="Z77" s="473"/>
      <c r="AA77" s="473"/>
      <c r="AB77" s="473"/>
      <c r="AC77" s="473"/>
      <c r="AD77" s="475"/>
      <c r="AF77" s="50"/>
    </row>
    <row r="78" spans="1:32" ht="33.75" customHeight="1">
      <c r="A78" s="484">
        <v>1</v>
      </c>
      <c r="B78" s="485"/>
      <c r="C78" s="196" t="s">
        <v>112</v>
      </c>
      <c r="D78" s="196"/>
      <c r="E78" s="65" t="s">
        <v>117</v>
      </c>
      <c r="F78" s="486" t="s">
        <v>116</v>
      </c>
      <c r="G78" s="487"/>
      <c r="H78" s="487"/>
      <c r="I78" s="487"/>
      <c r="J78" s="488"/>
      <c r="K78" s="489" t="s">
        <v>122</v>
      </c>
      <c r="L78" s="490"/>
      <c r="M78" s="490"/>
      <c r="N78" s="490"/>
      <c r="O78" s="490"/>
      <c r="P78" s="490"/>
      <c r="Q78" s="490"/>
      <c r="R78" s="490"/>
      <c r="S78" s="491"/>
      <c r="T78" s="492">
        <v>43675</v>
      </c>
      <c r="U78" s="493"/>
      <c r="V78" s="494"/>
      <c r="W78" s="494"/>
      <c r="X78" s="495"/>
      <c r="Y78" s="495"/>
      <c r="Z78" s="495"/>
      <c r="AA78" s="495"/>
      <c r="AB78" s="495"/>
      <c r="AC78" s="495"/>
      <c r="AD78" s="496"/>
      <c r="AF78" s="50"/>
    </row>
    <row r="79" spans="1:32" ht="30" customHeight="1">
      <c r="A79" s="476">
        <f>A78+1</f>
        <v>2</v>
      </c>
      <c r="B79" s="477"/>
      <c r="C79" s="195"/>
      <c r="D79" s="195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ref="A80:A84" si="28">A79+1</f>
        <v>3</v>
      </c>
      <c r="B80" s="477"/>
      <c r="C80" s="195"/>
      <c r="D80" s="195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28"/>
        <v>4</v>
      </c>
      <c r="B81" s="477"/>
      <c r="C81" s="195"/>
      <c r="D81" s="195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28"/>
        <v>5</v>
      </c>
      <c r="B82" s="477"/>
      <c r="C82" s="195"/>
      <c r="D82" s="195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28"/>
        <v>6</v>
      </c>
      <c r="B83" s="477"/>
      <c r="C83" s="195"/>
      <c r="D83" s="195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0" customHeight="1">
      <c r="A84" s="476">
        <f t="shared" si="28"/>
        <v>7</v>
      </c>
      <c r="B84" s="477"/>
      <c r="C84" s="195"/>
      <c r="D84" s="195"/>
      <c r="E84" s="32"/>
      <c r="F84" s="477"/>
      <c r="G84" s="477"/>
      <c r="H84" s="477"/>
      <c r="I84" s="477"/>
      <c r="J84" s="477"/>
      <c r="K84" s="478"/>
      <c r="L84" s="479"/>
      <c r="M84" s="479"/>
      <c r="N84" s="479"/>
      <c r="O84" s="479"/>
      <c r="P84" s="479"/>
      <c r="Q84" s="479"/>
      <c r="R84" s="479"/>
      <c r="S84" s="480"/>
      <c r="T84" s="481"/>
      <c r="U84" s="481"/>
      <c r="V84" s="481"/>
      <c r="W84" s="481"/>
      <c r="X84" s="482"/>
      <c r="Y84" s="482"/>
      <c r="Z84" s="482"/>
      <c r="AA84" s="482"/>
      <c r="AB84" s="482"/>
      <c r="AC84" s="482"/>
      <c r="AD84" s="483"/>
      <c r="AF84" s="50"/>
    </row>
    <row r="85" spans="1:32" ht="36" thickBot="1">
      <c r="A85" s="469" t="s">
        <v>306</v>
      </c>
      <c r="B85" s="469"/>
      <c r="C85" s="469"/>
      <c r="D85" s="469"/>
      <c r="E85" s="469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70" t="s">
        <v>111</v>
      </c>
      <c r="B86" s="471"/>
      <c r="C86" s="497" t="s">
        <v>52</v>
      </c>
      <c r="D86" s="497"/>
      <c r="E86" s="497" t="s">
        <v>53</v>
      </c>
      <c r="F86" s="497"/>
      <c r="G86" s="497"/>
      <c r="H86" s="497"/>
      <c r="I86" s="497"/>
      <c r="J86" s="497"/>
      <c r="K86" s="497" t="s">
        <v>54</v>
      </c>
      <c r="L86" s="497"/>
      <c r="M86" s="497"/>
      <c r="N86" s="497"/>
      <c r="O86" s="497"/>
      <c r="P86" s="497"/>
      <c r="Q86" s="497"/>
      <c r="R86" s="497"/>
      <c r="S86" s="497"/>
      <c r="T86" s="497" t="s">
        <v>55</v>
      </c>
      <c r="U86" s="497"/>
      <c r="V86" s="497" t="s">
        <v>56</v>
      </c>
      <c r="W86" s="497"/>
      <c r="X86" s="497"/>
      <c r="Y86" s="497" t="s">
        <v>51</v>
      </c>
      <c r="Z86" s="497"/>
      <c r="AA86" s="497"/>
      <c r="AB86" s="497"/>
      <c r="AC86" s="497"/>
      <c r="AD86" s="498"/>
      <c r="AF86" s="50"/>
    </row>
    <row r="87" spans="1:32" ht="30.75" customHeight="1">
      <c r="A87" s="484">
        <v>1</v>
      </c>
      <c r="B87" s="485"/>
      <c r="C87" s="499"/>
      <c r="D87" s="499"/>
      <c r="E87" s="499"/>
      <c r="F87" s="499"/>
      <c r="G87" s="499"/>
      <c r="H87" s="499"/>
      <c r="I87" s="499"/>
      <c r="J87" s="499"/>
      <c r="K87" s="499"/>
      <c r="L87" s="499"/>
      <c r="M87" s="499"/>
      <c r="N87" s="499"/>
      <c r="O87" s="499"/>
      <c r="P87" s="499"/>
      <c r="Q87" s="499"/>
      <c r="R87" s="499"/>
      <c r="S87" s="499"/>
      <c r="T87" s="499"/>
      <c r="U87" s="499"/>
      <c r="V87" s="500"/>
      <c r="W87" s="500"/>
      <c r="X87" s="500"/>
      <c r="Y87" s="501"/>
      <c r="Z87" s="501"/>
      <c r="AA87" s="501"/>
      <c r="AB87" s="501"/>
      <c r="AC87" s="501"/>
      <c r="AD87" s="502"/>
      <c r="AF87" s="50"/>
    </row>
    <row r="88" spans="1:32" ht="30.75" customHeight="1">
      <c r="A88" s="476">
        <v>2</v>
      </c>
      <c r="B88" s="477"/>
      <c r="C88" s="510"/>
      <c r="D88" s="510"/>
      <c r="E88" s="510"/>
      <c r="F88" s="510"/>
      <c r="G88" s="510"/>
      <c r="H88" s="510"/>
      <c r="I88" s="510"/>
      <c r="J88" s="510"/>
      <c r="K88" s="510"/>
      <c r="L88" s="510"/>
      <c r="M88" s="510"/>
      <c r="N88" s="510"/>
      <c r="O88" s="510"/>
      <c r="P88" s="510"/>
      <c r="Q88" s="510"/>
      <c r="R88" s="510"/>
      <c r="S88" s="510"/>
      <c r="T88" s="511"/>
      <c r="U88" s="511"/>
      <c r="V88" s="512"/>
      <c r="W88" s="512"/>
      <c r="X88" s="512"/>
      <c r="Y88" s="503"/>
      <c r="Z88" s="503"/>
      <c r="AA88" s="503"/>
      <c r="AB88" s="503"/>
      <c r="AC88" s="503"/>
      <c r="AD88" s="504"/>
      <c r="AF88" s="50"/>
    </row>
    <row r="89" spans="1:32" ht="30.75" customHeight="1" thickBot="1">
      <c r="A89" s="505">
        <v>3</v>
      </c>
      <c r="B89" s="506"/>
      <c r="C89" s="507"/>
      <c r="D89" s="507"/>
      <c r="E89" s="507"/>
      <c r="F89" s="507"/>
      <c r="G89" s="507"/>
      <c r="H89" s="507"/>
      <c r="I89" s="507"/>
      <c r="J89" s="507"/>
      <c r="K89" s="507"/>
      <c r="L89" s="507"/>
      <c r="M89" s="507"/>
      <c r="N89" s="507"/>
      <c r="O89" s="507"/>
      <c r="P89" s="507"/>
      <c r="Q89" s="507"/>
      <c r="R89" s="507"/>
      <c r="S89" s="507"/>
      <c r="T89" s="507"/>
      <c r="U89" s="507"/>
      <c r="V89" s="507"/>
      <c r="W89" s="507"/>
      <c r="X89" s="507"/>
      <c r="Y89" s="508"/>
      <c r="Z89" s="508"/>
      <c r="AA89" s="508"/>
      <c r="AB89" s="508"/>
      <c r="AC89" s="508"/>
      <c r="AD89" s="509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4F7D-B83D-4483-9AE9-C23FAF05EB14}">
  <sheetPr codeName="Sheet9"/>
  <dimension ref="A1:AF87"/>
  <sheetViews>
    <sheetView view="pageBreakPreview" zoomScale="70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307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208" t="s">
        <v>17</v>
      </c>
      <c r="L5" s="208" t="s">
        <v>18</v>
      </c>
      <c r="M5" s="208" t="s">
        <v>19</v>
      </c>
      <c r="N5" s="20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135</v>
      </c>
      <c r="E6" s="53" t="s">
        <v>270</v>
      </c>
      <c r="F6" s="30" t="s">
        <v>131</v>
      </c>
      <c r="G6" s="12">
        <v>1</v>
      </c>
      <c r="H6" s="13">
        <v>24</v>
      </c>
      <c r="I6" s="31">
        <v>11000</v>
      </c>
      <c r="J6" s="5">
        <v>3561</v>
      </c>
      <c r="K6" s="15">
        <f>L6+5378</f>
        <v>8939</v>
      </c>
      <c r="L6" s="15">
        <f>2754+807</f>
        <v>3561</v>
      </c>
      <c r="M6" s="15">
        <f t="shared" ref="M6:M21" si="0">L6-N6</f>
        <v>3561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18</v>
      </c>
      <c r="Q6" s="40">
        <f t="shared" ref="Q6:Q21" si="3">SUM(R6:AA6)</f>
        <v>6</v>
      </c>
      <c r="R6" s="7"/>
      <c r="S6" s="6">
        <v>6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0.75</v>
      </c>
      <c r="AD6" s="10">
        <f t="shared" ref="AD6:AD21" si="6">AC6*AB6*(1-O6)</f>
        <v>0.75</v>
      </c>
      <c r="AE6" s="36">
        <f>$AD$21</f>
        <v>0.5</v>
      </c>
      <c r="AF6" s="84">
        <f t="shared" ref="AF6:AF21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308</v>
      </c>
      <c r="F7" s="12" t="s">
        <v>131</v>
      </c>
      <c r="G7" s="12">
        <v>1</v>
      </c>
      <c r="H7" s="13">
        <v>24</v>
      </c>
      <c r="I7" s="31">
        <v>10000</v>
      </c>
      <c r="J7" s="14">
        <v>3036</v>
      </c>
      <c r="K7" s="15">
        <f>L7</f>
        <v>3036</v>
      </c>
      <c r="L7" s="15">
        <f>3036</f>
        <v>3036</v>
      </c>
      <c r="M7" s="15">
        <f t="shared" si="0"/>
        <v>3036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>
        <v>10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6">
        <f t="shared" ref="AE7:AE21" si="8">$AD$22</f>
        <v>0.57552083333333337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228</v>
      </c>
      <c r="E8" s="53" t="s">
        <v>246</v>
      </c>
      <c r="F8" s="30" t="s">
        <v>124</v>
      </c>
      <c r="G8" s="33">
        <v>1</v>
      </c>
      <c r="H8" s="35">
        <v>24</v>
      </c>
      <c r="I8" s="7">
        <v>17000</v>
      </c>
      <c r="J8" s="14">
        <v>5388</v>
      </c>
      <c r="K8" s="15">
        <f>L8+5318+5828+5388</f>
        <v>16534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8"/>
        <v>0.57552083333333337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191</v>
      </c>
      <c r="E9" s="53" t="s">
        <v>192</v>
      </c>
      <c r="F9" s="30" t="s">
        <v>195</v>
      </c>
      <c r="G9" s="33">
        <v>1</v>
      </c>
      <c r="H9" s="35">
        <v>24</v>
      </c>
      <c r="I9" s="7">
        <v>24000</v>
      </c>
      <c r="J9" s="14">
        <v>1825</v>
      </c>
      <c r="K9" s="15">
        <f>L9+4275+4281+3934+3095+2209+2640</f>
        <v>22259</v>
      </c>
      <c r="L9" s="15">
        <f>1825</f>
        <v>1825</v>
      </c>
      <c r="M9" s="15">
        <f t="shared" si="0"/>
        <v>1825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6">
        <f t="shared" si="8"/>
        <v>0.57552083333333337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144</v>
      </c>
      <c r="F10" s="30" t="s">
        <v>173</v>
      </c>
      <c r="G10" s="33">
        <v>4</v>
      </c>
      <c r="H10" s="35">
        <v>24</v>
      </c>
      <c r="I10" s="7">
        <v>250000</v>
      </c>
      <c r="J10" s="5">
        <v>41172</v>
      </c>
      <c r="K10" s="15">
        <f>L10+25160+41576+41808+39572+33444+41972+41496+41236+41760</f>
        <v>389196</v>
      </c>
      <c r="L10" s="15">
        <f>5502*4+4791*4</f>
        <v>41172</v>
      </c>
      <c r="M10" s="15">
        <f t="shared" si="0"/>
        <v>41172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8"/>
        <v>0.57552083333333337</v>
      </c>
      <c r="AF10" s="84">
        <f t="shared" si="7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115</v>
      </c>
      <c r="E11" s="53" t="s">
        <v>251</v>
      </c>
      <c r="F11" s="30" t="s">
        <v>263</v>
      </c>
      <c r="G11" s="12">
        <v>1</v>
      </c>
      <c r="H11" s="13">
        <v>28</v>
      </c>
      <c r="I11" s="7">
        <v>10000</v>
      </c>
      <c r="J11" s="14">
        <v>5937</v>
      </c>
      <c r="K11" s="15">
        <f>L11+2363+3623</f>
        <v>11923</v>
      </c>
      <c r="L11" s="15">
        <f>2893+3044</f>
        <v>5937</v>
      </c>
      <c r="M11" s="15">
        <f t="shared" si="0"/>
        <v>5937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8"/>
        <v>0.57552083333333337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115</v>
      </c>
      <c r="E12" s="53" t="s">
        <v>167</v>
      </c>
      <c r="F12" s="30" t="s">
        <v>119</v>
      </c>
      <c r="G12" s="12">
        <v>1</v>
      </c>
      <c r="H12" s="13">
        <v>28</v>
      </c>
      <c r="I12" s="7">
        <v>69000</v>
      </c>
      <c r="J12" s="14">
        <v>4969</v>
      </c>
      <c r="K12" s="15">
        <f>L12+2806+5234+5319+5378+5411+789+4935+3007+4151+5463+4141+4654+5072+5297+3305</f>
        <v>69931</v>
      </c>
      <c r="L12" s="15">
        <f>2304+2665</f>
        <v>4969</v>
      </c>
      <c r="M12" s="15">
        <f t="shared" si="0"/>
        <v>4969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8"/>
        <v>0.57552083333333337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143</v>
      </c>
      <c r="F13" s="30" t="s">
        <v>125</v>
      </c>
      <c r="G13" s="33">
        <v>2</v>
      </c>
      <c r="H13" s="35">
        <v>24</v>
      </c>
      <c r="I13" s="7">
        <v>100000</v>
      </c>
      <c r="J13" s="5">
        <v>13713</v>
      </c>
      <c r="K13" s="15">
        <f>L13+15096</f>
        <v>28809</v>
      </c>
      <c r="L13" s="15">
        <f>1547*3+3024*3</f>
        <v>13713</v>
      </c>
      <c r="M13" s="15">
        <f t="shared" si="0"/>
        <v>13713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>AC13*AB13*(1-O13)</f>
        <v>0.83333333333333337</v>
      </c>
      <c r="AE13" s="36">
        <f t="shared" si="8"/>
        <v>0.57552083333333337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174</v>
      </c>
      <c r="F14" s="30" t="s">
        <v>177</v>
      </c>
      <c r="G14" s="33">
        <v>1</v>
      </c>
      <c r="H14" s="35">
        <v>24</v>
      </c>
      <c r="I14" s="7">
        <v>300</v>
      </c>
      <c r="J14" s="5">
        <v>376</v>
      </c>
      <c r="K14" s="15">
        <f>L14+376</f>
        <v>376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8"/>
        <v>0.57552083333333337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135</v>
      </c>
      <c r="E15" s="53" t="s">
        <v>253</v>
      </c>
      <c r="F15" s="12" t="s">
        <v>131</v>
      </c>
      <c r="G15" s="12">
        <v>1</v>
      </c>
      <c r="H15" s="13">
        <v>24</v>
      </c>
      <c r="I15" s="31">
        <v>550</v>
      </c>
      <c r="J15" s="14">
        <v>726</v>
      </c>
      <c r="K15" s="15">
        <f>L15+726</f>
        <v>726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8"/>
        <v>0.57552083333333337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</f>
        <v>54164</v>
      </c>
      <c r="L16" s="15">
        <f>820*2</f>
        <v>1640</v>
      </c>
      <c r="M16" s="15">
        <f t="shared" si="0"/>
        <v>1640</v>
      </c>
      <c r="N16" s="15">
        <v>0</v>
      </c>
      <c r="O16" s="58">
        <f t="shared" si="1"/>
        <v>0</v>
      </c>
      <c r="P16" s="39">
        <f t="shared" si="2"/>
        <v>5</v>
      </c>
      <c r="Q16" s="40">
        <f t="shared" si="3"/>
        <v>19</v>
      </c>
      <c r="R16" s="7">
        <v>19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0.20833333333333334</v>
      </c>
      <c r="AD16" s="10">
        <f t="shared" si="6"/>
        <v>0.20833333333333334</v>
      </c>
      <c r="AE16" s="36">
        <f t="shared" si="8"/>
        <v>0.57552083333333337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207</v>
      </c>
      <c r="E17" s="53" t="s">
        <v>232</v>
      </c>
      <c r="F17" s="30" t="s">
        <v>281</v>
      </c>
      <c r="G17" s="12">
        <v>2</v>
      </c>
      <c r="H17" s="13">
        <v>24</v>
      </c>
      <c r="I17" s="7">
        <v>15000</v>
      </c>
      <c r="J17" s="14">
        <v>13080</v>
      </c>
      <c r="K17" s="15">
        <f>L17+8006+13914</f>
        <v>35000</v>
      </c>
      <c r="L17" s="15">
        <f>3213*2+3327*2</f>
        <v>13080</v>
      </c>
      <c r="M17" s="15">
        <f t="shared" si="0"/>
        <v>13080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8"/>
        <v>0.57552083333333337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294</v>
      </c>
      <c r="E18" s="53" t="s">
        <v>293</v>
      </c>
      <c r="F18" s="30" t="s">
        <v>139</v>
      </c>
      <c r="G18" s="33">
        <v>1</v>
      </c>
      <c r="H18" s="35">
        <v>24</v>
      </c>
      <c r="I18" s="7">
        <v>10000</v>
      </c>
      <c r="J18" s="14">
        <v>4538</v>
      </c>
      <c r="K18" s="15">
        <f>L18+2794</f>
        <v>7332</v>
      </c>
      <c r="L18" s="15">
        <f>1249+3289</f>
        <v>4538</v>
      </c>
      <c r="M18" s="15">
        <f t="shared" si="0"/>
        <v>4538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6">
        <f t="shared" si="8"/>
        <v>0.57552083333333337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121</v>
      </c>
      <c r="D19" s="52" t="s">
        <v>309</v>
      </c>
      <c r="E19" s="53" t="s">
        <v>310</v>
      </c>
      <c r="F19" s="30" t="s">
        <v>139</v>
      </c>
      <c r="G19" s="33" t="s">
        <v>157</v>
      </c>
      <c r="H19" s="35">
        <v>24</v>
      </c>
      <c r="I19" s="7">
        <v>3200</v>
      </c>
      <c r="J19" s="5">
        <v>2187</v>
      </c>
      <c r="K19" s="15">
        <f>L19</f>
        <v>2187</v>
      </c>
      <c r="L19" s="15">
        <f>502+1685</f>
        <v>2187</v>
      </c>
      <c r="M19" s="15">
        <f t="shared" si="0"/>
        <v>2187</v>
      </c>
      <c r="N19" s="15">
        <v>0</v>
      </c>
      <c r="O19" s="58">
        <f t="shared" si="1"/>
        <v>0</v>
      </c>
      <c r="P19" s="39">
        <f t="shared" si="2"/>
        <v>14</v>
      </c>
      <c r="Q19" s="40">
        <f t="shared" si="3"/>
        <v>10</v>
      </c>
      <c r="R19" s="7"/>
      <c r="S19" s="6">
        <v>10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0.58333333333333337</v>
      </c>
      <c r="AD19" s="10">
        <f>AC19*AB19*(1-O19)</f>
        <v>0.58333333333333337</v>
      </c>
      <c r="AE19" s="36">
        <f t="shared" si="8"/>
        <v>0.57552083333333337</v>
      </c>
      <c r="AF19" s="84">
        <f t="shared" si="7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166</v>
      </c>
      <c r="F20" s="30" t="s">
        <v>119</v>
      </c>
      <c r="G20" s="12">
        <v>1</v>
      </c>
      <c r="H20" s="13">
        <v>28</v>
      </c>
      <c r="I20" s="31">
        <v>40000</v>
      </c>
      <c r="J20" s="5">
        <v>2502</v>
      </c>
      <c r="K20" s="15">
        <f>L20+2503+4146+3422+2211+1805+550+1849+2614+2495+1614+1413+464+2031+1384+2779+3110+1852</f>
        <v>38744</v>
      </c>
      <c r="L20" s="15">
        <f>1410+1092</f>
        <v>2502</v>
      </c>
      <c r="M20" s="15">
        <f t="shared" si="0"/>
        <v>2502</v>
      </c>
      <c r="N20" s="15">
        <v>0</v>
      </c>
      <c r="O20" s="58">
        <f t="shared" si="1"/>
        <v>0</v>
      </c>
      <c r="P20" s="39">
        <f t="shared" si="2"/>
        <v>11</v>
      </c>
      <c r="Q20" s="40">
        <f t="shared" si="3"/>
        <v>13</v>
      </c>
      <c r="R20" s="7"/>
      <c r="S20" s="6">
        <v>13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0.45833333333333331</v>
      </c>
      <c r="AD20" s="10">
        <f t="shared" ref="AD20" si="10">AC20*AB20*(1-O20)</f>
        <v>0.45833333333333331</v>
      </c>
      <c r="AE20" s="36">
        <f t="shared" si="8"/>
        <v>0.57552083333333337</v>
      </c>
      <c r="AF20" s="84">
        <f t="shared" si="7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144</v>
      </c>
      <c r="F21" s="12" t="s">
        <v>114</v>
      </c>
      <c r="G21" s="12">
        <v>4</v>
      </c>
      <c r="H21" s="35">
        <v>20</v>
      </c>
      <c r="I21" s="7">
        <v>500000</v>
      </c>
      <c r="J21" s="14">
        <v>40128</v>
      </c>
      <c r="K21" s="15">
        <f>L21+27600+41540+42440+43780+40264</f>
        <v>235752</v>
      </c>
      <c r="L21" s="15">
        <f>10032*4</f>
        <v>40128</v>
      </c>
      <c r="M21" s="15">
        <f t="shared" si="0"/>
        <v>40128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8"/>
        <v>0.57552083333333337</v>
      </c>
      <c r="AF21" s="84">
        <f t="shared" si="7"/>
        <v>16</v>
      </c>
    </row>
    <row r="22" spans="1:32" ht="31.5" customHeight="1" thickBot="1">
      <c r="A22" s="405" t="s">
        <v>34</v>
      </c>
      <c r="B22" s="406"/>
      <c r="C22" s="406"/>
      <c r="D22" s="406"/>
      <c r="E22" s="406"/>
      <c r="F22" s="406"/>
      <c r="G22" s="406"/>
      <c r="H22" s="407"/>
      <c r="I22" s="22">
        <f t="shared" ref="I22:N22" si="11">SUM(I6:I21)</f>
        <v>1360050</v>
      </c>
      <c r="J22" s="19">
        <f t="shared" si="11"/>
        <v>144778</v>
      </c>
      <c r="K22" s="20">
        <f t="shared" si="11"/>
        <v>924908</v>
      </c>
      <c r="L22" s="21">
        <f t="shared" si="11"/>
        <v>138288</v>
      </c>
      <c r="M22" s="20">
        <f t="shared" si="11"/>
        <v>138288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221</v>
      </c>
      <c r="Q22" s="43">
        <f t="shared" si="12"/>
        <v>163</v>
      </c>
      <c r="R22" s="23">
        <f t="shared" si="12"/>
        <v>19</v>
      </c>
      <c r="S22" s="24">
        <f t="shared" si="12"/>
        <v>60</v>
      </c>
      <c r="T22" s="24">
        <f t="shared" si="12"/>
        <v>0</v>
      </c>
      <c r="U22" s="24">
        <f t="shared" si="12"/>
        <v>0</v>
      </c>
      <c r="V22" s="25">
        <f t="shared" si="12"/>
        <v>12</v>
      </c>
      <c r="W22" s="26">
        <f t="shared" si="12"/>
        <v>72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0</v>
      </c>
      <c r="AB22" s="28">
        <f>AVERAGE(AB6:AB21)</f>
        <v>0.8125</v>
      </c>
      <c r="AC22" s="4">
        <f>AVERAGE(AC6:AC21)</f>
        <v>0.57552083333333337</v>
      </c>
      <c r="AD22" s="4">
        <f>AVERAGE(AD6:AD21)</f>
        <v>0.57552083333333337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08" t="s">
        <v>45</v>
      </c>
      <c r="B49" s="408"/>
      <c r="C49" s="408"/>
      <c r="D49" s="408"/>
      <c r="E49" s="40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09" t="s">
        <v>311</v>
      </c>
      <c r="B50" s="410"/>
      <c r="C50" s="410"/>
      <c r="D50" s="410"/>
      <c r="E50" s="410"/>
      <c r="F50" s="410"/>
      <c r="G50" s="410"/>
      <c r="H50" s="410"/>
      <c r="I50" s="410"/>
      <c r="J50" s="410"/>
      <c r="K50" s="410"/>
      <c r="L50" s="410"/>
      <c r="M50" s="411"/>
      <c r="N50" s="412" t="s">
        <v>317</v>
      </c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3"/>
      <c r="AA50" s="413"/>
      <c r="AB50" s="413"/>
      <c r="AC50" s="413"/>
      <c r="AD50" s="414"/>
    </row>
    <row r="51" spans="1:32" ht="27" customHeight="1">
      <c r="A51" s="415" t="s">
        <v>2</v>
      </c>
      <c r="B51" s="416"/>
      <c r="C51" s="207" t="s">
        <v>46</v>
      </c>
      <c r="D51" s="207" t="s">
        <v>47</v>
      </c>
      <c r="E51" s="207" t="s">
        <v>107</v>
      </c>
      <c r="F51" s="417" t="s">
        <v>106</v>
      </c>
      <c r="G51" s="418"/>
      <c r="H51" s="418"/>
      <c r="I51" s="418"/>
      <c r="J51" s="418"/>
      <c r="K51" s="418"/>
      <c r="L51" s="418"/>
      <c r="M51" s="419"/>
      <c r="N51" s="67" t="s">
        <v>110</v>
      </c>
      <c r="O51" s="207" t="s">
        <v>46</v>
      </c>
      <c r="P51" s="417" t="s">
        <v>47</v>
      </c>
      <c r="Q51" s="420"/>
      <c r="R51" s="417" t="s">
        <v>38</v>
      </c>
      <c r="S51" s="418"/>
      <c r="T51" s="418"/>
      <c r="U51" s="420"/>
      <c r="V51" s="417" t="s">
        <v>48</v>
      </c>
      <c r="W51" s="418"/>
      <c r="X51" s="418"/>
      <c r="Y51" s="418"/>
      <c r="Z51" s="418"/>
      <c r="AA51" s="418"/>
      <c r="AB51" s="418"/>
      <c r="AC51" s="418"/>
      <c r="AD51" s="419"/>
    </row>
    <row r="52" spans="1:32" ht="27" customHeight="1">
      <c r="A52" s="431" t="s">
        <v>120</v>
      </c>
      <c r="B52" s="432"/>
      <c r="C52" s="204" t="s">
        <v>148</v>
      </c>
      <c r="D52" s="204" t="s">
        <v>115</v>
      </c>
      <c r="E52" s="204" t="s">
        <v>166</v>
      </c>
      <c r="F52" s="433" t="s">
        <v>312</v>
      </c>
      <c r="G52" s="434"/>
      <c r="H52" s="434"/>
      <c r="I52" s="434"/>
      <c r="J52" s="434"/>
      <c r="K52" s="434"/>
      <c r="L52" s="434"/>
      <c r="M52" s="435"/>
      <c r="N52" s="203" t="s">
        <v>120</v>
      </c>
      <c r="O52" s="201" t="s">
        <v>136</v>
      </c>
      <c r="P52" s="436" t="s">
        <v>135</v>
      </c>
      <c r="Q52" s="437"/>
      <c r="R52" s="436" t="s">
        <v>270</v>
      </c>
      <c r="S52" s="438"/>
      <c r="T52" s="438"/>
      <c r="U52" s="437"/>
      <c r="V52" s="439" t="s">
        <v>133</v>
      </c>
      <c r="W52" s="439"/>
      <c r="X52" s="439"/>
      <c r="Y52" s="439"/>
      <c r="Z52" s="439"/>
      <c r="AA52" s="439"/>
      <c r="AB52" s="439"/>
      <c r="AC52" s="439"/>
      <c r="AD52" s="440"/>
    </row>
    <row r="53" spans="1:32" ht="27" customHeight="1">
      <c r="A53" s="431" t="s">
        <v>120</v>
      </c>
      <c r="B53" s="432"/>
      <c r="C53" s="204" t="s">
        <v>190</v>
      </c>
      <c r="D53" s="204" t="s">
        <v>191</v>
      </c>
      <c r="E53" s="204" t="s">
        <v>192</v>
      </c>
      <c r="F53" s="433" t="s">
        <v>313</v>
      </c>
      <c r="G53" s="434"/>
      <c r="H53" s="434"/>
      <c r="I53" s="434"/>
      <c r="J53" s="434"/>
      <c r="K53" s="434"/>
      <c r="L53" s="434"/>
      <c r="M53" s="435"/>
      <c r="N53" s="203" t="s">
        <v>120</v>
      </c>
      <c r="O53" s="201" t="s">
        <v>190</v>
      </c>
      <c r="P53" s="436" t="s">
        <v>191</v>
      </c>
      <c r="Q53" s="437"/>
      <c r="R53" s="436" t="s">
        <v>192</v>
      </c>
      <c r="S53" s="438"/>
      <c r="T53" s="438"/>
      <c r="U53" s="437"/>
      <c r="V53" s="439" t="s">
        <v>133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120</v>
      </c>
      <c r="B54" s="432"/>
      <c r="C54" s="204" t="s">
        <v>127</v>
      </c>
      <c r="D54" s="204" t="s">
        <v>135</v>
      </c>
      <c r="E54" s="204" t="s">
        <v>314</v>
      </c>
      <c r="F54" s="433" t="s">
        <v>118</v>
      </c>
      <c r="G54" s="434"/>
      <c r="H54" s="434"/>
      <c r="I54" s="434"/>
      <c r="J54" s="434"/>
      <c r="K54" s="434"/>
      <c r="L54" s="434"/>
      <c r="M54" s="435"/>
      <c r="N54" s="203" t="s">
        <v>121</v>
      </c>
      <c r="O54" s="201" t="s">
        <v>223</v>
      </c>
      <c r="P54" s="436"/>
      <c r="Q54" s="437"/>
      <c r="R54" s="436" t="s">
        <v>303</v>
      </c>
      <c r="S54" s="438"/>
      <c r="T54" s="438"/>
      <c r="U54" s="437"/>
      <c r="V54" s="439" t="s">
        <v>133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120</v>
      </c>
      <c r="B55" s="432"/>
      <c r="C55" s="204" t="s">
        <v>136</v>
      </c>
      <c r="D55" s="204" t="s">
        <v>135</v>
      </c>
      <c r="E55" s="204" t="s">
        <v>315</v>
      </c>
      <c r="F55" s="433" t="s">
        <v>316</v>
      </c>
      <c r="G55" s="434"/>
      <c r="H55" s="434"/>
      <c r="I55" s="434"/>
      <c r="J55" s="434"/>
      <c r="K55" s="434"/>
      <c r="L55" s="434"/>
      <c r="M55" s="435"/>
      <c r="N55" s="203" t="s">
        <v>120</v>
      </c>
      <c r="O55" s="201" t="s">
        <v>148</v>
      </c>
      <c r="P55" s="436" t="s">
        <v>115</v>
      </c>
      <c r="Q55" s="437"/>
      <c r="R55" s="436" t="s">
        <v>166</v>
      </c>
      <c r="S55" s="438"/>
      <c r="T55" s="438"/>
      <c r="U55" s="437"/>
      <c r="V55" s="439" t="s">
        <v>133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120</v>
      </c>
      <c r="B56" s="432"/>
      <c r="C56" s="204" t="s">
        <v>187</v>
      </c>
      <c r="D56" s="204" t="s">
        <v>294</v>
      </c>
      <c r="E56" s="204" t="s">
        <v>293</v>
      </c>
      <c r="F56" s="433" t="s">
        <v>133</v>
      </c>
      <c r="G56" s="434"/>
      <c r="H56" s="434"/>
      <c r="I56" s="434"/>
      <c r="J56" s="434"/>
      <c r="K56" s="434"/>
      <c r="L56" s="434"/>
      <c r="M56" s="435"/>
      <c r="N56" s="203"/>
      <c r="O56" s="201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121</v>
      </c>
      <c r="B57" s="432"/>
      <c r="C57" s="204" t="s">
        <v>223</v>
      </c>
      <c r="D57" s="204" t="s">
        <v>309</v>
      </c>
      <c r="E57" s="204" t="s">
        <v>318</v>
      </c>
      <c r="F57" s="433" t="s">
        <v>319</v>
      </c>
      <c r="G57" s="434"/>
      <c r="H57" s="434"/>
      <c r="I57" s="434"/>
      <c r="J57" s="434"/>
      <c r="K57" s="434"/>
      <c r="L57" s="434"/>
      <c r="M57" s="435"/>
      <c r="N57" s="203"/>
      <c r="O57" s="201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/>
      <c r="B58" s="432"/>
      <c r="C58" s="204"/>
      <c r="D58" s="204"/>
      <c r="E58" s="204"/>
      <c r="F58" s="433"/>
      <c r="G58" s="434"/>
      <c r="H58" s="434"/>
      <c r="I58" s="434"/>
      <c r="J58" s="434"/>
      <c r="K58" s="434"/>
      <c r="L58" s="434"/>
      <c r="M58" s="435"/>
      <c r="N58" s="203"/>
      <c r="O58" s="201"/>
      <c r="P58" s="436"/>
      <c r="Q58" s="437"/>
      <c r="R58" s="432"/>
      <c r="S58" s="432"/>
      <c r="T58" s="432"/>
      <c r="U58" s="432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204"/>
      <c r="D59" s="204"/>
      <c r="E59" s="204"/>
      <c r="F59" s="433"/>
      <c r="G59" s="434"/>
      <c r="H59" s="434"/>
      <c r="I59" s="434"/>
      <c r="J59" s="434"/>
      <c r="K59" s="434"/>
      <c r="L59" s="434"/>
      <c r="M59" s="435"/>
      <c r="N59" s="203"/>
      <c r="O59" s="201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204"/>
      <c r="D60" s="204"/>
      <c r="E60" s="204"/>
      <c r="F60" s="433"/>
      <c r="G60" s="434"/>
      <c r="H60" s="434"/>
      <c r="I60" s="434"/>
      <c r="J60" s="434"/>
      <c r="K60" s="434"/>
      <c r="L60" s="434"/>
      <c r="M60" s="435"/>
      <c r="N60" s="203"/>
      <c r="O60" s="201"/>
      <c r="P60" s="432"/>
      <c r="Q60" s="432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  <c r="AF60" s="84">
        <f>8*3000</f>
        <v>24000</v>
      </c>
    </row>
    <row r="61" spans="1:32" ht="27" customHeight="1" thickBot="1">
      <c r="A61" s="441"/>
      <c r="B61" s="442"/>
      <c r="C61" s="205"/>
      <c r="D61" s="206"/>
      <c r="E61" s="206"/>
      <c r="F61" s="443"/>
      <c r="G61" s="444"/>
      <c r="H61" s="444"/>
      <c r="I61" s="444"/>
      <c r="J61" s="444"/>
      <c r="K61" s="444"/>
      <c r="L61" s="444"/>
      <c r="M61" s="445"/>
      <c r="N61" s="112"/>
      <c r="O61" s="103"/>
      <c r="P61" s="446"/>
      <c r="Q61" s="446"/>
      <c r="R61" s="446"/>
      <c r="S61" s="446"/>
      <c r="T61" s="446"/>
      <c r="U61" s="446"/>
      <c r="V61" s="447"/>
      <c r="W61" s="447"/>
      <c r="X61" s="447"/>
      <c r="Y61" s="447"/>
      <c r="Z61" s="447"/>
      <c r="AA61" s="447"/>
      <c r="AB61" s="447"/>
      <c r="AC61" s="447"/>
      <c r="AD61" s="448"/>
      <c r="AF61" s="84">
        <f>16*3000</f>
        <v>48000</v>
      </c>
    </row>
    <row r="62" spans="1:32" ht="27.75" thickBot="1">
      <c r="A62" s="449" t="s">
        <v>320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0" t="s">
        <v>111</v>
      </c>
      <c r="B63" s="451"/>
      <c r="C63" s="202" t="s">
        <v>2</v>
      </c>
      <c r="D63" s="202" t="s">
        <v>37</v>
      </c>
      <c r="E63" s="202" t="s">
        <v>3</v>
      </c>
      <c r="F63" s="451" t="s">
        <v>109</v>
      </c>
      <c r="G63" s="451"/>
      <c r="H63" s="451"/>
      <c r="I63" s="451"/>
      <c r="J63" s="451"/>
      <c r="K63" s="451" t="s">
        <v>39</v>
      </c>
      <c r="L63" s="451"/>
      <c r="M63" s="202" t="s">
        <v>40</v>
      </c>
      <c r="N63" s="451" t="s">
        <v>41</v>
      </c>
      <c r="O63" s="451"/>
      <c r="P63" s="452" t="s">
        <v>42</v>
      </c>
      <c r="Q63" s="453"/>
      <c r="R63" s="452" t="s">
        <v>43</v>
      </c>
      <c r="S63" s="454"/>
      <c r="T63" s="454"/>
      <c r="U63" s="454"/>
      <c r="V63" s="454"/>
      <c r="W63" s="454"/>
      <c r="X63" s="454"/>
      <c r="Y63" s="454"/>
      <c r="Z63" s="454"/>
      <c r="AA63" s="453"/>
      <c r="AB63" s="451" t="s">
        <v>44</v>
      </c>
      <c r="AC63" s="451"/>
      <c r="AD63" s="455"/>
      <c r="AF63" s="84">
        <f>SUM(AF60:AF62)</f>
        <v>96000</v>
      </c>
    </row>
    <row r="64" spans="1:32" ht="25.5" customHeight="1">
      <c r="A64" s="456">
        <v>1</v>
      </c>
      <c r="B64" s="457"/>
      <c r="C64" s="105"/>
      <c r="D64" s="197"/>
      <c r="E64" s="200"/>
      <c r="F64" s="458"/>
      <c r="G64" s="459"/>
      <c r="H64" s="459"/>
      <c r="I64" s="459"/>
      <c r="J64" s="460"/>
      <c r="K64" s="461"/>
      <c r="L64" s="461"/>
      <c r="M64" s="51"/>
      <c r="N64" s="462"/>
      <c r="O64" s="462"/>
      <c r="P64" s="463"/>
      <c r="Q64" s="463"/>
      <c r="R64" s="439"/>
      <c r="S64" s="439"/>
      <c r="T64" s="439"/>
      <c r="U64" s="439"/>
      <c r="V64" s="439"/>
      <c r="W64" s="439"/>
      <c r="X64" s="439"/>
      <c r="Y64" s="439"/>
      <c r="Z64" s="439"/>
      <c r="AA64" s="439"/>
      <c r="AB64" s="464"/>
      <c r="AC64" s="465"/>
      <c r="AD64" s="466"/>
      <c r="AF64" s="50"/>
    </row>
    <row r="65" spans="1:32" ht="25.5" customHeight="1">
      <c r="A65" s="456">
        <v>2</v>
      </c>
      <c r="B65" s="457"/>
      <c r="C65" s="105"/>
      <c r="D65" s="197"/>
      <c r="E65" s="200"/>
      <c r="F65" s="458"/>
      <c r="G65" s="459"/>
      <c r="H65" s="459"/>
      <c r="I65" s="459"/>
      <c r="J65" s="460"/>
      <c r="K65" s="461"/>
      <c r="L65" s="461"/>
      <c r="M65" s="51"/>
      <c r="N65" s="462"/>
      <c r="O65" s="462"/>
      <c r="P65" s="463"/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1"/>
      <c r="AC65" s="461"/>
      <c r="AD65" s="467"/>
      <c r="AF65" s="50"/>
    </row>
    <row r="66" spans="1:32" ht="25.5" customHeight="1">
      <c r="A66" s="456">
        <v>3</v>
      </c>
      <c r="B66" s="457"/>
      <c r="C66" s="105"/>
      <c r="D66" s="197"/>
      <c r="E66" s="200"/>
      <c r="F66" s="458"/>
      <c r="G66" s="459"/>
      <c r="H66" s="459"/>
      <c r="I66" s="459"/>
      <c r="J66" s="460"/>
      <c r="K66" s="461"/>
      <c r="L66" s="461"/>
      <c r="M66" s="51"/>
      <c r="N66" s="462"/>
      <c r="O66" s="462"/>
      <c r="P66" s="463"/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4</v>
      </c>
      <c r="B67" s="457"/>
      <c r="C67" s="105"/>
      <c r="D67" s="197"/>
      <c r="E67" s="200"/>
      <c r="F67" s="458"/>
      <c r="G67" s="459"/>
      <c r="H67" s="459"/>
      <c r="I67" s="459"/>
      <c r="J67" s="460"/>
      <c r="K67" s="461"/>
      <c r="L67" s="461"/>
      <c r="M67" s="51"/>
      <c r="N67" s="462"/>
      <c r="O67" s="462"/>
      <c r="P67" s="463"/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5</v>
      </c>
      <c r="B68" s="457"/>
      <c r="C68" s="105"/>
      <c r="D68" s="197"/>
      <c r="E68" s="200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6</v>
      </c>
      <c r="B69" s="457"/>
      <c r="C69" s="105"/>
      <c r="D69" s="197"/>
      <c r="E69" s="200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7</v>
      </c>
      <c r="B70" s="457"/>
      <c r="C70" s="105"/>
      <c r="D70" s="197"/>
      <c r="E70" s="200"/>
      <c r="F70" s="468"/>
      <c r="G70" s="461"/>
      <c r="H70" s="461"/>
      <c r="I70" s="461"/>
      <c r="J70" s="461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8</v>
      </c>
      <c r="B71" s="457"/>
      <c r="C71" s="105"/>
      <c r="D71" s="197"/>
      <c r="E71" s="200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9</v>
      </c>
      <c r="B72" s="457"/>
      <c r="C72" s="105"/>
      <c r="D72" s="197"/>
      <c r="E72" s="200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10</v>
      </c>
      <c r="B73" s="457"/>
      <c r="C73" s="105"/>
      <c r="D73" s="197"/>
      <c r="E73" s="200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6.25" customHeight="1" thickBot="1">
      <c r="A74" s="469" t="s">
        <v>321</v>
      </c>
      <c r="B74" s="469"/>
      <c r="C74" s="469"/>
      <c r="D74" s="469"/>
      <c r="E74" s="46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0" t="s">
        <v>111</v>
      </c>
      <c r="B75" s="471"/>
      <c r="C75" s="199" t="s">
        <v>2</v>
      </c>
      <c r="D75" s="199" t="s">
        <v>37</v>
      </c>
      <c r="E75" s="199" t="s">
        <v>3</v>
      </c>
      <c r="F75" s="471" t="s">
        <v>38</v>
      </c>
      <c r="G75" s="471"/>
      <c r="H75" s="471"/>
      <c r="I75" s="471"/>
      <c r="J75" s="471"/>
      <c r="K75" s="472" t="s">
        <v>58</v>
      </c>
      <c r="L75" s="473"/>
      <c r="M75" s="473"/>
      <c r="N75" s="473"/>
      <c r="O75" s="473"/>
      <c r="P75" s="473"/>
      <c r="Q75" s="473"/>
      <c r="R75" s="473"/>
      <c r="S75" s="474"/>
      <c r="T75" s="471" t="s">
        <v>49</v>
      </c>
      <c r="U75" s="471"/>
      <c r="V75" s="472" t="s">
        <v>50</v>
      </c>
      <c r="W75" s="474"/>
      <c r="X75" s="473" t="s">
        <v>51</v>
      </c>
      <c r="Y75" s="473"/>
      <c r="Z75" s="473"/>
      <c r="AA75" s="473"/>
      <c r="AB75" s="473"/>
      <c r="AC75" s="473"/>
      <c r="AD75" s="475"/>
      <c r="AF75" s="50"/>
    </row>
    <row r="76" spans="1:32" ht="33.75" customHeight="1">
      <c r="A76" s="484">
        <v>1</v>
      </c>
      <c r="B76" s="485"/>
      <c r="C76" s="198" t="s">
        <v>112</v>
      </c>
      <c r="D76" s="198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76">
        <f>A76+1</f>
        <v>2</v>
      </c>
      <c r="B77" s="477"/>
      <c r="C77" s="197"/>
      <c r="D77" s="197"/>
      <c r="E77" s="32"/>
      <c r="F77" s="477"/>
      <c r="G77" s="477"/>
      <c r="H77" s="477"/>
      <c r="I77" s="477"/>
      <c r="J77" s="477"/>
      <c r="K77" s="478"/>
      <c r="L77" s="479"/>
      <c r="M77" s="479"/>
      <c r="N77" s="479"/>
      <c r="O77" s="479"/>
      <c r="P77" s="479"/>
      <c r="Q77" s="479"/>
      <c r="R77" s="479"/>
      <c r="S77" s="480"/>
      <c r="T77" s="481"/>
      <c r="U77" s="481"/>
      <c r="V77" s="481"/>
      <c r="W77" s="481"/>
      <c r="X77" s="482"/>
      <c r="Y77" s="482"/>
      <c r="Z77" s="482"/>
      <c r="AA77" s="482"/>
      <c r="AB77" s="482"/>
      <c r="AC77" s="482"/>
      <c r="AD77" s="483"/>
      <c r="AF77" s="50"/>
    </row>
    <row r="78" spans="1:32" ht="30" customHeight="1">
      <c r="A78" s="476">
        <f t="shared" ref="A78:A82" si="13">A77+1</f>
        <v>3</v>
      </c>
      <c r="B78" s="477"/>
      <c r="C78" s="197"/>
      <c r="D78" s="197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si="13"/>
        <v>4</v>
      </c>
      <c r="B79" s="477"/>
      <c r="C79" s="197"/>
      <c r="D79" s="197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13"/>
        <v>5</v>
      </c>
      <c r="B80" s="477"/>
      <c r="C80" s="197"/>
      <c r="D80" s="197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13"/>
        <v>6</v>
      </c>
      <c r="B81" s="477"/>
      <c r="C81" s="197"/>
      <c r="D81" s="197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13"/>
        <v>7</v>
      </c>
      <c r="B82" s="477"/>
      <c r="C82" s="197"/>
      <c r="D82" s="197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6" thickBot="1">
      <c r="A83" s="469" t="s">
        <v>322</v>
      </c>
      <c r="B83" s="469"/>
      <c r="C83" s="469"/>
      <c r="D83" s="469"/>
      <c r="E83" s="46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0" t="s">
        <v>111</v>
      </c>
      <c r="B84" s="471"/>
      <c r="C84" s="497" t="s">
        <v>52</v>
      </c>
      <c r="D84" s="497"/>
      <c r="E84" s="497" t="s">
        <v>53</v>
      </c>
      <c r="F84" s="497"/>
      <c r="G84" s="497"/>
      <c r="H84" s="497"/>
      <c r="I84" s="497"/>
      <c r="J84" s="497"/>
      <c r="K84" s="497" t="s">
        <v>54</v>
      </c>
      <c r="L84" s="497"/>
      <c r="M84" s="497"/>
      <c r="N84" s="497"/>
      <c r="O84" s="497"/>
      <c r="P84" s="497"/>
      <c r="Q84" s="497"/>
      <c r="R84" s="497"/>
      <c r="S84" s="497"/>
      <c r="T84" s="497" t="s">
        <v>55</v>
      </c>
      <c r="U84" s="497"/>
      <c r="V84" s="497" t="s">
        <v>56</v>
      </c>
      <c r="W84" s="497"/>
      <c r="X84" s="497"/>
      <c r="Y84" s="497" t="s">
        <v>51</v>
      </c>
      <c r="Z84" s="497"/>
      <c r="AA84" s="497"/>
      <c r="AB84" s="497"/>
      <c r="AC84" s="497"/>
      <c r="AD84" s="498"/>
      <c r="AF84" s="50"/>
    </row>
    <row r="85" spans="1:32" ht="30.75" customHeight="1">
      <c r="A85" s="484">
        <v>1</v>
      </c>
      <c r="B85" s="485"/>
      <c r="C85" s="499"/>
      <c r="D85" s="499"/>
      <c r="E85" s="499"/>
      <c r="F85" s="499"/>
      <c r="G85" s="499"/>
      <c r="H85" s="499"/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500"/>
      <c r="W85" s="500"/>
      <c r="X85" s="500"/>
      <c r="Y85" s="501"/>
      <c r="Z85" s="501"/>
      <c r="AA85" s="501"/>
      <c r="AB85" s="501"/>
      <c r="AC85" s="501"/>
      <c r="AD85" s="502"/>
      <c r="AF85" s="50"/>
    </row>
    <row r="86" spans="1:32" ht="30.75" customHeight="1">
      <c r="A86" s="476">
        <v>2</v>
      </c>
      <c r="B86" s="477"/>
      <c r="C86" s="510"/>
      <c r="D86" s="510"/>
      <c r="E86" s="510"/>
      <c r="F86" s="510"/>
      <c r="G86" s="510"/>
      <c r="H86" s="510"/>
      <c r="I86" s="510"/>
      <c r="J86" s="510"/>
      <c r="K86" s="510"/>
      <c r="L86" s="510"/>
      <c r="M86" s="510"/>
      <c r="N86" s="510"/>
      <c r="O86" s="510"/>
      <c r="P86" s="510"/>
      <c r="Q86" s="510"/>
      <c r="R86" s="510"/>
      <c r="S86" s="510"/>
      <c r="T86" s="511"/>
      <c r="U86" s="511"/>
      <c r="V86" s="512"/>
      <c r="W86" s="512"/>
      <c r="X86" s="512"/>
      <c r="Y86" s="503"/>
      <c r="Z86" s="503"/>
      <c r="AA86" s="503"/>
      <c r="AB86" s="503"/>
      <c r="AC86" s="503"/>
      <c r="AD86" s="504"/>
      <c r="AF86" s="50"/>
    </row>
    <row r="87" spans="1:32" ht="30.75" customHeight="1" thickBot="1">
      <c r="A87" s="505">
        <v>3</v>
      </c>
      <c r="B87" s="506"/>
      <c r="C87" s="507"/>
      <c r="D87" s="507"/>
      <c r="E87" s="507"/>
      <c r="F87" s="507"/>
      <c r="G87" s="507"/>
      <c r="H87" s="507"/>
      <c r="I87" s="507"/>
      <c r="J87" s="507"/>
      <c r="K87" s="507"/>
      <c r="L87" s="507"/>
      <c r="M87" s="507"/>
      <c r="N87" s="507"/>
      <c r="O87" s="507"/>
      <c r="P87" s="507"/>
      <c r="Q87" s="507"/>
      <c r="R87" s="507"/>
      <c r="S87" s="507"/>
      <c r="T87" s="507"/>
      <c r="U87" s="507"/>
      <c r="V87" s="507"/>
      <c r="W87" s="507"/>
      <c r="X87" s="507"/>
      <c r="Y87" s="508"/>
      <c r="Z87" s="508"/>
      <c r="AA87" s="508"/>
      <c r="AB87" s="508"/>
      <c r="AC87" s="508"/>
      <c r="AD87" s="509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BEB5-4072-4A98-8C08-8E8639226006}">
  <sheetPr codeName="Sheet10"/>
  <dimension ref="A1:AF87"/>
  <sheetViews>
    <sheetView view="pageBreakPreview" zoomScale="70" zoomScaleNormal="72" zoomScaleSheetLayoutView="70" workbookViewId="0">
      <selection activeCell="F71" sqref="F71:J7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323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208" t="s">
        <v>17</v>
      </c>
      <c r="L5" s="208" t="s">
        <v>18</v>
      </c>
      <c r="M5" s="208" t="s">
        <v>19</v>
      </c>
      <c r="N5" s="20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135</v>
      </c>
      <c r="E6" s="53" t="s">
        <v>270</v>
      </c>
      <c r="F6" s="30" t="s">
        <v>131</v>
      </c>
      <c r="G6" s="12">
        <v>1</v>
      </c>
      <c r="H6" s="13">
        <v>24</v>
      </c>
      <c r="I6" s="31">
        <v>11000</v>
      </c>
      <c r="J6" s="5">
        <v>1716</v>
      </c>
      <c r="K6" s="15">
        <f>L6+5378+3561</f>
        <v>10655</v>
      </c>
      <c r="L6" s="15">
        <v>1716</v>
      </c>
      <c r="M6" s="15">
        <f t="shared" ref="M6:M21" si="0">L6-N6</f>
        <v>1716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9</v>
      </c>
      <c r="Q6" s="40">
        <f t="shared" ref="Q6:Q21" si="3">SUM(R6:AA6)</f>
        <v>15</v>
      </c>
      <c r="R6" s="7"/>
      <c r="S6" s="6">
        <v>2</v>
      </c>
      <c r="T6" s="16"/>
      <c r="U6" s="16"/>
      <c r="V6" s="17">
        <v>13</v>
      </c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0.375</v>
      </c>
      <c r="AD6" s="10">
        <f t="shared" ref="AD6:AD21" si="6">AC6*AB6*(1-O6)</f>
        <v>0.375</v>
      </c>
      <c r="AE6" s="36">
        <f>$AD$21</f>
        <v>0.45833333333333331</v>
      </c>
      <c r="AF6" s="84">
        <f t="shared" ref="AF6:AF21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308</v>
      </c>
      <c r="F7" s="12" t="s">
        <v>131</v>
      </c>
      <c r="G7" s="12">
        <v>1</v>
      </c>
      <c r="H7" s="13">
        <v>24</v>
      </c>
      <c r="I7" s="31">
        <v>10000</v>
      </c>
      <c r="J7" s="14">
        <v>2875</v>
      </c>
      <c r="K7" s="15">
        <f>L7+3036</f>
        <v>5911</v>
      </c>
      <c r="L7" s="15">
        <v>2875</v>
      </c>
      <c r="M7" s="15">
        <f t="shared" si="0"/>
        <v>2875</v>
      </c>
      <c r="N7" s="15">
        <v>0</v>
      </c>
      <c r="O7" s="58">
        <f t="shared" si="1"/>
        <v>0</v>
      </c>
      <c r="P7" s="39">
        <f t="shared" si="2"/>
        <v>11</v>
      </c>
      <c r="Q7" s="40">
        <f t="shared" si="3"/>
        <v>13</v>
      </c>
      <c r="R7" s="7"/>
      <c r="S7" s="6"/>
      <c r="T7" s="16"/>
      <c r="U7" s="16"/>
      <c r="V7" s="17">
        <v>13</v>
      </c>
      <c r="W7" s="5"/>
      <c r="X7" s="16"/>
      <c r="Y7" s="16"/>
      <c r="Z7" s="16"/>
      <c r="AA7" s="18"/>
      <c r="AB7" s="8">
        <f t="shared" si="4"/>
        <v>1</v>
      </c>
      <c r="AC7" s="9">
        <f t="shared" si="5"/>
        <v>0.45833333333333331</v>
      </c>
      <c r="AD7" s="10">
        <f t="shared" si="6"/>
        <v>0.45833333333333331</v>
      </c>
      <c r="AE7" s="36">
        <f t="shared" ref="AE7:AE21" si="8">$AD$22</f>
        <v>0.26822916666666663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228</v>
      </c>
      <c r="E8" s="53" t="s">
        <v>246</v>
      </c>
      <c r="F8" s="30" t="s">
        <v>124</v>
      </c>
      <c r="G8" s="33">
        <v>1</v>
      </c>
      <c r="H8" s="35">
        <v>24</v>
      </c>
      <c r="I8" s="7">
        <v>17000</v>
      </c>
      <c r="J8" s="14">
        <v>5388</v>
      </c>
      <c r="K8" s="15">
        <f>L8+5318+5828+5388</f>
        <v>16534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8"/>
        <v>0.26822916666666663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191</v>
      </c>
      <c r="E9" s="53" t="s">
        <v>192</v>
      </c>
      <c r="F9" s="30" t="s">
        <v>195</v>
      </c>
      <c r="G9" s="33">
        <v>1</v>
      </c>
      <c r="H9" s="35">
        <v>24</v>
      </c>
      <c r="I9" s="7">
        <v>24000</v>
      </c>
      <c r="J9" s="14">
        <v>1825</v>
      </c>
      <c r="K9" s="15">
        <f>L9+4275+4281+3934+3095+2209+2640+1825</f>
        <v>22259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8"/>
        <v>0.26822916666666663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144</v>
      </c>
      <c r="F10" s="30" t="s">
        <v>173</v>
      </c>
      <c r="G10" s="33">
        <v>4</v>
      </c>
      <c r="H10" s="35">
        <v>24</v>
      </c>
      <c r="I10" s="7">
        <v>250000</v>
      </c>
      <c r="J10" s="5">
        <v>18144</v>
      </c>
      <c r="K10" s="15">
        <f>L10+25160+41576+41808+39572+33444+41972+41496+41236+41760+41172</f>
        <v>407340</v>
      </c>
      <c r="L10" s="15">
        <f>4536*4</f>
        <v>18144</v>
      </c>
      <c r="M10" s="15">
        <f t="shared" si="0"/>
        <v>18144</v>
      </c>
      <c r="N10" s="15">
        <v>0</v>
      </c>
      <c r="O10" s="58">
        <f t="shared" si="1"/>
        <v>0</v>
      </c>
      <c r="P10" s="39">
        <f t="shared" si="2"/>
        <v>11</v>
      </c>
      <c r="Q10" s="40">
        <f t="shared" si="3"/>
        <v>13</v>
      </c>
      <c r="R10" s="7"/>
      <c r="S10" s="6"/>
      <c r="T10" s="16"/>
      <c r="U10" s="16"/>
      <c r="V10" s="17">
        <v>13</v>
      </c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0.45833333333333331</v>
      </c>
      <c r="AD10" s="10">
        <f>AC10*AB10*(1-O10)</f>
        <v>0.45833333333333331</v>
      </c>
      <c r="AE10" s="36">
        <f t="shared" si="8"/>
        <v>0.26822916666666663</v>
      </c>
      <c r="AF10" s="84">
        <f t="shared" si="7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115</v>
      </c>
      <c r="E11" s="53" t="s">
        <v>251</v>
      </c>
      <c r="F11" s="30" t="s">
        <v>263</v>
      </c>
      <c r="G11" s="12">
        <v>1</v>
      </c>
      <c r="H11" s="13">
        <v>28</v>
      </c>
      <c r="I11" s="7">
        <v>10000</v>
      </c>
      <c r="J11" s="14">
        <v>2571</v>
      </c>
      <c r="K11" s="15">
        <f>L11+2363+3623+5937</f>
        <v>14494</v>
      </c>
      <c r="L11" s="15">
        <v>2571</v>
      </c>
      <c r="M11" s="15">
        <f t="shared" si="0"/>
        <v>2571</v>
      </c>
      <c r="N11" s="15">
        <v>0</v>
      </c>
      <c r="O11" s="58">
        <f t="shared" si="1"/>
        <v>0</v>
      </c>
      <c r="P11" s="39">
        <f t="shared" si="2"/>
        <v>11</v>
      </c>
      <c r="Q11" s="40">
        <f t="shared" si="3"/>
        <v>13</v>
      </c>
      <c r="R11" s="7"/>
      <c r="S11" s="6"/>
      <c r="T11" s="16"/>
      <c r="U11" s="16"/>
      <c r="V11" s="17">
        <v>13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0.45833333333333331</v>
      </c>
      <c r="AD11" s="10">
        <f t="shared" ref="AD11:AD14" si="9">AC11*AB11*(1-O11)</f>
        <v>0.45833333333333331</v>
      </c>
      <c r="AE11" s="36">
        <f t="shared" si="8"/>
        <v>0.26822916666666663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115</v>
      </c>
      <c r="E12" s="53" t="s">
        <v>167</v>
      </c>
      <c r="F12" s="30" t="s">
        <v>119</v>
      </c>
      <c r="G12" s="12">
        <v>1</v>
      </c>
      <c r="H12" s="13">
        <v>28</v>
      </c>
      <c r="I12" s="7">
        <v>69000</v>
      </c>
      <c r="J12" s="14">
        <v>2245</v>
      </c>
      <c r="K12" s="15">
        <f>L12+2806+5234+5319+5378+5411+789+4935+3007+4151+5463+4141+4654+5072+5297+3305+4969</f>
        <v>72176</v>
      </c>
      <c r="L12" s="15">
        <v>2245</v>
      </c>
      <c r="M12" s="15">
        <f t="shared" si="0"/>
        <v>2245</v>
      </c>
      <c r="N12" s="15">
        <v>0</v>
      </c>
      <c r="O12" s="58">
        <f t="shared" si="1"/>
        <v>0</v>
      </c>
      <c r="P12" s="39">
        <f t="shared" si="2"/>
        <v>11</v>
      </c>
      <c r="Q12" s="40">
        <f t="shared" si="3"/>
        <v>13</v>
      </c>
      <c r="R12" s="7"/>
      <c r="S12" s="6"/>
      <c r="T12" s="16"/>
      <c r="U12" s="16"/>
      <c r="V12" s="17">
        <v>13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0.45833333333333331</v>
      </c>
      <c r="AD12" s="10">
        <f t="shared" si="9"/>
        <v>0.45833333333333331</v>
      </c>
      <c r="AE12" s="36">
        <f t="shared" si="8"/>
        <v>0.26822916666666663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143</v>
      </c>
      <c r="F13" s="30" t="s">
        <v>125</v>
      </c>
      <c r="G13" s="33">
        <v>2</v>
      </c>
      <c r="H13" s="35">
        <v>24</v>
      </c>
      <c r="I13" s="7">
        <v>100000</v>
      </c>
      <c r="J13" s="5">
        <v>7584</v>
      </c>
      <c r="K13" s="15">
        <f>L13+15096+13713</f>
        <v>36393</v>
      </c>
      <c r="L13" s="15">
        <f>2528*3</f>
        <v>7584</v>
      </c>
      <c r="M13" s="15">
        <f t="shared" si="0"/>
        <v>7584</v>
      </c>
      <c r="N13" s="15">
        <v>0</v>
      </c>
      <c r="O13" s="58">
        <f t="shared" si="1"/>
        <v>0</v>
      </c>
      <c r="P13" s="39">
        <f t="shared" si="2"/>
        <v>11</v>
      </c>
      <c r="Q13" s="40">
        <f t="shared" si="3"/>
        <v>13</v>
      </c>
      <c r="R13" s="7"/>
      <c r="S13" s="6"/>
      <c r="T13" s="16"/>
      <c r="U13" s="16"/>
      <c r="V13" s="17">
        <v>13</v>
      </c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0.45833333333333331</v>
      </c>
      <c r="AD13" s="10">
        <f>AC13*AB13*(1-O13)</f>
        <v>0.45833333333333331</v>
      </c>
      <c r="AE13" s="36">
        <f t="shared" si="8"/>
        <v>0.26822916666666663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174</v>
      </c>
      <c r="F14" s="30" t="s">
        <v>177</v>
      </c>
      <c r="G14" s="33">
        <v>1</v>
      </c>
      <c r="H14" s="35">
        <v>24</v>
      </c>
      <c r="I14" s="7">
        <v>300</v>
      </c>
      <c r="J14" s="5">
        <v>376</v>
      </c>
      <c r="K14" s="15">
        <f>L14+376</f>
        <v>376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8"/>
        <v>0.26822916666666663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135</v>
      </c>
      <c r="E15" s="53" t="s">
        <v>253</v>
      </c>
      <c r="F15" s="12" t="s">
        <v>131</v>
      </c>
      <c r="G15" s="12">
        <v>1</v>
      </c>
      <c r="H15" s="13">
        <v>24</v>
      </c>
      <c r="I15" s="31">
        <v>550</v>
      </c>
      <c r="J15" s="14">
        <v>726</v>
      </c>
      <c r="K15" s="15">
        <f>L15+726</f>
        <v>726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8"/>
        <v>0.26822916666666663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L16+6564+12528+9524+11762+12146+1640</f>
        <v>54164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8"/>
        <v>0.26822916666666663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126</v>
      </c>
      <c r="E17" s="53" t="s">
        <v>324</v>
      </c>
      <c r="F17" s="30" t="s">
        <v>325</v>
      </c>
      <c r="G17" s="12">
        <v>4</v>
      </c>
      <c r="H17" s="13">
        <v>24</v>
      </c>
      <c r="I17" s="7">
        <v>10000</v>
      </c>
      <c r="J17" s="14">
        <v>5108</v>
      </c>
      <c r="K17" s="15">
        <f>L17</f>
        <v>5108</v>
      </c>
      <c r="L17" s="15">
        <f>1277*4</f>
        <v>5108</v>
      </c>
      <c r="M17" s="15">
        <f t="shared" si="0"/>
        <v>5108</v>
      </c>
      <c r="N17" s="15">
        <v>0</v>
      </c>
      <c r="O17" s="58">
        <f t="shared" si="1"/>
        <v>0</v>
      </c>
      <c r="P17" s="39">
        <f t="shared" si="2"/>
        <v>9</v>
      </c>
      <c r="Q17" s="40">
        <f t="shared" si="3"/>
        <v>15</v>
      </c>
      <c r="R17" s="7"/>
      <c r="S17" s="6"/>
      <c r="T17" s="16">
        <v>2</v>
      </c>
      <c r="U17" s="16"/>
      <c r="V17" s="17">
        <v>13</v>
      </c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0.375</v>
      </c>
      <c r="AD17" s="10">
        <f t="shared" si="6"/>
        <v>0.375</v>
      </c>
      <c r="AE17" s="36">
        <f t="shared" si="8"/>
        <v>0.26822916666666663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294</v>
      </c>
      <c r="E18" s="53" t="s">
        <v>293</v>
      </c>
      <c r="F18" s="30" t="s">
        <v>139</v>
      </c>
      <c r="G18" s="33">
        <v>1</v>
      </c>
      <c r="H18" s="35">
        <v>24</v>
      </c>
      <c r="I18" s="7">
        <v>10000</v>
      </c>
      <c r="J18" s="14">
        <v>2171</v>
      </c>
      <c r="K18" s="15">
        <f>L18+2794+4538</f>
        <v>9503</v>
      </c>
      <c r="L18" s="15">
        <f>2171</f>
        <v>2171</v>
      </c>
      <c r="M18" s="15">
        <f t="shared" si="0"/>
        <v>2171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/>
      <c r="T18" s="16"/>
      <c r="U18" s="16"/>
      <c r="V18" s="17">
        <v>14</v>
      </c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8"/>
        <v>0.26822916666666663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121</v>
      </c>
      <c r="D19" s="52" t="s">
        <v>309</v>
      </c>
      <c r="E19" s="53" t="s">
        <v>310</v>
      </c>
      <c r="F19" s="30" t="s">
        <v>139</v>
      </c>
      <c r="G19" s="33" t="s">
        <v>157</v>
      </c>
      <c r="H19" s="35">
        <v>24</v>
      </c>
      <c r="I19" s="7">
        <v>3200</v>
      </c>
      <c r="J19" s="5">
        <v>624</v>
      </c>
      <c r="K19" s="15">
        <f>L19+2187</f>
        <v>2811</v>
      </c>
      <c r="L19" s="15">
        <f>624</f>
        <v>624</v>
      </c>
      <c r="M19" s="15">
        <f t="shared" si="0"/>
        <v>624</v>
      </c>
      <c r="N19" s="15">
        <v>0</v>
      </c>
      <c r="O19" s="58">
        <f t="shared" si="1"/>
        <v>0</v>
      </c>
      <c r="P19" s="39">
        <f t="shared" si="2"/>
        <v>5</v>
      </c>
      <c r="Q19" s="40">
        <f t="shared" si="3"/>
        <v>19</v>
      </c>
      <c r="R19" s="7"/>
      <c r="S19" s="6">
        <v>6</v>
      </c>
      <c r="T19" s="16"/>
      <c r="U19" s="16"/>
      <c r="V19" s="17">
        <v>13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0.20833333333333334</v>
      </c>
      <c r="AD19" s="10">
        <f>AC19*AB19*(1-O19)</f>
        <v>0.20833333333333334</v>
      </c>
      <c r="AE19" s="36">
        <f t="shared" si="8"/>
        <v>0.26822916666666663</v>
      </c>
      <c r="AF19" s="84">
        <f t="shared" si="7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166</v>
      </c>
      <c r="F20" s="30" t="s">
        <v>119</v>
      </c>
      <c r="G20" s="12">
        <v>1</v>
      </c>
      <c r="H20" s="13">
        <v>28</v>
      </c>
      <c r="I20" s="31">
        <v>40000</v>
      </c>
      <c r="J20" s="5">
        <v>433</v>
      </c>
      <c r="K20" s="15">
        <f>L20+2503+4146+3422+2211+1805+550+1849+2614+2495+1614+1413+464+2031+1384+2779+3110+1852+2502</f>
        <v>39177</v>
      </c>
      <c r="L20" s="15">
        <f>433</f>
        <v>433</v>
      </c>
      <c r="M20" s="15">
        <f t="shared" si="0"/>
        <v>433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>
        <v>7</v>
      </c>
      <c r="T20" s="16"/>
      <c r="U20" s="16"/>
      <c r="V20" s="17">
        <v>13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ref="AD20" si="10">AC20*AB20*(1-O20)</f>
        <v>0.16666666666666666</v>
      </c>
      <c r="AE20" s="36">
        <f t="shared" si="8"/>
        <v>0.26822916666666663</v>
      </c>
      <c r="AF20" s="84">
        <f t="shared" si="7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144</v>
      </c>
      <c r="F21" s="12" t="s">
        <v>114</v>
      </c>
      <c r="G21" s="12">
        <v>4</v>
      </c>
      <c r="H21" s="35">
        <v>20</v>
      </c>
      <c r="I21" s="7">
        <v>500000</v>
      </c>
      <c r="J21" s="14">
        <v>41532</v>
      </c>
      <c r="K21" s="15">
        <f>L21+27600+41540+42440+43780+40264+40128</f>
        <v>277284</v>
      </c>
      <c r="L21" s="15">
        <f>10383*4</f>
        <v>41532</v>
      </c>
      <c r="M21" s="15">
        <f t="shared" si="0"/>
        <v>41532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8"/>
        <v>0.26822916666666663</v>
      </c>
      <c r="AF21" s="84">
        <f t="shared" si="7"/>
        <v>16</v>
      </c>
    </row>
    <row r="22" spans="1:32" ht="31.5" customHeight="1" thickBot="1">
      <c r="A22" s="405" t="s">
        <v>34</v>
      </c>
      <c r="B22" s="406"/>
      <c r="C22" s="406"/>
      <c r="D22" s="406"/>
      <c r="E22" s="406"/>
      <c r="F22" s="406"/>
      <c r="G22" s="406"/>
      <c r="H22" s="407"/>
      <c r="I22" s="22">
        <f t="shared" ref="I22:N22" si="11">SUM(I6:I21)</f>
        <v>1355050</v>
      </c>
      <c r="J22" s="19">
        <f t="shared" si="11"/>
        <v>94958</v>
      </c>
      <c r="K22" s="20">
        <f t="shared" si="11"/>
        <v>974911</v>
      </c>
      <c r="L22" s="21">
        <f t="shared" si="11"/>
        <v>85003</v>
      </c>
      <c r="M22" s="20">
        <f t="shared" si="11"/>
        <v>85003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103</v>
      </c>
      <c r="Q22" s="43">
        <f t="shared" si="12"/>
        <v>281</v>
      </c>
      <c r="R22" s="23">
        <f t="shared" si="12"/>
        <v>24</v>
      </c>
      <c r="S22" s="24">
        <f t="shared" si="12"/>
        <v>39</v>
      </c>
      <c r="T22" s="24">
        <f t="shared" si="12"/>
        <v>2</v>
      </c>
      <c r="U22" s="24">
        <f t="shared" si="12"/>
        <v>0</v>
      </c>
      <c r="V22" s="25">
        <f t="shared" si="12"/>
        <v>144</v>
      </c>
      <c r="W22" s="26">
        <f t="shared" si="12"/>
        <v>72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0</v>
      </c>
      <c r="AB22" s="28">
        <f>AVERAGE(AB6:AB21)</f>
        <v>0.6875</v>
      </c>
      <c r="AC22" s="4">
        <f>AVERAGE(AC6:AC21)</f>
        <v>0.26822916666666663</v>
      </c>
      <c r="AD22" s="4">
        <f>AVERAGE(AD6:AD21)</f>
        <v>0.26822916666666663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08" t="s">
        <v>45</v>
      </c>
      <c r="B49" s="408"/>
      <c r="C49" s="408"/>
      <c r="D49" s="408"/>
      <c r="E49" s="40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09" t="s">
        <v>326</v>
      </c>
      <c r="B50" s="410"/>
      <c r="C50" s="410"/>
      <c r="D50" s="410"/>
      <c r="E50" s="410"/>
      <c r="F50" s="410"/>
      <c r="G50" s="410"/>
      <c r="H50" s="410"/>
      <c r="I50" s="410"/>
      <c r="J50" s="410"/>
      <c r="K50" s="410"/>
      <c r="L50" s="410"/>
      <c r="M50" s="411"/>
      <c r="N50" s="412" t="s">
        <v>330</v>
      </c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3"/>
      <c r="AA50" s="413"/>
      <c r="AB50" s="413"/>
      <c r="AC50" s="413"/>
      <c r="AD50" s="414"/>
    </row>
    <row r="51" spans="1:32" ht="27" customHeight="1">
      <c r="A51" s="415" t="s">
        <v>2</v>
      </c>
      <c r="B51" s="416"/>
      <c r="C51" s="207" t="s">
        <v>46</v>
      </c>
      <c r="D51" s="207" t="s">
        <v>47</v>
      </c>
      <c r="E51" s="207" t="s">
        <v>107</v>
      </c>
      <c r="F51" s="417" t="s">
        <v>106</v>
      </c>
      <c r="G51" s="418"/>
      <c r="H51" s="418"/>
      <c r="I51" s="418"/>
      <c r="J51" s="418"/>
      <c r="K51" s="418"/>
      <c r="L51" s="418"/>
      <c r="M51" s="419"/>
      <c r="N51" s="67" t="s">
        <v>110</v>
      </c>
      <c r="O51" s="207" t="s">
        <v>46</v>
      </c>
      <c r="P51" s="417" t="s">
        <v>47</v>
      </c>
      <c r="Q51" s="420"/>
      <c r="R51" s="417" t="s">
        <v>38</v>
      </c>
      <c r="S51" s="418"/>
      <c r="T51" s="418"/>
      <c r="U51" s="420"/>
      <c r="V51" s="417" t="s">
        <v>48</v>
      </c>
      <c r="W51" s="418"/>
      <c r="X51" s="418"/>
      <c r="Y51" s="418"/>
      <c r="Z51" s="418"/>
      <c r="AA51" s="418"/>
      <c r="AB51" s="418"/>
      <c r="AC51" s="418"/>
      <c r="AD51" s="419"/>
    </row>
    <row r="52" spans="1:32" ht="27" customHeight="1">
      <c r="A52" s="431" t="s">
        <v>120</v>
      </c>
      <c r="B52" s="432"/>
      <c r="C52" s="204" t="s">
        <v>148</v>
      </c>
      <c r="D52" s="204" t="s">
        <v>115</v>
      </c>
      <c r="E52" s="204" t="s">
        <v>166</v>
      </c>
      <c r="F52" s="433" t="s">
        <v>133</v>
      </c>
      <c r="G52" s="434"/>
      <c r="H52" s="434"/>
      <c r="I52" s="434"/>
      <c r="J52" s="434"/>
      <c r="K52" s="434"/>
      <c r="L52" s="434"/>
      <c r="M52" s="435"/>
      <c r="N52" s="211" t="s">
        <v>120</v>
      </c>
      <c r="O52" s="217" t="s">
        <v>190</v>
      </c>
      <c r="P52" s="436" t="s">
        <v>191</v>
      </c>
      <c r="Q52" s="437"/>
      <c r="R52" s="436" t="s">
        <v>192</v>
      </c>
      <c r="S52" s="438"/>
      <c r="T52" s="438"/>
      <c r="U52" s="437"/>
      <c r="V52" s="439" t="s">
        <v>133</v>
      </c>
      <c r="W52" s="439"/>
      <c r="X52" s="439"/>
      <c r="Y52" s="439"/>
      <c r="Z52" s="439"/>
      <c r="AA52" s="439"/>
      <c r="AB52" s="439"/>
      <c r="AC52" s="439"/>
      <c r="AD52" s="440"/>
    </row>
    <row r="53" spans="1:32" ht="27" customHeight="1">
      <c r="A53" s="431" t="s">
        <v>120</v>
      </c>
      <c r="B53" s="432"/>
      <c r="C53" s="212" t="s">
        <v>136</v>
      </c>
      <c r="D53" s="212" t="s">
        <v>135</v>
      </c>
      <c r="E53" s="212" t="s">
        <v>315</v>
      </c>
      <c r="F53" s="433" t="s">
        <v>133</v>
      </c>
      <c r="G53" s="434"/>
      <c r="H53" s="434"/>
      <c r="I53" s="434"/>
      <c r="J53" s="434"/>
      <c r="K53" s="434"/>
      <c r="L53" s="434"/>
      <c r="M53" s="435"/>
      <c r="N53" s="203" t="s">
        <v>120</v>
      </c>
      <c r="O53" s="201" t="s">
        <v>333</v>
      </c>
      <c r="P53" s="436" t="s">
        <v>334</v>
      </c>
      <c r="Q53" s="437"/>
      <c r="R53" s="436" t="s">
        <v>331</v>
      </c>
      <c r="S53" s="438"/>
      <c r="T53" s="438"/>
      <c r="U53" s="437"/>
      <c r="V53" s="439" t="s">
        <v>332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121</v>
      </c>
      <c r="B54" s="432"/>
      <c r="C54" s="212" t="s">
        <v>223</v>
      </c>
      <c r="D54" s="212" t="s">
        <v>309</v>
      </c>
      <c r="E54" s="212" t="s">
        <v>318</v>
      </c>
      <c r="F54" s="433" t="s">
        <v>133</v>
      </c>
      <c r="G54" s="434"/>
      <c r="H54" s="434"/>
      <c r="I54" s="434"/>
      <c r="J54" s="434"/>
      <c r="K54" s="434"/>
      <c r="L54" s="434"/>
      <c r="M54" s="435"/>
      <c r="N54" s="203" t="s">
        <v>336</v>
      </c>
      <c r="O54" s="201" t="s">
        <v>337</v>
      </c>
      <c r="P54" s="436" t="s">
        <v>338</v>
      </c>
      <c r="Q54" s="437"/>
      <c r="R54" s="436" t="s">
        <v>335</v>
      </c>
      <c r="S54" s="438"/>
      <c r="T54" s="438"/>
      <c r="U54" s="437"/>
      <c r="V54" s="439" t="s">
        <v>332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121</v>
      </c>
      <c r="B55" s="432"/>
      <c r="C55" s="204" t="s">
        <v>327</v>
      </c>
      <c r="D55" s="204" t="s">
        <v>328</v>
      </c>
      <c r="E55" s="204" t="s">
        <v>329</v>
      </c>
      <c r="F55" s="433" t="s">
        <v>118</v>
      </c>
      <c r="G55" s="434"/>
      <c r="H55" s="434"/>
      <c r="I55" s="434"/>
      <c r="J55" s="434"/>
      <c r="K55" s="434"/>
      <c r="L55" s="434"/>
      <c r="M55" s="435"/>
      <c r="N55" s="203" t="s">
        <v>340</v>
      </c>
      <c r="O55" s="201" t="s">
        <v>341</v>
      </c>
      <c r="P55" s="436"/>
      <c r="Q55" s="437"/>
      <c r="R55" s="436" t="s">
        <v>339</v>
      </c>
      <c r="S55" s="438"/>
      <c r="T55" s="438"/>
      <c r="U55" s="437"/>
      <c r="V55" s="439" t="s">
        <v>332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/>
      <c r="B56" s="432"/>
      <c r="C56" s="204"/>
      <c r="D56" s="204"/>
      <c r="E56" s="204"/>
      <c r="F56" s="433"/>
      <c r="G56" s="434"/>
      <c r="H56" s="434"/>
      <c r="I56" s="434"/>
      <c r="J56" s="434"/>
      <c r="K56" s="434"/>
      <c r="L56" s="434"/>
      <c r="M56" s="435"/>
      <c r="N56" s="203"/>
      <c r="O56" s="201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/>
      <c r="B57" s="432"/>
      <c r="C57" s="204"/>
      <c r="D57" s="204"/>
      <c r="E57" s="204"/>
      <c r="F57" s="433"/>
      <c r="G57" s="434"/>
      <c r="H57" s="434"/>
      <c r="I57" s="434"/>
      <c r="J57" s="434"/>
      <c r="K57" s="434"/>
      <c r="L57" s="434"/>
      <c r="M57" s="435"/>
      <c r="N57" s="203"/>
      <c r="O57" s="201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/>
      <c r="B58" s="432"/>
      <c r="C58" s="204"/>
      <c r="D58" s="204"/>
      <c r="E58" s="204"/>
      <c r="F58" s="433"/>
      <c r="G58" s="434"/>
      <c r="H58" s="434"/>
      <c r="I58" s="434"/>
      <c r="J58" s="434"/>
      <c r="K58" s="434"/>
      <c r="L58" s="434"/>
      <c r="M58" s="435"/>
      <c r="N58" s="203"/>
      <c r="O58" s="201"/>
      <c r="P58" s="436"/>
      <c r="Q58" s="437"/>
      <c r="R58" s="432"/>
      <c r="S58" s="432"/>
      <c r="T58" s="432"/>
      <c r="U58" s="432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204"/>
      <c r="D59" s="204"/>
      <c r="E59" s="204"/>
      <c r="F59" s="433"/>
      <c r="G59" s="434"/>
      <c r="H59" s="434"/>
      <c r="I59" s="434"/>
      <c r="J59" s="434"/>
      <c r="K59" s="434"/>
      <c r="L59" s="434"/>
      <c r="M59" s="435"/>
      <c r="N59" s="203"/>
      <c r="O59" s="201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204"/>
      <c r="D60" s="204"/>
      <c r="E60" s="204"/>
      <c r="F60" s="433"/>
      <c r="G60" s="434"/>
      <c r="H60" s="434"/>
      <c r="I60" s="434"/>
      <c r="J60" s="434"/>
      <c r="K60" s="434"/>
      <c r="L60" s="434"/>
      <c r="M60" s="435"/>
      <c r="N60" s="203"/>
      <c r="O60" s="201"/>
      <c r="P60" s="432"/>
      <c r="Q60" s="432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  <c r="AF60" s="84">
        <f>8*3000</f>
        <v>24000</v>
      </c>
    </row>
    <row r="61" spans="1:32" ht="27" customHeight="1" thickBot="1">
      <c r="A61" s="441"/>
      <c r="B61" s="442"/>
      <c r="C61" s="205"/>
      <c r="D61" s="206"/>
      <c r="E61" s="206"/>
      <c r="F61" s="443"/>
      <c r="G61" s="444"/>
      <c r="H61" s="444"/>
      <c r="I61" s="444"/>
      <c r="J61" s="444"/>
      <c r="K61" s="444"/>
      <c r="L61" s="444"/>
      <c r="M61" s="445"/>
      <c r="N61" s="112"/>
      <c r="O61" s="103"/>
      <c r="P61" s="446"/>
      <c r="Q61" s="446"/>
      <c r="R61" s="446"/>
      <c r="S61" s="446"/>
      <c r="T61" s="446"/>
      <c r="U61" s="446"/>
      <c r="V61" s="447"/>
      <c r="W61" s="447"/>
      <c r="X61" s="447"/>
      <c r="Y61" s="447"/>
      <c r="Z61" s="447"/>
      <c r="AA61" s="447"/>
      <c r="AB61" s="447"/>
      <c r="AC61" s="447"/>
      <c r="AD61" s="448"/>
      <c r="AF61" s="84">
        <f>16*3000</f>
        <v>48000</v>
      </c>
    </row>
    <row r="62" spans="1:32" ht="27.75" thickBot="1">
      <c r="A62" s="449" t="s">
        <v>342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0" t="s">
        <v>111</v>
      </c>
      <c r="B63" s="451"/>
      <c r="C63" s="202" t="s">
        <v>2</v>
      </c>
      <c r="D63" s="202" t="s">
        <v>37</v>
      </c>
      <c r="E63" s="202" t="s">
        <v>3</v>
      </c>
      <c r="F63" s="451" t="s">
        <v>109</v>
      </c>
      <c r="G63" s="451"/>
      <c r="H63" s="451"/>
      <c r="I63" s="451"/>
      <c r="J63" s="451"/>
      <c r="K63" s="451" t="s">
        <v>39</v>
      </c>
      <c r="L63" s="451"/>
      <c r="M63" s="202" t="s">
        <v>40</v>
      </c>
      <c r="N63" s="451" t="s">
        <v>41</v>
      </c>
      <c r="O63" s="451"/>
      <c r="P63" s="452" t="s">
        <v>42</v>
      </c>
      <c r="Q63" s="453"/>
      <c r="R63" s="452" t="s">
        <v>43</v>
      </c>
      <c r="S63" s="454"/>
      <c r="T63" s="454"/>
      <c r="U63" s="454"/>
      <c r="V63" s="454"/>
      <c r="W63" s="454"/>
      <c r="X63" s="454"/>
      <c r="Y63" s="454"/>
      <c r="Z63" s="454"/>
      <c r="AA63" s="453"/>
      <c r="AB63" s="451" t="s">
        <v>44</v>
      </c>
      <c r="AC63" s="451"/>
      <c r="AD63" s="455"/>
      <c r="AF63" s="84">
        <f>SUM(AF60:AF62)</f>
        <v>96000</v>
      </c>
    </row>
    <row r="64" spans="1:32" ht="25.5" customHeight="1">
      <c r="A64" s="456">
        <v>1</v>
      </c>
      <c r="B64" s="457"/>
      <c r="C64" s="105"/>
      <c r="D64" s="197"/>
      <c r="E64" s="200"/>
      <c r="F64" s="458"/>
      <c r="G64" s="459"/>
      <c r="H64" s="459"/>
      <c r="I64" s="459"/>
      <c r="J64" s="460"/>
      <c r="K64" s="461"/>
      <c r="L64" s="461"/>
      <c r="M64" s="51"/>
      <c r="N64" s="462"/>
      <c r="O64" s="462"/>
      <c r="P64" s="463"/>
      <c r="Q64" s="463"/>
      <c r="R64" s="439"/>
      <c r="S64" s="439"/>
      <c r="T64" s="439"/>
      <c r="U64" s="439"/>
      <c r="V64" s="439"/>
      <c r="W64" s="439"/>
      <c r="X64" s="439"/>
      <c r="Y64" s="439"/>
      <c r="Z64" s="439"/>
      <c r="AA64" s="439"/>
      <c r="AB64" s="464"/>
      <c r="AC64" s="465"/>
      <c r="AD64" s="466"/>
      <c r="AF64" s="50"/>
    </row>
    <row r="65" spans="1:32" ht="25.5" customHeight="1">
      <c r="A65" s="456">
        <v>2</v>
      </c>
      <c r="B65" s="457"/>
      <c r="C65" s="105"/>
      <c r="D65" s="197"/>
      <c r="E65" s="200"/>
      <c r="F65" s="458"/>
      <c r="G65" s="459"/>
      <c r="H65" s="459"/>
      <c r="I65" s="459"/>
      <c r="J65" s="460"/>
      <c r="K65" s="461"/>
      <c r="L65" s="461"/>
      <c r="M65" s="51"/>
      <c r="N65" s="462"/>
      <c r="O65" s="462"/>
      <c r="P65" s="463"/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1"/>
      <c r="AC65" s="461"/>
      <c r="AD65" s="467"/>
      <c r="AF65" s="50"/>
    </row>
    <row r="66" spans="1:32" ht="25.5" customHeight="1">
      <c r="A66" s="456">
        <v>3</v>
      </c>
      <c r="B66" s="457"/>
      <c r="C66" s="105"/>
      <c r="D66" s="197"/>
      <c r="E66" s="200"/>
      <c r="F66" s="458"/>
      <c r="G66" s="459"/>
      <c r="H66" s="459"/>
      <c r="I66" s="459"/>
      <c r="J66" s="460"/>
      <c r="K66" s="461"/>
      <c r="L66" s="461"/>
      <c r="M66" s="51"/>
      <c r="N66" s="462"/>
      <c r="O66" s="462"/>
      <c r="P66" s="463"/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4</v>
      </c>
      <c r="B67" s="457"/>
      <c r="C67" s="105"/>
      <c r="D67" s="197"/>
      <c r="E67" s="200"/>
      <c r="F67" s="458"/>
      <c r="G67" s="459"/>
      <c r="H67" s="459"/>
      <c r="I67" s="459"/>
      <c r="J67" s="460"/>
      <c r="K67" s="461"/>
      <c r="L67" s="461"/>
      <c r="M67" s="51"/>
      <c r="N67" s="462"/>
      <c r="O67" s="462"/>
      <c r="P67" s="463"/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5</v>
      </c>
      <c r="B68" s="457"/>
      <c r="C68" s="105"/>
      <c r="D68" s="197"/>
      <c r="E68" s="200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6</v>
      </c>
      <c r="B69" s="457"/>
      <c r="C69" s="105"/>
      <c r="D69" s="197"/>
      <c r="E69" s="200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7</v>
      </c>
      <c r="B70" s="457"/>
      <c r="C70" s="105"/>
      <c r="D70" s="197"/>
      <c r="E70" s="200"/>
      <c r="F70" s="468"/>
      <c r="G70" s="461"/>
      <c r="H70" s="461"/>
      <c r="I70" s="461"/>
      <c r="J70" s="461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8</v>
      </c>
      <c r="B71" s="457"/>
      <c r="C71" s="105"/>
      <c r="D71" s="197"/>
      <c r="E71" s="200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9</v>
      </c>
      <c r="B72" s="457"/>
      <c r="C72" s="105"/>
      <c r="D72" s="197"/>
      <c r="E72" s="200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10</v>
      </c>
      <c r="B73" s="457"/>
      <c r="C73" s="105"/>
      <c r="D73" s="197"/>
      <c r="E73" s="200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6.25" customHeight="1" thickBot="1">
      <c r="A74" s="469" t="s">
        <v>343</v>
      </c>
      <c r="B74" s="469"/>
      <c r="C74" s="469"/>
      <c r="D74" s="469"/>
      <c r="E74" s="46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0" t="s">
        <v>111</v>
      </c>
      <c r="B75" s="471"/>
      <c r="C75" s="199" t="s">
        <v>2</v>
      </c>
      <c r="D75" s="199" t="s">
        <v>37</v>
      </c>
      <c r="E75" s="199" t="s">
        <v>3</v>
      </c>
      <c r="F75" s="471" t="s">
        <v>38</v>
      </c>
      <c r="G75" s="471"/>
      <c r="H75" s="471"/>
      <c r="I75" s="471"/>
      <c r="J75" s="471"/>
      <c r="K75" s="472" t="s">
        <v>58</v>
      </c>
      <c r="L75" s="473"/>
      <c r="M75" s="473"/>
      <c r="N75" s="473"/>
      <c r="O75" s="473"/>
      <c r="P75" s="473"/>
      <c r="Q75" s="473"/>
      <c r="R75" s="473"/>
      <c r="S75" s="474"/>
      <c r="T75" s="471" t="s">
        <v>49</v>
      </c>
      <c r="U75" s="471"/>
      <c r="V75" s="472" t="s">
        <v>50</v>
      </c>
      <c r="W75" s="474"/>
      <c r="X75" s="473" t="s">
        <v>51</v>
      </c>
      <c r="Y75" s="473"/>
      <c r="Z75" s="473"/>
      <c r="AA75" s="473"/>
      <c r="AB75" s="473"/>
      <c r="AC75" s="473"/>
      <c r="AD75" s="475"/>
      <c r="AF75" s="50"/>
    </row>
    <row r="76" spans="1:32" ht="33.75" customHeight="1">
      <c r="A76" s="484">
        <v>1</v>
      </c>
      <c r="B76" s="485"/>
      <c r="C76" s="198" t="s">
        <v>112</v>
      </c>
      <c r="D76" s="198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76">
        <f>A76+1</f>
        <v>2</v>
      </c>
      <c r="B77" s="477"/>
      <c r="C77" s="197"/>
      <c r="D77" s="197"/>
      <c r="E77" s="32"/>
      <c r="F77" s="477"/>
      <c r="G77" s="477"/>
      <c r="H77" s="477"/>
      <c r="I77" s="477"/>
      <c r="J77" s="477"/>
      <c r="K77" s="478"/>
      <c r="L77" s="479"/>
      <c r="M77" s="479"/>
      <c r="N77" s="479"/>
      <c r="O77" s="479"/>
      <c r="P77" s="479"/>
      <c r="Q77" s="479"/>
      <c r="R77" s="479"/>
      <c r="S77" s="480"/>
      <c r="T77" s="481"/>
      <c r="U77" s="481"/>
      <c r="V77" s="481"/>
      <c r="W77" s="481"/>
      <c r="X77" s="482"/>
      <c r="Y77" s="482"/>
      <c r="Z77" s="482"/>
      <c r="AA77" s="482"/>
      <c r="AB77" s="482"/>
      <c r="AC77" s="482"/>
      <c r="AD77" s="483"/>
      <c r="AF77" s="50"/>
    </row>
    <row r="78" spans="1:32" ht="30" customHeight="1">
      <c r="A78" s="476">
        <f t="shared" ref="A78:A82" si="13">A77+1</f>
        <v>3</v>
      </c>
      <c r="B78" s="477"/>
      <c r="C78" s="197"/>
      <c r="D78" s="197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si="13"/>
        <v>4</v>
      </c>
      <c r="B79" s="477"/>
      <c r="C79" s="197"/>
      <c r="D79" s="197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13"/>
        <v>5</v>
      </c>
      <c r="B80" s="477"/>
      <c r="C80" s="197"/>
      <c r="D80" s="197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13"/>
        <v>6</v>
      </c>
      <c r="B81" s="477"/>
      <c r="C81" s="197"/>
      <c r="D81" s="197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13"/>
        <v>7</v>
      </c>
      <c r="B82" s="477"/>
      <c r="C82" s="197"/>
      <c r="D82" s="197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6" thickBot="1">
      <c r="A83" s="469" t="s">
        <v>344</v>
      </c>
      <c r="B83" s="469"/>
      <c r="C83" s="469"/>
      <c r="D83" s="469"/>
      <c r="E83" s="46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0" t="s">
        <v>111</v>
      </c>
      <c r="B84" s="471"/>
      <c r="C84" s="497" t="s">
        <v>52</v>
      </c>
      <c r="D84" s="497"/>
      <c r="E84" s="497" t="s">
        <v>53</v>
      </c>
      <c r="F84" s="497"/>
      <c r="G84" s="497"/>
      <c r="H84" s="497"/>
      <c r="I84" s="497"/>
      <c r="J84" s="497"/>
      <c r="K84" s="497" t="s">
        <v>54</v>
      </c>
      <c r="L84" s="497"/>
      <c r="M84" s="497"/>
      <c r="N84" s="497"/>
      <c r="O84" s="497"/>
      <c r="P84" s="497"/>
      <c r="Q84" s="497"/>
      <c r="R84" s="497"/>
      <c r="S84" s="497"/>
      <c r="T84" s="497" t="s">
        <v>55</v>
      </c>
      <c r="U84" s="497"/>
      <c r="V84" s="497" t="s">
        <v>56</v>
      </c>
      <c r="W84" s="497"/>
      <c r="X84" s="497"/>
      <c r="Y84" s="497" t="s">
        <v>51</v>
      </c>
      <c r="Z84" s="497"/>
      <c r="AA84" s="497"/>
      <c r="AB84" s="497"/>
      <c r="AC84" s="497"/>
      <c r="AD84" s="498"/>
      <c r="AF84" s="50"/>
    </row>
    <row r="85" spans="1:32" ht="30.75" customHeight="1">
      <c r="A85" s="484">
        <v>1</v>
      </c>
      <c r="B85" s="485"/>
      <c r="C85" s="499"/>
      <c r="D85" s="499"/>
      <c r="E85" s="499"/>
      <c r="F85" s="499"/>
      <c r="G85" s="499"/>
      <c r="H85" s="499"/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500"/>
      <c r="W85" s="500"/>
      <c r="X85" s="500"/>
      <c r="Y85" s="501"/>
      <c r="Z85" s="501"/>
      <c r="AA85" s="501"/>
      <c r="AB85" s="501"/>
      <c r="AC85" s="501"/>
      <c r="AD85" s="502"/>
      <c r="AF85" s="50"/>
    </row>
    <row r="86" spans="1:32" ht="30.75" customHeight="1">
      <c r="A86" s="476">
        <v>2</v>
      </c>
      <c r="B86" s="477"/>
      <c r="C86" s="510"/>
      <c r="D86" s="510"/>
      <c r="E86" s="510"/>
      <c r="F86" s="510"/>
      <c r="G86" s="510"/>
      <c r="H86" s="510"/>
      <c r="I86" s="510"/>
      <c r="J86" s="510"/>
      <c r="K86" s="510"/>
      <c r="L86" s="510"/>
      <c r="M86" s="510"/>
      <c r="N86" s="510"/>
      <c r="O86" s="510"/>
      <c r="P86" s="510"/>
      <c r="Q86" s="510"/>
      <c r="R86" s="510"/>
      <c r="S86" s="510"/>
      <c r="T86" s="511"/>
      <c r="U86" s="511"/>
      <c r="V86" s="512"/>
      <c r="W86" s="512"/>
      <c r="X86" s="512"/>
      <c r="Y86" s="503"/>
      <c r="Z86" s="503"/>
      <c r="AA86" s="503"/>
      <c r="AB86" s="503"/>
      <c r="AC86" s="503"/>
      <c r="AD86" s="504"/>
      <c r="AF86" s="50"/>
    </row>
    <row r="87" spans="1:32" ht="30.75" customHeight="1" thickBot="1">
      <c r="A87" s="505">
        <v>3</v>
      </c>
      <c r="B87" s="506"/>
      <c r="C87" s="507"/>
      <c r="D87" s="507"/>
      <c r="E87" s="507"/>
      <c r="F87" s="507"/>
      <c r="G87" s="507"/>
      <c r="H87" s="507"/>
      <c r="I87" s="507"/>
      <c r="J87" s="507"/>
      <c r="K87" s="507"/>
      <c r="L87" s="507"/>
      <c r="M87" s="507"/>
      <c r="N87" s="507"/>
      <c r="O87" s="507"/>
      <c r="P87" s="507"/>
      <c r="Q87" s="507"/>
      <c r="R87" s="507"/>
      <c r="S87" s="507"/>
      <c r="T87" s="507"/>
      <c r="U87" s="507"/>
      <c r="V87" s="507"/>
      <c r="W87" s="507"/>
      <c r="X87" s="507"/>
      <c r="Y87" s="508"/>
      <c r="Z87" s="508"/>
      <c r="AA87" s="508"/>
      <c r="AB87" s="508"/>
      <c r="AC87" s="508"/>
      <c r="AD87" s="509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8628-BF01-4ABE-B502-A790890A39CF}">
  <sheetPr codeName="Sheet11"/>
  <dimension ref="A1:AF88"/>
  <sheetViews>
    <sheetView view="pageBreakPreview" zoomScale="70" zoomScaleNormal="72" zoomScaleSheetLayoutView="70" workbookViewId="0">
      <selection activeCell="AE9" sqref="AE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345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209" t="s">
        <v>17</v>
      </c>
      <c r="L5" s="209" t="s">
        <v>18</v>
      </c>
      <c r="M5" s="209" t="s">
        <v>19</v>
      </c>
      <c r="N5" s="20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135</v>
      </c>
      <c r="E6" s="53" t="s">
        <v>270</v>
      </c>
      <c r="F6" s="30" t="s">
        <v>131</v>
      </c>
      <c r="G6" s="12">
        <v>1</v>
      </c>
      <c r="H6" s="13">
        <v>24</v>
      </c>
      <c r="I6" s="31">
        <v>11000</v>
      </c>
      <c r="J6" s="5">
        <v>1642</v>
      </c>
      <c r="K6" s="15">
        <f>L6+5378+3561+1716</f>
        <v>12297</v>
      </c>
      <c r="L6" s="15">
        <v>1642</v>
      </c>
      <c r="M6" s="15">
        <f t="shared" ref="M6:M22" si="0">L6-N6</f>
        <v>1642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10</v>
      </c>
      <c r="Q6" s="40">
        <f t="shared" ref="Q6:Q22" si="3">SUM(R6:AA6)</f>
        <v>14</v>
      </c>
      <c r="R6" s="7"/>
      <c r="S6" s="6"/>
      <c r="T6" s="16"/>
      <c r="U6" s="16"/>
      <c r="V6" s="17"/>
      <c r="W6" s="5">
        <v>14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0.41666666666666669</v>
      </c>
      <c r="AD6" s="10">
        <f t="shared" ref="AD6:AD22" si="6">AC6*AB6*(1-O6)</f>
        <v>0.41666666666666669</v>
      </c>
      <c r="AE6" s="36">
        <f>$AD$23</f>
        <v>0.50980392156862753</v>
      </c>
      <c r="AF6" s="84">
        <f t="shared" ref="AF6:AF22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308</v>
      </c>
      <c r="F7" s="12" t="s">
        <v>131</v>
      </c>
      <c r="G7" s="12">
        <v>1</v>
      </c>
      <c r="H7" s="13">
        <v>24</v>
      </c>
      <c r="I7" s="31">
        <v>10000</v>
      </c>
      <c r="J7" s="14">
        <v>6063</v>
      </c>
      <c r="K7" s="15">
        <f>L7+3036+2875</f>
        <v>11974</v>
      </c>
      <c r="L7" s="15">
        <f>3306+2757</f>
        <v>6063</v>
      </c>
      <c r="M7" s="15">
        <f t="shared" si="0"/>
        <v>6063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>$AD$23</f>
        <v>0.50980392156862753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331</v>
      </c>
      <c r="F8" s="30" t="s">
        <v>132</v>
      </c>
      <c r="G8" s="33">
        <v>1</v>
      </c>
      <c r="H8" s="35">
        <v>24</v>
      </c>
      <c r="I8" s="7">
        <v>20000</v>
      </c>
      <c r="J8" s="14">
        <v>4748</v>
      </c>
      <c r="K8" s="15">
        <f>L8</f>
        <v>4748</v>
      </c>
      <c r="L8" s="15">
        <f>1636+3112</f>
        <v>4748</v>
      </c>
      <c r="M8" s="15">
        <f t="shared" si="0"/>
        <v>4748</v>
      </c>
      <c r="N8" s="15">
        <v>0</v>
      </c>
      <c r="O8" s="58">
        <f t="shared" si="1"/>
        <v>0</v>
      </c>
      <c r="P8" s="39">
        <f t="shared" si="2"/>
        <v>22</v>
      </c>
      <c r="Q8" s="40">
        <f t="shared" si="3"/>
        <v>2</v>
      </c>
      <c r="R8" s="7"/>
      <c r="S8" s="6"/>
      <c r="T8" s="16">
        <v>2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6">
        <f>$AD$23</f>
        <v>0.50980392156862753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191</v>
      </c>
      <c r="E9" s="53" t="s">
        <v>192</v>
      </c>
      <c r="F9" s="30" t="s">
        <v>195</v>
      </c>
      <c r="G9" s="33">
        <v>1</v>
      </c>
      <c r="H9" s="35">
        <v>24</v>
      </c>
      <c r="I9" s="7">
        <v>24000</v>
      </c>
      <c r="J9" s="14">
        <v>2633</v>
      </c>
      <c r="K9" s="15">
        <f>L9+4275+4281+3934+3095+2209+2640+1825</f>
        <v>24892</v>
      </c>
      <c r="L9" s="15">
        <f>1437+1196</f>
        <v>2633</v>
      </c>
      <c r="M9" s="15">
        <f t="shared" si="0"/>
        <v>2633</v>
      </c>
      <c r="N9" s="15">
        <v>0</v>
      </c>
      <c r="O9" s="58">
        <f t="shared" si="1"/>
        <v>0</v>
      </c>
      <c r="P9" s="39">
        <f t="shared" si="2"/>
        <v>14</v>
      </c>
      <c r="Q9" s="40">
        <f t="shared" si="3"/>
        <v>10</v>
      </c>
      <c r="R9" s="7"/>
      <c r="S9" s="6">
        <v>4</v>
      </c>
      <c r="T9" s="16"/>
      <c r="U9" s="16"/>
      <c r="V9" s="17">
        <v>6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0.58333333333333337</v>
      </c>
      <c r="AD9" s="10">
        <f t="shared" si="6"/>
        <v>0.58333333333333337</v>
      </c>
      <c r="AE9" s="36">
        <f>$AD$23</f>
        <v>0.50980392156862753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144</v>
      </c>
      <c r="F10" s="30" t="s">
        <v>173</v>
      </c>
      <c r="G10" s="33">
        <v>4</v>
      </c>
      <c r="H10" s="35">
        <v>24</v>
      </c>
      <c r="I10" s="7">
        <v>250000</v>
      </c>
      <c r="J10" s="5">
        <v>37804</v>
      </c>
      <c r="K10" s="15">
        <f>L10+25160+41576+41808+39572+33444+41972+41496+41236+41760+41172+18144</f>
        <v>445144</v>
      </c>
      <c r="L10" s="15">
        <f>5083*4+4368*4</f>
        <v>37804</v>
      </c>
      <c r="M10" s="15">
        <f t="shared" si="0"/>
        <v>37804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>$AD$23</f>
        <v>0.50980392156862753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121</v>
      </c>
      <c r="D11" s="52" t="s">
        <v>115</v>
      </c>
      <c r="E11" s="53" t="s">
        <v>167</v>
      </c>
      <c r="F11" s="30" t="s">
        <v>119</v>
      </c>
      <c r="G11" s="12">
        <v>1</v>
      </c>
      <c r="H11" s="13">
        <v>28</v>
      </c>
      <c r="I11" s="7">
        <v>69000</v>
      </c>
      <c r="J11" s="14">
        <v>2300</v>
      </c>
      <c r="K11" s="15">
        <f>L11+2806+5234+5319+5378+5411+789+4935+3007+4151+5463+4141+4654+5072+5297+3305</f>
        <v>67262</v>
      </c>
      <c r="L11" s="15">
        <f>1378+922</f>
        <v>2300</v>
      </c>
      <c r="M11" s="15">
        <f t="shared" si="0"/>
        <v>2300</v>
      </c>
      <c r="N11" s="15">
        <v>0</v>
      </c>
      <c r="O11" s="58">
        <f t="shared" si="1"/>
        <v>0</v>
      </c>
      <c r="P11" s="39">
        <f t="shared" si="2"/>
        <v>13</v>
      </c>
      <c r="Q11" s="40">
        <f t="shared" si="3"/>
        <v>11</v>
      </c>
      <c r="R11" s="7"/>
      <c r="S11" s="6">
        <v>4</v>
      </c>
      <c r="T11" s="16"/>
      <c r="U11" s="16"/>
      <c r="V11" s="17">
        <v>7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0.54166666666666663</v>
      </c>
      <c r="AD11" s="10">
        <f t="shared" ref="AD11" si="8">AC11*AB11*(1-O11)</f>
        <v>0.54166666666666663</v>
      </c>
      <c r="AE11" s="36">
        <f t="shared" ref="AE11:AE12" si="9">$AD$23</f>
        <v>0.50980392156862753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115</v>
      </c>
      <c r="E12" s="53" t="s">
        <v>167</v>
      </c>
      <c r="F12" s="30" t="s">
        <v>119</v>
      </c>
      <c r="G12" s="12">
        <v>1</v>
      </c>
      <c r="H12" s="13">
        <v>28</v>
      </c>
      <c r="I12" s="7">
        <v>69000</v>
      </c>
      <c r="J12" s="14">
        <v>4865</v>
      </c>
      <c r="K12" s="15">
        <f>L12+2806+5234+5319+5378+5411+789+4935+3007+4151+5463+4141+4654+5072+5297+3305+4969+2245</f>
        <v>77041</v>
      </c>
      <c r="L12" s="15">
        <f>2597+2268</f>
        <v>4865</v>
      </c>
      <c r="M12" s="15">
        <f t="shared" si="0"/>
        <v>4865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4" si="10">AC12*AB12*(1-O12)</f>
        <v>1</v>
      </c>
      <c r="AE12" s="36">
        <f t="shared" si="9"/>
        <v>0.50980392156862753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143</v>
      </c>
      <c r="F13" s="30" t="s">
        <v>125</v>
      </c>
      <c r="G13" s="33">
        <v>4</v>
      </c>
      <c r="H13" s="35">
        <v>24</v>
      </c>
      <c r="I13" s="7">
        <v>100000</v>
      </c>
      <c r="J13" s="5">
        <v>9832</v>
      </c>
      <c r="K13" s="15">
        <f>L13+15096+13713+7584</f>
        <v>46225</v>
      </c>
      <c r="L13" s="15">
        <f>2458*4</f>
        <v>9832</v>
      </c>
      <c r="M13" s="15">
        <f t="shared" si="0"/>
        <v>9832</v>
      </c>
      <c r="N13" s="15">
        <v>0</v>
      </c>
      <c r="O13" s="58">
        <f t="shared" si="1"/>
        <v>0</v>
      </c>
      <c r="P13" s="39">
        <f t="shared" si="2"/>
        <v>13</v>
      </c>
      <c r="Q13" s="40">
        <f t="shared" si="3"/>
        <v>11</v>
      </c>
      <c r="R13" s="7"/>
      <c r="S13" s="6">
        <v>11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0.54166666666666663</v>
      </c>
      <c r="AD13" s="10">
        <f>AC13*AB13*(1-O13)</f>
        <v>0.54166666666666663</v>
      </c>
      <c r="AE13" s="36">
        <f t="shared" ref="AE13:AE22" si="11">$AD$23</f>
        <v>0.50980392156862753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174</v>
      </c>
      <c r="F14" s="30" t="s">
        <v>177</v>
      </c>
      <c r="G14" s="33">
        <v>1</v>
      </c>
      <c r="H14" s="35">
        <v>24</v>
      </c>
      <c r="I14" s="7">
        <v>300</v>
      </c>
      <c r="J14" s="5">
        <v>376</v>
      </c>
      <c r="K14" s="15">
        <f>L14+376</f>
        <v>376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10"/>
        <v>0</v>
      </c>
      <c r="AE14" s="36">
        <f t="shared" si="11"/>
        <v>0.50980392156862753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135</v>
      </c>
      <c r="E15" s="53" t="s">
        <v>253</v>
      </c>
      <c r="F15" s="12" t="s">
        <v>131</v>
      </c>
      <c r="G15" s="12">
        <v>1</v>
      </c>
      <c r="H15" s="13">
        <v>24</v>
      </c>
      <c r="I15" s="31">
        <v>550</v>
      </c>
      <c r="J15" s="14">
        <v>726</v>
      </c>
      <c r="K15" s="15">
        <f>L15+726</f>
        <v>726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11"/>
        <v>0.50980392156862753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L16+6564+12528+9524+11762+12146+1640</f>
        <v>54164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11"/>
        <v>0.50980392156862753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126</v>
      </c>
      <c r="E17" s="53" t="s">
        <v>324</v>
      </c>
      <c r="F17" s="30" t="s">
        <v>325</v>
      </c>
      <c r="G17" s="12">
        <v>4</v>
      </c>
      <c r="H17" s="13">
        <v>24</v>
      </c>
      <c r="I17" s="7">
        <v>10000</v>
      </c>
      <c r="J17" s="14">
        <v>3136</v>
      </c>
      <c r="K17" s="15">
        <f>L17+5108</f>
        <v>8244</v>
      </c>
      <c r="L17" s="15">
        <f>784*4</f>
        <v>3136</v>
      </c>
      <c r="M17" s="15">
        <f t="shared" si="0"/>
        <v>3136</v>
      </c>
      <c r="N17" s="15">
        <v>0</v>
      </c>
      <c r="O17" s="58">
        <f t="shared" si="1"/>
        <v>0</v>
      </c>
      <c r="P17" s="39">
        <f t="shared" si="2"/>
        <v>6</v>
      </c>
      <c r="Q17" s="40">
        <f t="shared" si="3"/>
        <v>18</v>
      </c>
      <c r="R17" s="7"/>
      <c r="S17" s="6"/>
      <c r="T17" s="16"/>
      <c r="U17" s="16"/>
      <c r="V17" s="17"/>
      <c r="W17" s="5">
        <v>18</v>
      </c>
      <c r="X17" s="16"/>
      <c r="Y17" s="16"/>
      <c r="Z17" s="16"/>
      <c r="AA17" s="18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6">
        <f t="shared" si="11"/>
        <v>0.50980392156862753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126</v>
      </c>
      <c r="E18" s="53" t="s">
        <v>346</v>
      </c>
      <c r="F18" s="30" t="s">
        <v>138</v>
      </c>
      <c r="G18" s="33">
        <v>1</v>
      </c>
      <c r="H18" s="35">
        <v>24</v>
      </c>
      <c r="I18" s="7">
        <v>700</v>
      </c>
      <c r="J18" s="14">
        <v>740</v>
      </c>
      <c r="K18" s="15">
        <f>L18</f>
        <v>740</v>
      </c>
      <c r="L18" s="15">
        <v>740</v>
      </c>
      <c r="M18" s="15">
        <f t="shared" si="0"/>
        <v>740</v>
      </c>
      <c r="N18" s="15">
        <v>0</v>
      </c>
      <c r="O18" s="58">
        <f t="shared" si="1"/>
        <v>0</v>
      </c>
      <c r="P18" s="39">
        <f t="shared" si="2"/>
        <v>5</v>
      </c>
      <c r="Q18" s="40">
        <f t="shared" si="3"/>
        <v>19</v>
      </c>
      <c r="R18" s="7"/>
      <c r="S18" s="6">
        <v>8</v>
      </c>
      <c r="T18" s="16"/>
      <c r="U18" s="16"/>
      <c r="V18" s="17"/>
      <c r="W18" s="5">
        <v>11</v>
      </c>
      <c r="X18" s="16"/>
      <c r="Y18" s="16"/>
      <c r="Z18" s="16"/>
      <c r="AA18" s="18"/>
      <c r="AB18" s="8">
        <f t="shared" si="4"/>
        <v>1</v>
      </c>
      <c r="AC18" s="9">
        <f t="shared" si="5"/>
        <v>0.20833333333333334</v>
      </c>
      <c r="AD18" s="10">
        <f t="shared" si="6"/>
        <v>0.20833333333333334</v>
      </c>
      <c r="AE18" s="36">
        <f t="shared" si="11"/>
        <v>0.50980392156862753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121</v>
      </c>
      <c r="D19" s="52" t="s">
        <v>309</v>
      </c>
      <c r="E19" s="53" t="s">
        <v>310</v>
      </c>
      <c r="F19" s="30" t="s">
        <v>139</v>
      </c>
      <c r="G19" s="33" t="s">
        <v>157</v>
      </c>
      <c r="H19" s="35">
        <v>24</v>
      </c>
      <c r="I19" s="7">
        <v>3200</v>
      </c>
      <c r="J19" s="5">
        <v>1199</v>
      </c>
      <c r="K19" s="15">
        <f>L19+2187+624</f>
        <v>4010</v>
      </c>
      <c r="L19" s="15">
        <f>1199</f>
        <v>1199</v>
      </c>
      <c r="M19" s="15">
        <f t="shared" si="0"/>
        <v>1199</v>
      </c>
      <c r="N19" s="15">
        <v>0</v>
      </c>
      <c r="O19" s="58">
        <f t="shared" si="1"/>
        <v>0</v>
      </c>
      <c r="P19" s="39">
        <f t="shared" si="2"/>
        <v>6</v>
      </c>
      <c r="Q19" s="40">
        <f t="shared" si="3"/>
        <v>18</v>
      </c>
      <c r="R19" s="7"/>
      <c r="S19" s="6"/>
      <c r="T19" s="16"/>
      <c r="U19" s="16"/>
      <c r="V19" s="17"/>
      <c r="W19" s="5">
        <v>18</v>
      </c>
      <c r="X19" s="16"/>
      <c r="Y19" s="16"/>
      <c r="Z19" s="16"/>
      <c r="AA19" s="18"/>
      <c r="AB19" s="8">
        <f t="shared" si="4"/>
        <v>1</v>
      </c>
      <c r="AC19" s="9">
        <f t="shared" si="5"/>
        <v>0.25</v>
      </c>
      <c r="AD19" s="10">
        <f>AC19*AB19*(1-O19)</f>
        <v>0.25</v>
      </c>
      <c r="AE19" s="36">
        <f t="shared" si="11"/>
        <v>0.50980392156862753</v>
      </c>
      <c r="AF19" s="84">
        <f t="shared" si="7"/>
        <v>14</v>
      </c>
    </row>
    <row r="20" spans="1:32" ht="27" customHeight="1">
      <c r="A20" s="96">
        <v>14</v>
      </c>
      <c r="B20" s="11" t="s">
        <v>57</v>
      </c>
      <c r="C20" s="34" t="s">
        <v>340</v>
      </c>
      <c r="D20" s="52"/>
      <c r="E20" s="53" t="s">
        <v>347</v>
      </c>
      <c r="F20" s="30" t="s">
        <v>139</v>
      </c>
      <c r="G20" s="33" t="s">
        <v>157</v>
      </c>
      <c r="H20" s="35">
        <v>24</v>
      </c>
      <c r="I20" s="7">
        <v>3000</v>
      </c>
      <c r="J20" s="5">
        <v>3157</v>
      </c>
      <c r="K20" s="15">
        <f>L20</f>
        <v>3157</v>
      </c>
      <c r="L20" s="15">
        <f>2673+484</f>
        <v>3157</v>
      </c>
      <c r="M20" s="15">
        <f t="shared" ref="M20" si="12">L20-N20</f>
        <v>3157</v>
      </c>
      <c r="N20" s="15">
        <v>0</v>
      </c>
      <c r="O20" s="58">
        <f t="shared" ref="O20" si="13">IF(L20=0,"0",N20/L20)</f>
        <v>0</v>
      </c>
      <c r="P20" s="39">
        <f t="shared" ref="P20" si="14">IF(L20=0,"0",(24-Q20))</f>
        <v>17</v>
      </c>
      <c r="Q20" s="40">
        <f t="shared" ref="Q20" si="15">SUM(R20:AA20)</f>
        <v>7</v>
      </c>
      <c r="R20" s="7"/>
      <c r="S20" s="6"/>
      <c r="T20" s="16">
        <v>7</v>
      </c>
      <c r="U20" s="16"/>
      <c r="V20" s="17"/>
      <c r="W20" s="5"/>
      <c r="X20" s="16"/>
      <c r="Y20" s="16"/>
      <c r="Z20" s="16"/>
      <c r="AA20" s="18"/>
      <c r="AB20" s="8">
        <f t="shared" ref="AB20" si="16">IF(J20=0,"0",(L20/J20))</f>
        <v>1</v>
      </c>
      <c r="AC20" s="9">
        <f t="shared" ref="AC20" si="17">IF(P20=0,"0",(P20/24))</f>
        <v>0.70833333333333337</v>
      </c>
      <c r="AD20" s="10">
        <f>AC20*AB20*(1-O20)</f>
        <v>0.70833333333333337</v>
      </c>
      <c r="AE20" s="36">
        <f t="shared" si="11"/>
        <v>0.50980392156862753</v>
      </c>
      <c r="AF20" s="84">
        <f t="shared" ref="AF20" si="18">A20</f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115</v>
      </c>
      <c r="E21" s="53" t="s">
        <v>166</v>
      </c>
      <c r="F21" s="30" t="s">
        <v>119</v>
      </c>
      <c r="G21" s="12">
        <v>1</v>
      </c>
      <c r="H21" s="13">
        <v>28</v>
      </c>
      <c r="I21" s="31">
        <v>40000</v>
      </c>
      <c r="J21" s="5">
        <v>3718</v>
      </c>
      <c r="K21" s="15">
        <f>L21+2503+4146+3422+2211+1805+550+1849+2614+2495+1614+1413+464+2031+1384+2779+3110+1852+2502+433</f>
        <v>42895</v>
      </c>
      <c r="L21" s="15">
        <f>981+2737</f>
        <v>3718</v>
      </c>
      <c r="M21" s="15">
        <f t="shared" si="0"/>
        <v>3718</v>
      </c>
      <c r="N21" s="15">
        <v>0</v>
      </c>
      <c r="O21" s="58">
        <f t="shared" si="1"/>
        <v>0</v>
      </c>
      <c r="P21" s="39">
        <f t="shared" si="2"/>
        <v>19</v>
      </c>
      <c r="Q21" s="40">
        <f t="shared" si="3"/>
        <v>5</v>
      </c>
      <c r="R21" s="7"/>
      <c r="S21" s="6">
        <v>5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0.79166666666666663</v>
      </c>
      <c r="AD21" s="10">
        <f t="shared" ref="AD21" si="19">AC21*AB21*(1-O21)</f>
        <v>0.79166666666666663</v>
      </c>
      <c r="AE21" s="36">
        <f t="shared" si="11"/>
        <v>0.50980392156862753</v>
      </c>
      <c r="AF21" s="84">
        <f t="shared" si="7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348</v>
      </c>
      <c r="F22" s="12" t="s">
        <v>114</v>
      </c>
      <c r="G22" s="12">
        <v>4</v>
      </c>
      <c r="H22" s="35">
        <v>20</v>
      </c>
      <c r="I22" s="7">
        <v>300000</v>
      </c>
      <c r="J22" s="14">
        <v>30884</v>
      </c>
      <c r="K22" s="15">
        <f>L22</f>
        <v>30884</v>
      </c>
      <c r="L22" s="15">
        <f>7721*4</f>
        <v>30884</v>
      </c>
      <c r="M22" s="15">
        <f t="shared" si="0"/>
        <v>30884</v>
      </c>
      <c r="N22" s="15">
        <v>0</v>
      </c>
      <c r="O22" s="58">
        <f t="shared" si="1"/>
        <v>0</v>
      </c>
      <c r="P22" s="39">
        <f t="shared" si="2"/>
        <v>11</v>
      </c>
      <c r="Q22" s="40">
        <f t="shared" si="3"/>
        <v>13</v>
      </c>
      <c r="R22" s="7"/>
      <c r="S22" s="6"/>
      <c r="T22" s="16"/>
      <c r="U22" s="16"/>
      <c r="V22" s="17">
        <v>13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0.45833333333333331</v>
      </c>
      <c r="AD22" s="10">
        <f t="shared" si="6"/>
        <v>0.45833333333333331</v>
      </c>
      <c r="AE22" s="36">
        <f t="shared" si="11"/>
        <v>0.50980392156862753</v>
      </c>
      <c r="AF22" s="84">
        <f t="shared" si="7"/>
        <v>16</v>
      </c>
    </row>
    <row r="23" spans="1:32" ht="31.5" customHeight="1" thickBot="1">
      <c r="A23" s="405" t="s">
        <v>34</v>
      </c>
      <c r="B23" s="406"/>
      <c r="C23" s="406"/>
      <c r="D23" s="406"/>
      <c r="E23" s="406"/>
      <c r="F23" s="406"/>
      <c r="G23" s="406"/>
      <c r="H23" s="407"/>
      <c r="I23" s="22">
        <f t="shared" ref="I23:N23" si="20">SUM(I6:I22)</f>
        <v>1210750</v>
      </c>
      <c r="J23" s="19">
        <f t="shared" si="20"/>
        <v>115463</v>
      </c>
      <c r="K23" s="20">
        <f t="shared" si="20"/>
        <v>834779</v>
      </c>
      <c r="L23" s="21">
        <f t="shared" si="20"/>
        <v>112721</v>
      </c>
      <c r="M23" s="20">
        <f t="shared" si="20"/>
        <v>112721</v>
      </c>
      <c r="N23" s="21">
        <f t="shared" si="20"/>
        <v>0</v>
      </c>
      <c r="O23" s="41">
        <f t="shared" si="1"/>
        <v>0</v>
      </c>
      <c r="P23" s="42">
        <f t="shared" ref="P23:AA23" si="21">SUM(P6:P22)</f>
        <v>208</v>
      </c>
      <c r="Q23" s="43">
        <f t="shared" si="21"/>
        <v>200</v>
      </c>
      <c r="R23" s="23">
        <f t="shared" si="21"/>
        <v>24</v>
      </c>
      <c r="S23" s="24">
        <f t="shared" si="21"/>
        <v>32</v>
      </c>
      <c r="T23" s="24">
        <f t="shared" si="21"/>
        <v>9</v>
      </c>
      <c r="U23" s="24">
        <f t="shared" si="21"/>
        <v>0</v>
      </c>
      <c r="V23" s="25">
        <f t="shared" si="21"/>
        <v>26</v>
      </c>
      <c r="W23" s="26">
        <f t="shared" si="21"/>
        <v>109</v>
      </c>
      <c r="X23" s="27">
        <f t="shared" si="21"/>
        <v>0</v>
      </c>
      <c r="Y23" s="27">
        <f t="shared" si="21"/>
        <v>0</v>
      </c>
      <c r="Z23" s="27">
        <f t="shared" si="21"/>
        <v>0</v>
      </c>
      <c r="AA23" s="27">
        <f t="shared" si="21"/>
        <v>0</v>
      </c>
      <c r="AB23" s="28">
        <f>AVERAGE(AB6:AB22)</f>
        <v>0.82352941176470584</v>
      </c>
      <c r="AC23" s="4">
        <f>AVERAGE(AC6:AC22)</f>
        <v>0.50980392156862753</v>
      </c>
      <c r="AD23" s="4">
        <f>AVERAGE(AD6:AD22)</f>
        <v>0.50980392156862753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08" t="s">
        <v>45</v>
      </c>
      <c r="B50" s="408"/>
      <c r="C50" s="408"/>
      <c r="D50" s="408"/>
      <c r="E50" s="40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09" t="s">
        <v>349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1"/>
      <c r="N51" s="412" t="s">
        <v>360</v>
      </c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4"/>
    </row>
    <row r="52" spans="1:32" ht="27" customHeight="1">
      <c r="A52" s="415" t="s">
        <v>2</v>
      </c>
      <c r="B52" s="416"/>
      <c r="C52" s="210" t="s">
        <v>46</v>
      </c>
      <c r="D52" s="210" t="s">
        <v>47</v>
      </c>
      <c r="E52" s="210" t="s">
        <v>107</v>
      </c>
      <c r="F52" s="417" t="s">
        <v>106</v>
      </c>
      <c r="G52" s="418"/>
      <c r="H52" s="418"/>
      <c r="I52" s="418"/>
      <c r="J52" s="418"/>
      <c r="K52" s="418"/>
      <c r="L52" s="418"/>
      <c r="M52" s="419"/>
      <c r="N52" s="67" t="s">
        <v>110</v>
      </c>
      <c r="O52" s="210" t="s">
        <v>46</v>
      </c>
      <c r="P52" s="417" t="s">
        <v>47</v>
      </c>
      <c r="Q52" s="420"/>
      <c r="R52" s="417" t="s">
        <v>38</v>
      </c>
      <c r="S52" s="418"/>
      <c r="T52" s="418"/>
      <c r="U52" s="420"/>
      <c r="V52" s="417" t="s">
        <v>48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31" t="s">
        <v>120</v>
      </c>
      <c r="B53" s="432"/>
      <c r="C53" s="212" t="s">
        <v>148</v>
      </c>
      <c r="D53" s="212" t="s">
        <v>115</v>
      </c>
      <c r="E53" s="212" t="s">
        <v>166</v>
      </c>
      <c r="F53" s="433" t="s">
        <v>133</v>
      </c>
      <c r="G53" s="434"/>
      <c r="H53" s="434"/>
      <c r="I53" s="434"/>
      <c r="J53" s="434"/>
      <c r="K53" s="434"/>
      <c r="L53" s="434"/>
      <c r="M53" s="435"/>
      <c r="N53" s="211" t="s">
        <v>120</v>
      </c>
      <c r="O53" s="217" t="s">
        <v>190</v>
      </c>
      <c r="P53" s="436" t="s">
        <v>191</v>
      </c>
      <c r="Q53" s="437"/>
      <c r="R53" s="436" t="s">
        <v>192</v>
      </c>
      <c r="S53" s="438"/>
      <c r="T53" s="438"/>
      <c r="U53" s="437"/>
      <c r="V53" s="439" t="s">
        <v>133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120</v>
      </c>
      <c r="B54" s="432"/>
      <c r="C54" s="212" t="s">
        <v>217</v>
      </c>
      <c r="D54" s="212" t="s">
        <v>294</v>
      </c>
      <c r="E54" s="212" t="s">
        <v>331</v>
      </c>
      <c r="F54" s="433" t="s">
        <v>118</v>
      </c>
      <c r="G54" s="434"/>
      <c r="H54" s="434"/>
      <c r="I54" s="434"/>
      <c r="J54" s="434"/>
      <c r="K54" s="434"/>
      <c r="L54" s="434"/>
      <c r="M54" s="435"/>
      <c r="N54" s="211" t="s">
        <v>120</v>
      </c>
      <c r="O54" s="217" t="s">
        <v>353</v>
      </c>
      <c r="P54" s="436" t="s">
        <v>361</v>
      </c>
      <c r="Q54" s="437"/>
      <c r="R54" s="436" t="s">
        <v>362</v>
      </c>
      <c r="S54" s="438"/>
      <c r="T54" s="438"/>
      <c r="U54" s="437"/>
      <c r="V54" s="439" t="s">
        <v>118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350</v>
      </c>
      <c r="B55" s="432"/>
      <c r="C55" s="212" t="s">
        <v>223</v>
      </c>
      <c r="D55" s="212"/>
      <c r="E55" s="212" t="s">
        <v>347</v>
      </c>
      <c r="F55" s="433" t="s">
        <v>118</v>
      </c>
      <c r="G55" s="434"/>
      <c r="H55" s="434"/>
      <c r="I55" s="434"/>
      <c r="J55" s="434"/>
      <c r="K55" s="434"/>
      <c r="L55" s="434"/>
      <c r="M55" s="435"/>
      <c r="N55" s="227" t="s">
        <v>340</v>
      </c>
      <c r="O55" s="225" t="s">
        <v>223</v>
      </c>
      <c r="P55" s="436"/>
      <c r="Q55" s="437"/>
      <c r="R55" s="436" t="s">
        <v>363</v>
      </c>
      <c r="S55" s="438"/>
      <c r="T55" s="438"/>
      <c r="U55" s="437"/>
      <c r="V55" s="439" t="s">
        <v>118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120</v>
      </c>
      <c r="B56" s="432"/>
      <c r="C56" s="212" t="s">
        <v>190</v>
      </c>
      <c r="D56" s="212" t="s">
        <v>191</v>
      </c>
      <c r="E56" s="212" t="s">
        <v>192</v>
      </c>
      <c r="F56" s="433" t="s">
        <v>351</v>
      </c>
      <c r="G56" s="434"/>
      <c r="H56" s="434"/>
      <c r="I56" s="434"/>
      <c r="J56" s="434"/>
      <c r="K56" s="434"/>
      <c r="L56" s="434"/>
      <c r="M56" s="435"/>
      <c r="N56" s="211" t="s">
        <v>112</v>
      </c>
      <c r="O56" s="217" t="s">
        <v>136</v>
      </c>
      <c r="P56" s="436" t="s">
        <v>364</v>
      </c>
      <c r="Q56" s="437"/>
      <c r="R56" s="436" t="s">
        <v>365</v>
      </c>
      <c r="S56" s="438"/>
      <c r="T56" s="438"/>
      <c r="U56" s="437"/>
      <c r="V56" s="439" t="s">
        <v>332</v>
      </c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352</v>
      </c>
      <c r="B57" s="432"/>
      <c r="C57" s="212" t="s">
        <v>353</v>
      </c>
      <c r="D57" s="212" t="s">
        <v>354</v>
      </c>
      <c r="E57" s="212" t="s">
        <v>355</v>
      </c>
      <c r="F57" s="433" t="s">
        <v>351</v>
      </c>
      <c r="G57" s="434"/>
      <c r="H57" s="434"/>
      <c r="I57" s="434"/>
      <c r="J57" s="434"/>
      <c r="K57" s="434"/>
      <c r="L57" s="434"/>
      <c r="M57" s="435"/>
      <c r="N57" s="211" t="s">
        <v>112</v>
      </c>
      <c r="O57" s="217" t="s">
        <v>366</v>
      </c>
      <c r="P57" s="436" t="s">
        <v>367</v>
      </c>
      <c r="Q57" s="437"/>
      <c r="R57" s="436" t="s">
        <v>368</v>
      </c>
      <c r="S57" s="438"/>
      <c r="T57" s="438"/>
      <c r="U57" s="437"/>
      <c r="V57" s="439" t="s">
        <v>118</v>
      </c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352</v>
      </c>
      <c r="B58" s="432"/>
      <c r="C58" s="212" t="s">
        <v>356</v>
      </c>
      <c r="D58" s="212" t="s">
        <v>357</v>
      </c>
      <c r="E58" s="212" t="s">
        <v>358</v>
      </c>
      <c r="F58" s="433" t="s">
        <v>359</v>
      </c>
      <c r="G58" s="434"/>
      <c r="H58" s="434"/>
      <c r="I58" s="434"/>
      <c r="J58" s="434"/>
      <c r="K58" s="434"/>
      <c r="L58" s="434"/>
      <c r="M58" s="435"/>
      <c r="N58" s="211"/>
      <c r="O58" s="217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212"/>
      <c r="D59" s="212"/>
      <c r="E59" s="212"/>
      <c r="F59" s="433"/>
      <c r="G59" s="434"/>
      <c r="H59" s="434"/>
      <c r="I59" s="434"/>
      <c r="J59" s="434"/>
      <c r="K59" s="434"/>
      <c r="L59" s="434"/>
      <c r="M59" s="435"/>
      <c r="N59" s="211"/>
      <c r="O59" s="217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212"/>
      <c r="D60" s="212"/>
      <c r="E60" s="212"/>
      <c r="F60" s="433"/>
      <c r="G60" s="434"/>
      <c r="H60" s="434"/>
      <c r="I60" s="434"/>
      <c r="J60" s="434"/>
      <c r="K60" s="434"/>
      <c r="L60" s="434"/>
      <c r="M60" s="435"/>
      <c r="N60" s="211"/>
      <c r="O60" s="217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212"/>
      <c r="D61" s="212"/>
      <c r="E61" s="212"/>
      <c r="F61" s="433"/>
      <c r="G61" s="434"/>
      <c r="H61" s="434"/>
      <c r="I61" s="434"/>
      <c r="J61" s="434"/>
      <c r="K61" s="434"/>
      <c r="L61" s="434"/>
      <c r="M61" s="435"/>
      <c r="N61" s="211"/>
      <c r="O61" s="217"/>
      <c r="P61" s="432"/>
      <c r="Q61" s="432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  <c r="AF61" s="84">
        <f>8*3000</f>
        <v>24000</v>
      </c>
    </row>
    <row r="62" spans="1:32" ht="27" customHeight="1" thickBot="1">
      <c r="A62" s="441"/>
      <c r="B62" s="442"/>
      <c r="C62" s="213"/>
      <c r="D62" s="214"/>
      <c r="E62" s="214"/>
      <c r="F62" s="443"/>
      <c r="G62" s="444"/>
      <c r="H62" s="444"/>
      <c r="I62" s="444"/>
      <c r="J62" s="444"/>
      <c r="K62" s="444"/>
      <c r="L62" s="444"/>
      <c r="M62" s="445"/>
      <c r="N62" s="112"/>
      <c r="O62" s="103"/>
      <c r="P62" s="446"/>
      <c r="Q62" s="446"/>
      <c r="R62" s="446"/>
      <c r="S62" s="446"/>
      <c r="T62" s="446"/>
      <c r="U62" s="446"/>
      <c r="V62" s="447"/>
      <c r="W62" s="447"/>
      <c r="X62" s="447"/>
      <c r="Y62" s="447"/>
      <c r="Z62" s="447"/>
      <c r="AA62" s="447"/>
      <c r="AB62" s="447"/>
      <c r="AC62" s="447"/>
      <c r="AD62" s="448"/>
      <c r="AF62" s="84">
        <f>16*3000</f>
        <v>48000</v>
      </c>
    </row>
    <row r="63" spans="1:32" ht="27.75" thickBot="1">
      <c r="A63" s="449" t="s">
        <v>369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0" t="s">
        <v>111</v>
      </c>
      <c r="B64" s="451"/>
      <c r="C64" s="215" t="s">
        <v>2</v>
      </c>
      <c r="D64" s="215" t="s">
        <v>37</v>
      </c>
      <c r="E64" s="215" t="s">
        <v>3</v>
      </c>
      <c r="F64" s="451" t="s">
        <v>109</v>
      </c>
      <c r="G64" s="451"/>
      <c r="H64" s="451"/>
      <c r="I64" s="451"/>
      <c r="J64" s="451"/>
      <c r="K64" s="451" t="s">
        <v>39</v>
      </c>
      <c r="L64" s="451"/>
      <c r="M64" s="215" t="s">
        <v>40</v>
      </c>
      <c r="N64" s="451" t="s">
        <v>41</v>
      </c>
      <c r="O64" s="451"/>
      <c r="P64" s="452" t="s">
        <v>42</v>
      </c>
      <c r="Q64" s="453"/>
      <c r="R64" s="452" t="s">
        <v>43</v>
      </c>
      <c r="S64" s="454"/>
      <c r="T64" s="454"/>
      <c r="U64" s="454"/>
      <c r="V64" s="454"/>
      <c r="W64" s="454"/>
      <c r="X64" s="454"/>
      <c r="Y64" s="454"/>
      <c r="Z64" s="454"/>
      <c r="AA64" s="453"/>
      <c r="AB64" s="451" t="s">
        <v>44</v>
      </c>
      <c r="AC64" s="451"/>
      <c r="AD64" s="455"/>
      <c r="AF64" s="84">
        <f>SUM(AF61:AF63)</f>
        <v>96000</v>
      </c>
    </row>
    <row r="65" spans="1:32" ht="25.5" customHeight="1">
      <c r="A65" s="456">
        <v>1</v>
      </c>
      <c r="B65" s="457"/>
      <c r="C65" s="105" t="s">
        <v>370</v>
      </c>
      <c r="D65" s="219"/>
      <c r="E65" s="216" t="s">
        <v>371</v>
      </c>
      <c r="F65" s="458" t="s">
        <v>372</v>
      </c>
      <c r="G65" s="459"/>
      <c r="H65" s="459"/>
      <c r="I65" s="459"/>
      <c r="J65" s="460"/>
      <c r="K65" s="461" t="s">
        <v>373</v>
      </c>
      <c r="L65" s="461"/>
      <c r="M65" s="51" t="s">
        <v>374</v>
      </c>
      <c r="N65" s="462" t="s">
        <v>366</v>
      </c>
      <c r="O65" s="462"/>
      <c r="P65" s="463">
        <v>50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4"/>
      <c r="AC65" s="465"/>
      <c r="AD65" s="466"/>
      <c r="AF65" s="50"/>
    </row>
    <row r="66" spans="1:32" ht="25.5" customHeight="1">
      <c r="A66" s="456">
        <v>2</v>
      </c>
      <c r="B66" s="457"/>
      <c r="C66" s="105" t="s">
        <v>112</v>
      </c>
      <c r="D66" s="219"/>
      <c r="E66" s="216" t="s">
        <v>357</v>
      </c>
      <c r="F66" s="458" t="s">
        <v>375</v>
      </c>
      <c r="G66" s="459"/>
      <c r="H66" s="459"/>
      <c r="I66" s="459"/>
      <c r="J66" s="460"/>
      <c r="K66" s="461" t="s">
        <v>376</v>
      </c>
      <c r="L66" s="461"/>
      <c r="M66" s="51" t="s">
        <v>374</v>
      </c>
      <c r="N66" s="462" t="s">
        <v>366</v>
      </c>
      <c r="O66" s="462"/>
      <c r="P66" s="463">
        <v>50</v>
      </c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3</v>
      </c>
      <c r="B67" s="457"/>
      <c r="C67" s="105" t="s">
        <v>370</v>
      </c>
      <c r="D67" s="219"/>
      <c r="E67" s="216" t="s">
        <v>377</v>
      </c>
      <c r="F67" s="458" t="s">
        <v>378</v>
      </c>
      <c r="G67" s="459"/>
      <c r="H67" s="459"/>
      <c r="I67" s="459"/>
      <c r="J67" s="460"/>
      <c r="K67" s="461" t="s">
        <v>379</v>
      </c>
      <c r="L67" s="461"/>
      <c r="M67" s="51" t="s">
        <v>380</v>
      </c>
      <c r="N67" s="462" t="s">
        <v>381</v>
      </c>
      <c r="O67" s="462"/>
      <c r="P67" s="463">
        <v>200</v>
      </c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4</v>
      </c>
      <c r="B68" s="457"/>
      <c r="C68" s="105"/>
      <c r="D68" s="219"/>
      <c r="E68" s="216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5</v>
      </c>
      <c r="B69" s="457"/>
      <c r="C69" s="105"/>
      <c r="D69" s="219"/>
      <c r="E69" s="216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6</v>
      </c>
      <c r="B70" s="457"/>
      <c r="C70" s="105"/>
      <c r="D70" s="219"/>
      <c r="E70" s="216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7</v>
      </c>
      <c r="B71" s="457"/>
      <c r="C71" s="105"/>
      <c r="D71" s="219"/>
      <c r="E71" s="216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8</v>
      </c>
      <c r="B72" s="457"/>
      <c r="C72" s="105"/>
      <c r="D72" s="219"/>
      <c r="E72" s="216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9</v>
      </c>
      <c r="B73" s="457"/>
      <c r="C73" s="105"/>
      <c r="D73" s="219"/>
      <c r="E73" s="216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10</v>
      </c>
      <c r="B74" s="457"/>
      <c r="C74" s="105"/>
      <c r="D74" s="219"/>
      <c r="E74" s="216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6.25" customHeight="1" thickBot="1">
      <c r="A75" s="469" t="s">
        <v>382</v>
      </c>
      <c r="B75" s="469"/>
      <c r="C75" s="469"/>
      <c r="D75" s="469"/>
      <c r="E75" s="46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0" t="s">
        <v>111</v>
      </c>
      <c r="B76" s="471"/>
      <c r="C76" s="218" t="s">
        <v>2</v>
      </c>
      <c r="D76" s="218" t="s">
        <v>37</v>
      </c>
      <c r="E76" s="218" t="s">
        <v>3</v>
      </c>
      <c r="F76" s="471" t="s">
        <v>38</v>
      </c>
      <c r="G76" s="471"/>
      <c r="H76" s="471"/>
      <c r="I76" s="471"/>
      <c r="J76" s="471"/>
      <c r="K76" s="472" t="s">
        <v>58</v>
      </c>
      <c r="L76" s="473"/>
      <c r="M76" s="473"/>
      <c r="N76" s="473"/>
      <c r="O76" s="473"/>
      <c r="P76" s="473"/>
      <c r="Q76" s="473"/>
      <c r="R76" s="473"/>
      <c r="S76" s="474"/>
      <c r="T76" s="471" t="s">
        <v>49</v>
      </c>
      <c r="U76" s="471"/>
      <c r="V76" s="472" t="s">
        <v>50</v>
      </c>
      <c r="W76" s="474"/>
      <c r="X76" s="473" t="s">
        <v>51</v>
      </c>
      <c r="Y76" s="473"/>
      <c r="Z76" s="473"/>
      <c r="AA76" s="473"/>
      <c r="AB76" s="473"/>
      <c r="AC76" s="473"/>
      <c r="AD76" s="475"/>
      <c r="AF76" s="50"/>
    </row>
    <row r="77" spans="1:32" ht="33.75" customHeight="1">
      <c r="A77" s="484">
        <v>1</v>
      </c>
      <c r="B77" s="485"/>
      <c r="C77" s="220" t="s">
        <v>112</v>
      </c>
      <c r="D77" s="220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76">
        <f>A77+1</f>
        <v>2</v>
      </c>
      <c r="B78" s="477"/>
      <c r="C78" s="219"/>
      <c r="D78" s="219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ref="A79:A83" si="22">A78+1</f>
        <v>3</v>
      </c>
      <c r="B79" s="477"/>
      <c r="C79" s="219"/>
      <c r="D79" s="219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22"/>
        <v>4</v>
      </c>
      <c r="B80" s="477"/>
      <c r="C80" s="219"/>
      <c r="D80" s="219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22"/>
        <v>5</v>
      </c>
      <c r="B81" s="477"/>
      <c r="C81" s="219"/>
      <c r="D81" s="219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22"/>
        <v>6</v>
      </c>
      <c r="B82" s="477"/>
      <c r="C82" s="219"/>
      <c r="D82" s="219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22"/>
        <v>7</v>
      </c>
      <c r="B83" s="477"/>
      <c r="C83" s="219"/>
      <c r="D83" s="219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6" thickBot="1">
      <c r="A84" s="469" t="s">
        <v>383</v>
      </c>
      <c r="B84" s="469"/>
      <c r="C84" s="469"/>
      <c r="D84" s="469"/>
      <c r="E84" s="46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0" t="s">
        <v>111</v>
      </c>
      <c r="B85" s="471"/>
      <c r="C85" s="497" t="s">
        <v>52</v>
      </c>
      <c r="D85" s="497"/>
      <c r="E85" s="497" t="s">
        <v>53</v>
      </c>
      <c r="F85" s="497"/>
      <c r="G85" s="497"/>
      <c r="H85" s="497"/>
      <c r="I85" s="497"/>
      <c r="J85" s="497"/>
      <c r="K85" s="497" t="s">
        <v>54</v>
      </c>
      <c r="L85" s="497"/>
      <c r="M85" s="497"/>
      <c r="N85" s="497"/>
      <c r="O85" s="497"/>
      <c r="P85" s="497"/>
      <c r="Q85" s="497"/>
      <c r="R85" s="497"/>
      <c r="S85" s="497"/>
      <c r="T85" s="497" t="s">
        <v>55</v>
      </c>
      <c r="U85" s="497"/>
      <c r="V85" s="497" t="s">
        <v>56</v>
      </c>
      <c r="W85" s="497"/>
      <c r="X85" s="497"/>
      <c r="Y85" s="497" t="s">
        <v>51</v>
      </c>
      <c r="Z85" s="497"/>
      <c r="AA85" s="497"/>
      <c r="AB85" s="497"/>
      <c r="AC85" s="497"/>
      <c r="AD85" s="498"/>
      <c r="AF85" s="50"/>
    </row>
    <row r="86" spans="1:32" ht="30.75" customHeight="1">
      <c r="A86" s="484">
        <v>1</v>
      </c>
      <c r="B86" s="485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500"/>
      <c r="W86" s="500"/>
      <c r="X86" s="500"/>
      <c r="Y86" s="501"/>
      <c r="Z86" s="501"/>
      <c r="AA86" s="501"/>
      <c r="AB86" s="501"/>
      <c r="AC86" s="501"/>
      <c r="AD86" s="502"/>
      <c r="AF86" s="50"/>
    </row>
    <row r="87" spans="1:32" ht="30.75" customHeight="1">
      <c r="A87" s="476">
        <v>2</v>
      </c>
      <c r="B87" s="477"/>
      <c r="C87" s="510"/>
      <c r="D87" s="510"/>
      <c r="E87" s="510"/>
      <c r="F87" s="510"/>
      <c r="G87" s="510"/>
      <c r="H87" s="510"/>
      <c r="I87" s="510"/>
      <c r="J87" s="510"/>
      <c r="K87" s="510"/>
      <c r="L87" s="510"/>
      <c r="M87" s="510"/>
      <c r="N87" s="510"/>
      <c r="O87" s="510"/>
      <c r="P87" s="510"/>
      <c r="Q87" s="510"/>
      <c r="R87" s="510"/>
      <c r="S87" s="510"/>
      <c r="T87" s="511"/>
      <c r="U87" s="511"/>
      <c r="V87" s="512"/>
      <c r="W87" s="512"/>
      <c r="X87" s="512"/>
      <c r="Y87" s="503"/>
      <c r="Z87" s="503"/>
      <c r="AA87" s="503"/>
      <c r="AB87" s="503"/>
      <c r="AC87" s="503"/>
      <c r="AD87" s="504"/>
      <c r="AF87" s="50"/>
    </row>
    <row r="88" spans="1:32" ht="30.75" customHeight="1" thickBot="1">
      <c r="A88" s="505">
        <v>3</v>
      </c>
      <c r="B88" s="506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07"/>
      <c r="X88" s="507"/>
      <c r="Y88" s="508"/>
      <c r="Z88" s="508"/>
      <c r="AA88" s="508"/>
      <c r="AB88" s="508"/>
      <c r="AC88" s="508"/>
      <c r="AD88" s="509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CE3-E3FE-48AE-AE16-C88FD71EA210}">
  <sheetPr codeName="Sheet12"/>
  <dimension ref="A1:AF90"/>
  <sheetViews>
    <sheetView view="pageBreakPreview" zoomScale="70" zoomScaleNormal="72" zoomScaleSheetLayoutView="70" workbookViewId="0">
      <selection activeCell="AE9" sqref="AE9:AE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384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232" t="s">
        <v>17</v>
      </c>
      <c r="L5" s="232" t="s">
        <v>18</v>
      </c>
      <c r="M5" s="232" t="s">
        <v>19</v>
      </c>
      <c r="N5" s="23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244</v>
      </c>
      <c r="E6" s="53" t="s">
        <v>365</v>
      </c>
      <c r="F6" s="30" t="s">
        <v>156</v>
      </c>
      <c r="G6" s="12">
        <v>1</v>
      </c>
      <c r="H6" s="13">
        <v>24</v>
      </c>
      <c r="I6" s="31">
        <v>4000</v>
      </c>
      <c r="J6" s="5">
        <v>4554</v>
      </c>
      <c r="K6" s="15">
        <f>L6</f>
        <v>4554</v>
      </c>
      <c r="L6" s="15">
        <f>1884+2670</f>
        <v>4554</v>
      </c>
      <c r="M6" s="15">
        <f t="shared" ref="M6:M24" si="0">L6-N6</f>
        <v>4554</v>
      </c>
      <c r="N6" s="15">
        <v>0</v>
      </c>
      <c r="O6" s="58">
        <f t="shared" ref="O6:O25" si="1">IF(L6=0,"0",N6/L6)</f>
        <v>0</v>
      </c>
      <c r="P6" s="39">
        <f t="shared" ref="P6:P24" si="2">IF(L6=0,"0",(24-Q6))</f>
        <v>22</v>
      </c>
      <c r="Q6" s="40">
        <f t="shared" ref="Q6:Q24" si="3">SUM(R6:AA6)</f>
        <v>2</v>
      </c>
      <c r="R6" s="7"/>
      <c r="S6" s="6"/>
      <c r="T6" s="16">
        <v>2</v>
      </c>
      <c r="U6" s="16"/>
      <c r="V6" s="17"/>
      <c r="W6" s="5"/>
      <c r="X6" s="16"/>
      <c r="Y6" s="16"/>
      <c r="Z6" s="16"/>
      <c r="AA6" s="18"/>
      <c r="AB6" s="8">
        <f t="shared" ref="AB6:AB24" si="4">IF(J6=0,"0",(L6/J6))</f>
        <v>1</v>
      </c>
      <c r="AC6" s="9">
        <f t="shared" ref="AC6:AC24" si="5">IF(P6=0,"0",(P6/24))</f>
        <v>0.91666666666666663</v>
      </c>
      <c r="AD6" s="10">
        <f t="shared" ref="AD6:AD24" si="6">AC6*AB6*(1-O6)</f>
        <v>0.91666666666666663</v>
      </c>
      <c r="AE6" s="36">
        <f>$AD$25</f>
        <v>0.51754385964912275</v>
      </c>
      <c r="AF6" s="84">
        <f t="shared" ref="AF6:AF24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308</v>
      </c>
      <c r="F7" s="12" t="s">
        <v>131</v>
      </c>
      <c r="G7" s="12">
        <v>1</v>
      </c>
      <c r="H7" s="13">
        <v>24</v>
      </c>
      <c r="I7" s="31">
        <v>10000</v>
      </c>
      <c r="J7" s="14">
        <v>2208</v>
      </c>
      <c r="K7" s="15">
        <f>L7+3036+2875+6063</f>
        <v>14182</v>
      </c>
      <c r="L7" s="15">
        <f>2208</f>
        <v>2208</v>
      </c>
      <c r="M7" s="15">
        <f t="shared" si="0"/>
        <v>2208</v>
      </c>
      <c r="N7" s="15">
        <v>0</v>
      </c>
      <c r="O7" s="58">
        <f t="shared" si="1"/>
        <v>0</v>
      </c>
      <c r="P7" s="39">
        <f t="shared" si="2"/>
        <v>10</v>
      </c>
      <c r="Q7" s="40">
        <f t="shared" si="3"/>
        <v>14</v>
      </c>
      <c r="R7" s="7"/>
      <c r="S7" s="6"/>
      <c r="T7" s="16"/>
      <c r="U7" s="16"/>
      <c r="V7" s="17"/>
      <c r="W7" s="5">
        <v>14</v>
      </c>
      <c r="X7" s="16"/>
      <c r="Y7" s="16"/>
      <c r="Z7" s="16"/>
      <c r="AA7" s="18"/>
      <c r="AB7" s="8">
        <f t="shared" si="4"/>
        <v>1</v>
      </c>
      <c r="AC7" s="9">
        <f t="shared" si="5"/>
        <v>0.41666666666666669</v>
      </c>
      <c r="AD7" s="10">
        <f t="shared" si="6"/>
        <v>0.41666666666666669</v>
      </c>
      <c r="AE7" s="36">
        <f>$AD$25</f>
        <v>0.51754385964912275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331</v>
      </c>
      <c r="F8" s="30" t="s">
        <v>132</v>
      </c>
      <c r="G8" s="33">
        <v>1</v>
      </c>
      <c r="H8" s="35">
        <v>24</v>
      </c>
      <c r="I8" s="7">
        <v>20000</v>
      </c>
      <c r="J8" s="14">
        <v>4697</v>
      </c>
      <c r="K8" s="15">
        <f>L8+4748</f>
        <v>9445</v>
      </c>
      <c r="L8" s="15">
        <f>3035+1662</f>
        <v>4697</v>
      </c>
      <c r="M8" s="15">
        <f t="shared" si="0"/>
        <v>4697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>$AD$25</f>
        <v>0.51754385964912275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191</v>
      </c>
      <c r="E9" s="53" t="s">
        <v>192</v>
      </c>
      <c r="F9" s="30" t="s">
        <v>195</v>
      </c>
      <c r="G9" s="33">
        <v>1</v>
      </c>
      <c r="H9" s="35">
        <v>24</v>
      </c>
      <c r="I9" s="7">
        <v>24000</v>
      </c>
      <c r="J9" s="14">
        <v>4060</v>
      </c>
      <c r="K9" s="15">
        <f>L9+4275+4281+3934+3095+2209+2640+1825+2633</f>
        <v>28952</v>
      </c>
      <c r="L9" s="15">
        <f>2367+1693</f>
        <v>4060</v>
      </c>
      <c r="M9" s="15">
        <f t="shared" si="0"/>
        <v>4060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>$AD$25</f>
        <v>0.51754385964912275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144</v>
      </c>
      <c r="F10" s="30" t="s">
        <v>173</v>
      </c>
      <c r="G10" s="33">
        <v>4</v>
      </c>
      <c r="H10" s="35">
        <v>24</v>
      </c>
      <c r="I10" s="7">
        <v>250000</v>
      </c>
      <c r="J10" s="5">
        <v>42332</v>
      </c>
      <c r="K10" s="15">
        <f>L10+25160+41576+41808+39572+33444+41972+41496+41236+41760+41172+18144+37804</f>
        <v>487476</v>
      </c>
      <c r="L10" s="15">
        <f>5560*4+5023*4</f>
        <v>42332</v>
      </c>
      <c r="M10" s="15">
        <f t="shared" si="0"/>
        <v>42332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ref="AE10:AE15" si="8">$AD$25</f>
        <v>0.51754385964912275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121</v>
      </c>
      <c r="D11" s="52" t="s">
        <v>164</v>
      </c>
      <c r="E11" s="53" t="s">
        <v>165</v>
      </c>
      <c r="F11" s="30" t="s">
        <v>119</v>
      </c>
      <c r="G11" s="33">
        <v>1</v>
      </c>
      <c r="H11" s="35">
        <v>24</v>
      </c>
      <c r="I11" s="7">
        <v>69000</v>
      </c>
      <c r="J11" s="14">
        <v>2027</v>
      </c>
      <c r="K11" s="15">
        <f>L11+2872+5295+4231+5295+5295+5281+840+3474+4762+3115+2852+3656+4456+3648+5388+5312+1641</f>
        <v>69440</v>
      </c>
      <c r="L11" s="15">
        <f>1335+692</f>
        <v>2027</v>
      </c>
      <c r="M11" s="15">
        <f t="shared" si="0"/>
        <v>2027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/>
      <c r="T11" s="16"/>
      <c r="U11" s="16"/>
      <c r="V11" s="17">
        <v>14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 t="shared" ref="AD11" si="9">AC11*AB11*(1-O11)</f>
        <v>0.41666666666666669</v>
      </c>
      <c r="AE11" s="36">
        <f t="shared" si="8"/>
        <v>0.51754385964912275</v>
      </c>
      <c r="AF11" s="84">
        <f t="shared" si="7"/>
        <v>6</v>
      </c>
    </row>
    <row r="12" spans="1:32" ht="27" customHeight="1">
      <c r="A12" s="96">
        <v>6</v>
      </c>
      <c r="B12" s="11" t="s">
        <v>57</v>
      </c>
      <c r="C12" s="11" t="s">
        <v>120</v>
      </c>
      <c r="D12" s="52" t="s">
        <v>361</v>
      </c>
      <c r="E12" s="53" t="s">
        <v>362</v>
      </c>
      <c r="F12" s="30" t="s">
        <v>385</v>
      </c>
      <c r="G12" s="33">
        <v>1</v>
      </c>
      <c r="H12" s="35">
        <v>24</v>
      </c>
      <c r="I12" s="7">
        <v>15000</v>
      </c>
      <c r="J12" s="14">
        <v>2390</v>
      </c>
      <c r="K12" s="15">
        <f>L12</f>
        <v>2390</v>
      </c>
      <c r="L12" s="15">
        <f>2390</f>
        <v>2390</v>
      </c>
      <c r="M12" s="15">
        <f t="shared" ref="M12" si="10">L12-N12</f>
        <v>2390</v>
      </c>
      <c r="N12" s="15">
        <v>0</v>
      </c>
      <c r="O12" s="58">
        <f t="shared" ref="O12" si="11">IF(L12=0,"0",N12/L12)</f>
        <v>0</v>
      </c>
      <c r="P12" s="39">
        <f t="shared" ref="P12" si="12">IF(L12=0,"0",(24-Q12))</f>
        <v>12</v>
      </c>
      <c r="Q12" s="40">
        <f t="shared" ref="Q12" si="13">SUM(R12:AA12)</f>
        <v>12</v>
      </c>
      <c r="R12" s="7"/>
      <c r="S12" s="6">
        <v>12</v>
      </c>
      <c r="T12" s="16"/>
      <c r="U12" s="16"/>
      <c r="V12" s="17"/>
      <c r="W12" s="5"/>
      <c r="X12" s="16"/>
      <c r="Y12" s="16"/>
      <c r="Z12" s="16"/>
      <c r="AA12" s="18"/>
      <c r="AB12" s="8">
        <f t="shared" ref="AB12" si="14">IF(J12=0,"0",(L12/J12))</f>
        <v>1</v>
      </c>
      <c r="AC12" s="9">
        <f t="shared" ref="AC12" si="15">IF(P12=0,"0",(P12/24))</f>
        <v>0.5</v>
      </c>
      <c r="AD12" s="10">
        <f t="shared" ref="AD12" si="16">AC12*AB12*(1-O12)</f>
        <v>0.5</v>
      </c>
      <c r="AE12" s="36">
        <f t="shared" si="8"/>
        <v>0.51754385964912275</v>
      </c>
      <c r="AF12" s="84">
        <f t="shared" ref="AF12" si="17">A12</f>
        <v>6</v>
      </c>
    </row>
    <row r="13" spans="1:32" ht="27" customHeight="1">
      <c r="A13" s="96">
        <v>7</v>
      </c>
      <c r="B13" s="11" t="s">
        <v>57</v>
      </c>
      <c r="C13" s="11" t="s">
        <v>121</v>
      </c>
      <c r="D13" s="52" t="s">
        <v>115</v>
      </c>
      <c r="E13" s="53" t="s">
        <v>167</v>
      </c>
      <c r="F13" s="30" t="s">
        <v>119</v>
      </c>
      <c r="G13" s="12">
        <v>1</v>
      </c>
      <c r="H13" s="13">
        <v>28</v>
      </c>
      <c r="I13" s="7">
        <v>69000</v>
      </c>
      <c r="J13" s="14">
        <v>1368</v>
      </c>
      <c r="K13" s="15">
        <f>L13+2806+5234+5319+5378+5411+789+4935+3007+4151+5463+4141+4654+5072+5297+3305+4969+2245+4865</f>
        <v>78409</v>
      </c>
      <c r="L13" s="15">
        <v>1368</v>
      </c>
      <c r="M13" s="15">
        <f t="shared" si="0"/>
        <v>1368</v>
      </c>
      <c r="N13" s="15">
        <v>0</v>
      </c>
      <c r="O13" s="58">
        <f t="shared" si="1"/>
        <v>0</v>
      </c>
      <c r="P13" s="39">
        <f t="shared" si="2"/>
        <v>8</v>
      </c>
      <c r="Q13" s="40">
        <f t="shared" si="3"/>
        <v>16</v>
      </c>
      <c r="R13" s="7"/>
      <c r="S13" s="6">
        <v>16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0.33333333333333331</v>
      </c>
      <c r="AD13" s="10">
        <f t="shared" ref="AD13:AD16" si="18">AC13*AB13*(1-O13)</f>
        <v>0.33333333333333331</v>
      </c>
      <c r="AE13" s="36">
        <f t="shared" si="8"/>
        <v>0.51754385964912275</v>
      </c>
      <c r="AF13" s="84">
        <f t="shared" si="7"/>
        <v>7</v>
      </c>
    </row>
    <row r="14" spans="1:32" ht="27" customHeight="1">
      <c r="A14" s="96">
        <v>7</v>
      </c>
      <c r="B14" s="11" t="s">
        <v>57</v>
      </c>
      <c r="C14" s="11" t="s">
        <v>121</v>
      </c>
      <c r="D14" s="52" t="s">
        <v>164</v>
      </c>
      <c r="E14" s="53" t="s">
        <v>165</v>
      </c>
      <c r="F14" s="30" t="s">
        <v>119</v>
      </c>
      <c r="G14" s="33">
        <v>1</v>
      </c>
      <c r="H14" s="35">
        <v>24</v>
      </c>
      <c r="I14" s="7">
        <v>69000</v>
      </c>
      <c r="J14" s="14">
        <v>1569</v>
      </c>
      <c r="K14" s="15">
        <f>L14+2872+5295+4231+5295+5295+5281+840+3474+4762+3115+2852+3656+4456+3648+5388+5312+1641</f>
        <v>68982</v>
      </c>
      <c r="L14" s="15">
        <v>1569</v>
      </c>
      <c r="M14" s="15">
        <f t="shared" ref="M14" si="19">L14-N14</f>
        <v>1569</v>
      </c>
      <c r="N14" s="15">
        <v>0</v>
      </c>
      <c r="O14" s="58">
        <f t="shared" ref="O14" si="20">IF(L14=0,"0",N14/L14)</f>
        <v>0</v>
      </c>
      <c r="P14" s="39">
        <f t="shared" ref="P14" si="21">IF(L14=0,"0",(24-Q14))</f>
        <v>9</v>
      </c>
      <c r="Q14" s="40">
        <f t="shared" ref="Q14" si="22">SUM(R14:AA14)</f>
        <v>15</v>
      </c>
      <c r="R14" s="7"/>
      <c r="S14" s="6">
        <v>4</v>
      </c>
      <c r="T14" s="16">
        <v>11</v>
      </c>
      <c r="U14" s="16"/>
      <c r="V14" s="17"/>
      <c r="W14" s="5"/>
      <c r="X14" s="16"/>
      <c r="Y14" s="16"/>
      <c r="Z14" s="16"/>
      <c r="AA14" s="18"/>
      <c r="AB14" s="8">
        <f t="shared" ref="AB14" si="23">IF(J14=0,"0",(L14/J14))</f>
        <v>1</v>
      </c>
      <c r="AC14" s="9">
        <f t="shared" ref="AC14" si="24">IF(P14=0,"0",(P14/24))</f>
        <v>0.375</v>
      </c>
      <c r="AD14" s="10">
        <f t="shared" si="18"/>
        <v>0.375</v>
      </c>
      <c r="AE14" s="36">
        <f t="shared" si="8"/>
        <v>0.51754385964912275</v>
      </c>
      <c r="AF14" s="84">
        <f t="shared" ref="AF14" si="25">A14</f>
        <v>7</v>
      </c>
    </row>
    <row r="15" spans="1:32" ht="27" customHeight="1">
      <c r="A15" s="96">
        <v>8</v>
      </c>
      <c r="B15" s="11" t="s">
        <v>57</v>
      </c>
      <c r="C15" s="34" t="s">
        <v>121</v>
      </c>
      <c r="D15" s="52" t="s">
        <v>115</v>
      </c>
      <c r="E15" s="53" t="s">
        <v>143</v>
      </c>
      <c r="F15" s="30" t="s">
        <v>125</v>
      </c>
      <c r="G15" s="33">
        <v>4</v>
      </c>
      <c r="H15" s="35">
        <v>24</v>
      </c>
      <c r="I15" s="7">
        <v>100000</v>
      </c>
      <c r="J15" s="5">
        <v>23464</v>
      </c>
      <c r="K15" s="15">
        <f>L15+15096+13713+7584+9832</f>
        <v>69689</v>
      </c>
      <c r="L15" s="15">
        <f>3075*4+2791*4</f>
        <v>23464</v>
      </c>
      <c r="M15" s="15">
        <f t="shared" si="0"/>
        <v>23464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>AC15*AB15*(1-O15)</f>
        <v>1</v>
      </c>
      <c r="AE15" s="36">
        <f t="shared" si="8"/>
        <v>0.51754385964912275</v>
      </c>
      <c r="AF15" s="84">
        <f t="shared" si="7"/>
        <v>8</v>
      </c>
    </row>
    <row r="16" spans="1:32" ht="27" customHeight="1">
      <c r="A16" s="106">
        <v>9</v>
      </c>
      <c r="B16" s="11" t="s">
        <v>57</v>
      </c>
      <c r="C16" s="34" t="s">
        <v>112</v>
      </c>
      <c r="D16" s="52" t="s">
        <v>115</v>
      </c>
      <c r="E16" s="53" t="s">
        <v>174</v>
      </c>
      <c r="F16" s="30" t="s">
        <v>177</v>
      </c>
      <c r="G16" s="33">
        <v>1</v>
      </c>
      <c r="H16" s="35">
        <v>24</v>
      </c>
      <c r="I16" s="7">
        <v>300</v>
      </c>
      <c r="J16" s="5">
        <v>376</v>
      </c>
      <c r="K16" s="15">
        <f>L16+376</f>
        <v>376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18"/>
        <v>0</v>
      </c>
      <c r="AE16" s="36">
        <f t="shared" ref="AE16:AE24" si="26">$AD$25</f>
        <v>0.51754385964912275</v>
      </c>
      <c r="AF16" s="84">
        <f t="shared" si="7"/>
        <v>9</v>
      </c>
    </row>
    <row r="17" spans="1:32" ht="27" customHeight="1">
      <c r="A17" s="95">
        <v>10</v>
      </c>
      <c r="B17" s="11" t="s">
        <v>57</v>
      </c>
      <c r="C17" s="34" t="s">
        <v>120</v>
      </c>
      <c r="D17" s="52" t="s">
        <v>135</v>
      </c>
      <c r="E17" s="53" t="s">
        <v>253</v>
      </c>
      <c r="F17" s="12" t="s">
        <v>131</v>
      </c>
      <c r="G17" s="12">
        <v>1</v>
      </c>
      <c r="H17" s="13">
        <v>24</v>
      </c>
      <c r="I17" s="31">
        <v>550</v>
      </c>
      <c r="J17" s="14">
        <v>726</v>
      </c>
      <c r="K17" s="15">
        <f>L17+726</f>
        <v>726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26"/>
        <v>0.51754385964912275</v>
      </c>
      <c r="AF17" s="84">
        <f t="shared" si="7"/>
        <v>10</v>
      </c>
    </row>
    <row r="18" spans="1:32" ht="30" customHeight="1">
      <c r="A18" s="95">
        <v>11</v>
      </c>
      <c r="B18" s="11" t="s">
        <v>57</v>
      </c>
      <c r="C18" s="34" t="s">
        <v>120</v>
      </c>
      <c r="D18" s="52" t="s">
        <v>207</v>
      </c>
      <c r="E18" s="53" t="s">
        <v>204</v>
      </c>
      <c r="F18" s="30" t="s">
        <v>138</v>
      </c>
      <c r="G18" s="12">
        <v>2</v>
      </c>
      <c r="H18" s="13">
        <v>24</v>
      </c>
      <c r="I18" s="7">
        <v>300000</v>
      </c>
      <c r="J18" s="14">
        <v>1640</v>
      </c>
      <c r="K18" s="15">
        <f>L18+6564+12528+9524+11762+12146+1640</f>
        <v>54164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>
        <v>24</v>
      </c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26"/>
        <v>0.51754385964912275</v>
      </c>
      <c r="AF18" s="84">
        <f t="shared" si="7"/>
        <v>11</v>
      </c>
    </row>
    <row r="19" spans="1:32" ht="30" customHeight="1">
      <c r="A19" s="95">
        <v>12</v>
      </c>
      <c r="B19" s="11" t="s">
        <v>57</v>
      </c>
      <c r="C19" s="34" t="s">
        <v>121</v>
      </c>
      <c r="D19" s="52" t="s">
        <v>126</v>
      </c>
      <c r="E19" s="53" t="s">
        <v>324</v>
      </c>
      <c r="F19" s="30" t="s">
        <v>325</v>
      </c>
      <c r="G19" s="12">
        <v>4</v>
      </c>
      <c r="H19" s="13">
        <v>24</v>
      </c>
      <c r="I19" s="7">
        <v>10000</v>
      </c>
      <c r="J19" s="14">
        <v>3136</v>
      </c>
      <c r="K19" s="15">
        <f>L19+5108+3136</f>
        <v>8244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26"/>
        <v>0.51754385964912275</v>
      </c>
      <c r="AF19" s="84">
        <f t="shared" si="7"/>
        <v>12</v>
      </c>
    </row>
    <row r="20" spans="1:32" ht="27" customHeight="1">
      <c r="A20" s="96">
        <v>13</v>
      </c>
      <c r="B20" s="11" t="s">
        <v>57</v>
      </c>
      <c r="C20" s="11" t="s">
        <v>112</v>
      </c>
      <c r="D20" s="52" t="s">
        <v>117</v>
      </c>
      <c r="E20" s="53" t="s">
        <v>368</v>
      </c>
      <c r="F20" s="30" t="s">
        <v>139</v>
      </c>
      <c r="G20" s="33">
        <v>1</v>
      </c>
      <c r="H20" s="35">
        <v>24</v>
      </c>
      <c r="I20" s="7">
        <v>1500</v>
      </c>
      <c r="J20" s="14">
        <v>4160</v>
      </c>
      <c r="K20" s="15">
        <f>L20</f>
        <v>4160</v>
      </c>
      <c r="L20" s="15">
        <f>1403+2757</f>
        <v>4160</v>
      </c>
      <c r="M20" s="15">
        <f t="shared" si="0"/>
        <v>4160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6">
        <f t="shared" si="26"/>
        <v>0.51754385964912275</v>
      </c>
      <c r="AF20" s="84">
        <f t="shared" si="7"/>
        <v>13</v>
      </c>
    </row>
    <row r="21" spans="1:32" ht="27" customHeight="1">
      <c r="A21" s="96">
        <v>14</v>
      </c>
      <c r="B21" s="11" t="s">
        <v>57</v>
      </c>
      <c r="C21" s="34" t="s">
        <v>340</v>
      </c>
      <c r="D21" s="52"/>
      <c r="E21" s="53" t="s">
        <v>386</v>
      </c>
      <c r="F21" s="30" t="s">
        <v>138</v>
      </c>
      <c r="G21" s="33">
        <v>1</v>
      </c>
      <c r="H21" s="35">
        <v>24</v>
      </c>
      <c r="I21" s="7">
        <v>3000</v>
      </c>
      <c r="J21" s="5">
        <v>2553</v>
      </c>
      <c r="K21" s="15">
        <f>L21</f>
        <v>2553</v>
      </c>
      <c r="L21" s="15">
        <f>2553</f>
        <v>2553</v>
      </c>
      <c r="M21" s="15">
        <f t="shared" si="0"/>
        <v>2553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/>
      <c r="T21" s="16">
        <v>11</v>
      </c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>AC21*AB21*(1-O21)</f>
        <v>0.54166666666666663</v>
      </c>
      <c r="AE21" s="36">
        <f t="shared" si="26"/>
        <v>0.51754385964912275</v>
      </c>
      <c r="AF21" s="84">
        <f t="shared" si="7"/>
        <v>14</v>
      </c>
    </row>
    <row r="22" spans="1:32" ht="27" customHeight="1">
      <c r="A22" s="96">
        <v>14</v>
      </c>
      <c r="B22" s="11" t="s">
        <v>57</v>
      </c>
      <c r="C22" s="34" t="s">
        <v>340</v>
      </c>
      <c r="D22" s="52"/>
      <c r="E22" s="53" t="s">
        <v>347</v>
      </c>
      <c r="F22" s="30" t="s">
        <v>139</v>
      </c>
      <c r="G22" s="33" t="s">
        <v>157</v>
      </c>
      <c r="H22" s="35">
        <v>24</v>
      </c>
      <c r="I22" s="7">
        <v>3000</v>
      </c>
      <c r="J22" s="5">
        <v>2291</v>
      </c>
      <c r="K22" s="15">
        <f>L22+3157</f>
        <v>5448</v>
      </c>
      <c r="L22" s="15">
        <v>2291</v>
      </c>
      <c r="M22" s="15">
        <f t="shared" si="0"/>
        <v>2291</v>
      </c>
      <c r="N22" s="15">
        <v>0</v>
      </c>
      <c r="O22" s="58">
        <f t="shared" si="1"/>
        <v>0</v>
      </c>
      <c r="P22" s="39">
        <f t="shared" si="2"/>
        <v>9</v>
      </c>
      <c r="Q22" s="40">
        <f t="shared" si="3"/>
        <v>15</v>
      </c>
      <c r="R22" s="7"/>
      <c r="S22" s="6"/>
      <c r="T22" s="16"/>
      <c r="U22" s="16"/>
      <c r="V22" s="17"/>
      <c r="W22" s="5">
        <v>15</v>
      </c>
      <c r="X22" s="16"/>
      <c r="Y22" s="16"/>
      <c r="Z22" s="16"/>
      <c r="AA22" s="18"/>
      <c r="AB22" s="8">
        <f t="shared" si="4"/>
        <v>1</v>
      </c>
      <c r="AC22" s="9">
        <f t="shared" si="5"/>
        <v>0.375</v>
      </c>
      <c r="AD22" s="10">
        <f>AC22*AB22*(1-O22)</f>
        <v>0.375</v>
      </c>
      <c r="AE22" s="36">
        <f t="shared" si="26"/>
        <v>0.51754385964912275</v>
      </c>
      <c r="AF22" s="84">
        <f t="shared" si="7"/>
        <v>14</v>
      </c>
    </row>
    <row r="23" spans="1:32" ht="27" customHeight="1">
      <c r="A23" s="113">
        <v>15</v>
      </c>
      <c r="B23" s="11" t="s">
        <v>57</v>
      </c>
      <c r="C23" s="34" t="s">
        <v>120</v>
      </c>
      <c r="D23" s="52" t="s">
        <v>115</v>
      </c>
      <c r="E23" s="53" t="s">
        <v>166</v>
      </c>
      <c r="F23" s="30" t="s">
        <v>119</v>
      </c>
      <c r="G23" s="12">
        <v>1</v>
      </c>
      <c r="H23" s="13">
        <v>28</v>
      </c>
      <c r="I23" s="31">
        <v>40000</v>
      </c>
      <c r="J23" s="5">
        <v>4936</v>
      </c>
      <c r="K23" s="15">
        <f>L23+2503+4146+3422+2211+1805+550+1849+2614+2495+1614+1413+464+2031+1384+2779+3110+1852+2502+433+3718</f>
        <v>47831</v>
      </c>
      <c r="L23" s="15">
        <f>2610+2326</f>
        <v>4936</v>
      </c>
      <c r="M23" s="15">
        <f t="shared" si="0"/>
        <v>4936</v>
      </c>
      <c r="N23" s="15">
        <v>0</v>
      </c>
      <c r="O23" s="58">
        <f t="shared" si="1"/>
        <v>0</v>
      </c>
      <c r="P23" s="39">
        <f t="shared" si="2"/>
        <v>22</v>
      </c>
      <c r="Q23" s="40">
        <f t="shared" si="3"/>
        <v>2</v>
      </c>
      <c r="R23" s="7"/>
      <c r="S23" s="6">
        <v>2</v>
      </c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0.91666666666666663</v>
      </c>
      <c r="AD23" s="10">
        <f t="shared" ref="AD23" si="27">AC23*AB23*(1-O23)</f>
        <v>0.91666666666666663</v>
      </c>
      <c r="AE23" s="36">
        <f t="shared" si="26"/>
        <v>0.51754385964912275</v>
      </c>
      <c r="AF23" s="84">
        <f t="shared" si="7"/>
        <v>15</v>
      </c>
    </row>
    <row r="24" spans="1:32" ht="27" customHeight="1" thickBot="1">
      <c r="A24" s="96">
        <v>16</v>
      </c>
      <c r="B24" s="11" t="s">
        <v>57</v>
      </c>
      <c r="C24" s="11" t="s">
        <v>113</v>
      </c>
      <c r="D24" s="52"/>
      <c r="E24" s="53" t="s">
        <v>348</v>
      </c>
      <c r="F24" s="12" t="s">
        <v>114</v>
      </c>
      <c r="G24" s="12">
        <v>4</v>
      </c>
      <c r="H24" s="35">
        <v>20</v>
      </c>
      <c r="I24" s="7">
        <v>300000</v>
      </c>
      <c r="J24" s="14">
        <v>39576</v>
      </c>
      <c r="K24" s="15">
        <f>L24+30884</f>
        <v>70460</v>
      </c>
      <c r="L24" s="15">
        <f>9894*4</f>
        <v>39576</v>
      </c>
      <c r="M24" s="15">
        <f t="shared" si="0"/>
        <v>39576</v>
      </c>
      <c r="N24" s="15">
        <v>0</v>
      </c>
      <c r="O24" s="58">
        <f t="shared" si="1"/>
        <v>0</v>
      </c>
      <c r="P24" s="39">
        <f t="shared" si="2"/>
        <v>11</v>
      </c>
      <c r="Q24" s="40">
        <f t="shared" si="3"/>
        <v>13</v>
      </c>
      <c r="R24" s="7"/>
      <c r="S24" s="6"/>
      <c r="T24" s="16"/>
      <c r="U24" s="16"/>
      <c r="V24" s="17">
        <v>13</v>
      </c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0.45833333333333331</v>
      </c>
      <c r="AD24" s="10">
        <f t="shared" si="6"/>
        <v>0.45833333333333331</v>
      </c>
      <c r="AE24" s="36">
        <f t="shared" si="26"/>
        <v>0.51754385964912275</v>
      </c>
      <c r="AF24" s="84">
        <f t="shared" si="7"/>
        <v>16</v>
      </c>
    </row>
    <row r="25" spans="1:32" ht="31.5" customHeight="1" thickBot="1">
      <c r="A25" s="405" t="s">
        <v>34</v>
      </c>
      <c r="B25" s="406"/>
      <c r="C25" s="406"/>
      <c r="D25" s="406"/>
      <c r="E25" s="406"/>
      <c r="F25" s="406"/>
      <c r="G25" s="406"/>
      <c r="H25" s="407"/>
      <c r="I25" s="22">
        <f t="shared" ref="I25:N25" si="28">SUM(I6:I24)</f>
        <v>1288350</v>
      </c>
      <c r="J25" s="19">
        <f t="shared" si="28"/>
        <v>148063</v>
      </c>
      <c r="K25" s="20">
        <f t="shared" si="28"/>
        <v>1027481</v>
      </c>
      <c r="L25" s="21">
        <f t="shared" si="28"/>
        <v>142185</v>
      </c>
      <c r="M25" s="20">
        <f t="shared" si="28"/>
        <v>142185</v>
      </c>
      <c r="N25" s="21">
        <f t="shared" si="28"/>
        <v>0</v>
      </c>
      <c r="O25" s="41">
        <f t="shared" si="1"/>
        <v>0</v>
      </c>
      <c r="P25" s="42">
        <f t="shared" ref="P25:AA25" si="29">SUM(P6:P24)</f>
        <v>236</v>
      </c>
      <c r="Q25" s="43">
        <f t="shared" si="29"/>
        <v>220</v>
      </c>
      <c r="R25" s="23">
        <f t="shared" si="29"/>
        <v>24</v>
      </c>
      <c r="S25" s="24">
        <f t="shared" si="29"/>
        <v>44</v>
      </c>
      <c r="T25" s="24">
        <f t="shared" si="29"/>
        <v>24</v>
      </c>
      <c r="U25" s="24">
        <f t="shared" si="29"/>
        <v>0</v>
      </c>
      <c r="V25" s="25">
        <f t="shared" si="29"/>
        <v>27</v>
      </c>
      <c r="W25" s="26">
        <f t="shared" si="29"/>
        <v>101</v>
      </c>
      <c r="X25" s="27">
        <f t="shared" si="29"/>
        <v>0</v>
      </c>
      <c r="Y25" s="27">
        <f t="shared" si="29"/>
        <v>0</v>
      </c>
      <c r="Z25" s="27">
        <f t="shared" si="29"/>
        <v>0</v>
      </c>
      <c r="AA25" s="27">
        <f t="shared" si="29"/>
        <v>0</v>
      </c>
      <c r="AB25" s="28">
        <f>AVERAGE(AB6:AB24)</f>
        <v>0.78947368421052633</v>
      </c>
      <c r="AC25" s="4">
        <f>AVERAGE(AC6:AC24)</f>
        <v>0.51754385964912275</v>
      </c>
      <c r="AD25" s="4">
        <f>AVERAGE(AD6:AD24)</f>
        <v>0.51754385964912275</v>
      </c>
      <c r="AE25" s="29"/>
    </row>
    <row r="27" spans="1:32" ht="18.75">
      <c r="A27" s="2"/>
      <c r="B27" s="2" t="s">
        <v>35</v>
      </c>
      <c r="C27" s="2"/>
      <c r="D27" s="2"/>
      <c r="E27" s="2"/>
      <c r="F27" s="2"/>
      <c r="G27" s="2"/>
      <c r="H27" s="3"/>
      <c r="I27" s="3"/>
      <c r="J27" s="2"/>
      <c r="K27" s="2"/>
      <c r="L27" s="2"/>
      <c r="M27" s="2"/>
      <c r="N27" s="2" t="s">
        <v>36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1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85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27">
      <c r="A42" s="59"/>
      <c r="B42" s="59"/>
      <c r="C42" s="59"/>
      <c r="D42" s="59"/>
      <c r="E42" s="59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F42" s="50"/>
    </row>
    <row r="43" spans="1:32" ht="29.25" customHeight="1">
      <c r="A43" s="60"/>
      <c r="B43" s="60"/>
      <c r="C43" s="61"/>
      <c r="D43" s="61"/>
      <c r="E43" s="61"/>
      <c r="F43" s="60"/>
      <c r="G43" s="60"/>
      <c r="H43" s="60"/>
      <c r="I43" s="60"/>
      <c r="J43" s="60"/>
      <c r="K43" s="60"/>
      <c r="L43" s="60"/>
      <c r="M43" s="61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36" thickBot="1">
      <c r="A52" s="408" t="s">
        <v>45</v>
      </c>
      <c r="B52" s="408"/>
      <c r="C52" s="408"/>
      <c r="D52" s="408"/>
      <c r="E52" s="408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26.25" thickBot="1">
      <c r="A53" s="409" t="s">
        <v>387</v>
      </c>
      <c r="B53" s="410"/>
      <c r="C53" s="410"/>
      <c r="D53" s="410"/>
      <c r="E53" s="410"/>
      <c r="F53" s="410"/>
      <c r="G53" s="410"/>
      <c r="H53" s="410"/>
      <c r="I53" s="410"/>
      <c r="J53" s="410"/>
      <c r="K53" s="410"/>
      <c r="L53" s="410"/>
      <c r="M53" s="411"/>
      <c r="N53" s="412" t="s">
        <v>402</v>
      </c>
      <c r="O53" s="413"/>
      <c r="P53" s="413"/>
      <c r="Q53" s="413"/>
      <c r="R53" s="413"/>
      <c r="S53" s="413"/>
      <c r="T53" s="413"/>
      <c r="U53" s="413"/>
      <c r="V53" s="413"/>
      <c r="W53" s="413"/>
      <c r="X53" s="413"/>
      <c r="Y53" s="413"/>
      <c r="Z53" s="413"/>
      <c r="AA53" s="413"/>
      <c r="AB53" s="413"/>
      <c r="AC53" s="413"/>
      <c r="AD53" s="414"/>
    </row>
    <row r="54" spans="1:32" ht="27" customHeight="1">
      <c r="A54" s="415" t="s">
        <v>2</v>
      </c>
      <c r="B54" s="416"/>
      <c r="C54" s="231" t="s">
        <v>46</v>
      </c>
      <c r="D54" s="231" t="s">
        <v>47</v>
      </c>
      <c r="E54" s="231" t="s">
        <v>107</v>
      </c>
      <c r="F54" s="417" t="s">
        <v>106</v>
      </c>
      <c r="G54" s="418"/>
      <c r="H54" s="418"/>
      <c r="I54" s="418"/>
      <c r="J54" s="418"/>
      <c r="K54" s="418"/>
      <c r="L54" s="418"/>
      <c r="M54" s="419"/>
      <c r="N54" s="67" t="s">
        <v>110</v>
      </c>
      <c r="O54" s="231" t="s">
        <v>46</v>
      </c>
      <c r="P54" s="417" t="s">
        <v>47</v>
      </c>
      <c r="Q54" s="420"/>
      <c r="R54" s="417" t="s">
        <v>38</v>
      </c>
      <c r="S54" s="418"/>
      <c r="T54" s="418"/>
      <c r="U54" s="420"/>
      <c r="V54" s="417" t="s">
        <v>48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31" t="s">
        <v>120</v>
      </c>
      <c r="B55" s="432"/>
      <c r="C55" s="228" t="s">
        <v>148</v>
      </c>
      <c r="D55" s="228" t="s">
        <v>115</v>
      </c>
      <c r="E55" s="228" t="s">
        <v>166</v>
      </c>
      <c r="F55" s="433" t="s">
        <v>388</v>
      </c>
      <c r="G55" s="434"/>
      <c r="H55" s="434"/>
      <c r="I55" s="434"/>
      <c r="J55" s="434"/>
      <c r="K55" s="434"/>
      <c r="L55" s="434"/>
      <c r="M55" s="435"/>
      <c r="N55" s="227" t="s">
        <v>403</v>
      </c>
      <c r="O55" s="225" t="s">
        <v>404</v>
      </c>
      <c r="P55" s="436" t="s">
        <v>405</v>
      </c>
      <c r="Q55" s="437"/>
      <c r="R55" s="436" t="s">
        <v>406</v>
      </c>
      <c r="S55" s="438"/>
      <c r="T55" s="438"/>
      <c r="U55" s="437"/>
      <c r="V55" s="439" t="s">
        <v>407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120</v>
      </c>
      <c r="B56" s="432"/>
      <c r="C56" s="228" t="s">
        <v>217</v>
      </c>
      <c r="D56" s="228" t="s">
        <v>294</v>
      </c>
      <c r="E56" s="228" t="s">
        <v>331</v>
      </c>
      <c r="F56" s="433" t="s">
        <v>389</v>
      </c>
      <c r="G56" s="434"/>
      <c r="H56" s="434"/>
      <c r="I56" s="434"/>
      <c r="J56" s="434"/>
      <c r="K56" s="434"/>
      <c r="L56" s="434"/>
      <c r="M56" s="435"/>
      <c r="N56" s="227" t="s">
        <v>409</v>
      </c>
      <c r="O56" s="225" t="s">
        <v>410</v>
      </c>
      <c r="P56" s="436" t="s">
        <v>411</v>
      </c>
      <c r="Q56" s="437"/>
      <c r="R56" s="436" t="s">
        <v>408</v>
      </c>
      <c r="S56" s="438"/>
      <c r="T56" s="438"/>
      <c r="U56" s="437"/>
      <c r="V56" s="439" t="s">
        <v>407</v>
      </c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350</v>
      </c>
      <c r="B57" s="432"/>
      <c r="C57" s="228" t="s">
        <v>223</v>
      </c>
      <c r="D57" s="228"/>
      <c r="E57" s="228" t="s">
        <v>386</v>
      </c>
      <c r="F57" s="433" t="s">
        <v>118</v>
      </c>
      <c r="G57" s="434"/>
      <c r="H57" s="434"/>
      <c r="I57" s="434"/>
      <c r="J57" s="434"/>
      <c r="K57" s="434"/>
      <c r="L57" s="434"/>
      <c r="M57" s="435"/>
      <c r="N57" s="227"/>
      <c r="O57" s="225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120</v>
      </c>
      <c r="B58" s="432"/>
      <c r="C58" s="228" t="s">
        <v>390</v>
      </c>
      <c r="D58" s="228" t="s">
        <v>391</v>
      </c>
      <c r="E58" s="228" t="s">
        <v>392</v>
      </c>
      <c r="F58" s="433" t="s">
        <v>393</v>
      </c>
      <c r="G58" s="434"/>
      <c r="H58" s="434"/>
      <c r="I58" s="434"/>
      <c r="J58" s="434"/>
      <c r="K58" s="434"/>
      <c r="L58" s="434"/>
      <c r="M58" s="435"/>
      <c r="N58" s="227"/>
      <c r="O58" s="225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 t="s">
        <v>394</v>
      </c>
      <c r="B59" s="432"/>
      <c r="C59" s="228" t="s">
        <v>395</v>
      </c>
      <c r="D59" s="228" t="s">
        <v>396</v>
      </c>
      <c r="E59" s="228" t="s">
        <v>397</v>
      </c>
      <c r="F59" s="433" t="s">
        <v>118</v>
      </c>
      <c r="G59" s="434"/>
      <c r="H59" s="434"/>
      <c r="I59" s="434"/>
      <c r="J59" s="434"/>
      <c r="K59" s="434"/>
      <c r="L59" s="434"/>
      <c r="M59" s="435"/>
      <c r="N59" s="227"/>
      <c r="O59" s="225"/>
      <c r="P59" s="436"/>
      <c r="Q59" s="437"/>
      <c r="R59" s="436"/>
      <c r="S59" s="438"/>
      <c r="T59" s="438"/>
      <c r="U59" s="437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 t="s">
        <v>394</v>
      </c>
      <c r="B60" s="432"/>
      <c r="C60" s="228" t="s">
        <v>398</v>
      </c>
      <c r="D60" s="228" t="s">
        <v>399</v>
      </c>
      <c r="E60" s="228" t="s">
        <v>400</v>
      </c>
      <c r="F60" s="433" t="s">
        <v>401</v>
      </c>
      <c r="G60" s="434"/>
      <c r="H60" s="434"/>
      <c r="I60" s="434"/>
      <c r="J60" s="434"/>
      <c r="K60" s="434"/>
      <c r="L60" s="434"/>
      <c r="M60" s="435"/>
      <c r="N60" s="227"/>
      <c r="O60" s="225"/>
      <c r="P60" s="436"/>
      <c r="Q60" s="437"/>
      <c r="R60" s="436"/>
      <c r="S60" s="438"/>
      <c r="T60" s="438"/>
      <c r="U60" s="437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228"/>
      <c r="D61" s="228"/>
      <c r="E61" s="228"/>
      <c r="F61" s="433"/>
      <c r="G61" s="434"/>
      <c r="H61" s="434"/>
      <c r="I61" s="434"/>
      <c r="J61" s="434"/>
      <c r="K61" s="434"/>
      <c r="L61" s="434"/>
      <c r="M61" s="435"/>
      <c r="N61" s="227"/>
      <c r="O61" s="225"/>
      <c r="P61" s="436"/>
      <c r="Q61" s="437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</row>
    <row r="62" spans="1:32" ht="27" customHeight="1">
      <c r="A62" s="431"/>
      <c r="B62" s="432"/>
      <c r="C62" s="228"/>
      <c r="D62" s="228"/>
      <c r="E62" s="228"/>
      <c r="F62" s="433"/>
      <c r="G62" s="434"/>
      <c r="H62" s="434"/>
      <c r="I62" s="434"/>
      <c r="J62" s="434"/>
      <c r="K62" s="434"/>
      <c r="L62" s="434"/>
      <c r="M62" s="435"/>
      <c r="N62" s="227"/>
      <c r="O62" s="225"/>
      <c r="P62" s="436"/>
      <c r="Q62" s="437"/>
      <c r="R62" s="432"/>
      <c r="S62" s="432"/>
      <c r="T62" s="432"/>
      <c r="U62" s="432"/>
      <c r="V62" s="439"/>
      <c r="W62" s="439"/>
      <c r="X62" s="439"/>
      <c r="Y62" s="439"/>
      <c r="Z62" s="439"/>
      <c r="AA62" s="439"/>
      <c r="AB62" s="439"/>
      <c r="AC62" s="439"/>
      <c r="AD62" s="440"/>
    </row>
    <row r="63" spans="1:32" ht="27" customHeight="1">
      <c r="A63" s="431"/>
      <c r="B63" s="432"/>
      <c r="C63" s="228"/>
      <c r="D63" s="228"/>
      <c r="E63" s="228"/>
      <c r="F63" s="433"/>
      <c r="G63" s="434"/>
      <c r="H63" s="434"/>
      <c r="I63" s="434"/>
      <c r="J63" s="434"/>
      <c r="K63" s="434"/>
      <c r="L63" s="434"/>
      <c r="M63" s="435"/>
      <c r="N63" s="227"/>
      <c r="O63" s="225"/>
      <c r="P63" s="432"/>
      <c r="Q63" s="432"/>
      <c r="R63" s="432"/>
      <c r="S63" s="432"/>
      <c r="T63" s="432"/>
      <c r="U63" s="432"/>
      <c r="V63" s="439"/>
      <c r="W63" s="439"/>
      <c r="X63" s="439"/>
      <c r="Y63" s="439"/>
      <c r="Z63" s="439"/>
      <c r="AA63" s="439"/>
      <c r="AB63" s="439"/>
      <c r="AC63" s="439"/>
      <c r="AD63" s="440"/>
      <c r="AF63" s="84">
        <f>8*3000</f>
        <v>24000</v>
      </c>
    </row>
    <row r="64" spans="1:32" ht="27" customHeight="1" thickBot="1">
      <c r="A64" s="441"/>
      <c r="B64" s="442"/>
      <c r="C64" s="229"/>
      <c r="D64" s="230"/>
      <c r="E64" s="230"/>
      <c r="F64" s="443"/>
      <c r="G64" s="444"/>
      <c r="H64" s="444"/>
      <c r="I64" s="444"/>
      <c r="J64" s="444"/>
      <c r="K64" s="444"/>
      <c r="L64" s="444"/>
      <c r="M64" s="445"/>
      <c r="N64" s="112"/>
      <c r="O64" s="103"/>
      <c r="P64" s="446"/>
      <c r="Q64" s="446"/>
      <c r="R64" s="446"/>
      <c r="S64" s="446"/>
      <c r="T64" s="446"/>
      <c r="U64" s="446"/>
      <c r="V64" s="447"/>
      <c r="W64" s="447"/>
      <c r="X64" s="447"/>
      <c r="Y64" s="447"/>
      <c r="Z64" s="447"/>
      <c r="AA64" s="447"/>
      <c r="AB64" s="447"/>
      <c r="AC64" s="447"/>
      <c r="AD64" s="448"/>
      <c r="AF64" s="84">
        <f>16*3000</f>
        <v>48000</v>
      </c>
    </row>
    <row r="65" spans="1:32" ht="27.75" thickBot="1">
      <c r="A65" s="449" t="s">
        <v>412</v>
      </c>
      <c r="B65" s="449"/>
      <c r="C65" s="449"/>
      <c r="D65" s="449"/>
      <c r="E65" s="449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F65" s="84">
        <v>24000</v>
      </c>
    </row>
    <row r="66" spans="1:32" ht="29.25" customHeight="1" thickBot="1">
      <c r="A66" s="450" t="s">
        <v>111</v>
      </c>
      <c r="B66" s="451"/>
      <c r="C66" s="226" t="s">
        <v>2</v>
      </c>
      <c r="D66" s="226" t="s">
        <v>37</v>
      </c>
      <c r="E66" s="226" t="s">
        <v>3</v>
      </c>
      <c r="F66" s="451" t="s">
        <v>109</v>
      </c>
      <c r="G66" s="451"/>
      <c r="H66" s="451"/>
      <c r="I66" s="451"/>
      <c r="J66" s="451"/>
      <c r="K66" s="451" t="s">
        <v>39</v>
      </c>
      <c r="L66" s="451"/>
      <c r="M66" s="226" t="s">
        <v>40</v>
      </c>
      <c r="N66" s="451" t="s">
        <v>41</v>
      </c>
      <c r="O66" s="451"/>
      <c r="P66" s="452" t="s">
        <v>42</v>
      </c>
      <c r="Q66" s="453"/>
      <c r="R66" s="452" t="s">
        <v>43</v>
      </c>
      <c r="S66" s="454"/>
      <c r="T66" s="454"/>
      <c r="U66" s="454"/>
      <c r="V66" s="454"/>
      <c r="W66" s="454"/>
      <c r="X66" s="454"/>
      <c r="Y66" s="454"/>
      <c r="Z66" s="454"/>
      <c r="AA66" s="453"/>
      <c r="AB66" s="451" t="s">
        <v>44</v>
      </c>
      <c r="AC66" s="451"/>
      <c r="AD66" s="455"/>
      <c r="AF66" s="84">
        <f>SUM(AF63:AF65)</f>
        <v>96000</v>
      </c>
    </row>
    <row r="67" spans="1:32" ht="25.5" customHeight="1">
      <c r="A67" s="456">
        <v>1</v>
      </c>
      <c r="B67" s="457"/>
      <c r="C67" s="105"/>
      <c r="D67" s="221"/>
      <c r="E67" s="224"/>
      <c r="F67" s="458"/>
      <c r="G67" s="459"/>
      <c r="H67" s="459"/>
      <c r="I67" s="459"/>
      <c r="J67" s="460"/>
      <c r="K67" s="461"/>
      <c r="L67" s="461"/>
      <c r="M67" s="51"/>
      <c r="N67" s="462"/>
      <c r="O67" s="462"/>
      <c r="P67" s="463"/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4"/>
      <c r="AC67" s="465"/>
      <c r="AD67" s="466"/>
      <c r="AF67" s="50"/>
    </row>
    <row r="68" spans="1:32" ht="25.5" customHeight="1">
      <c r="A68" s="456">
        <v>2</v>
      </c>
      <c r="B68" s="457"/>
      <c r="C68" s="105"/>
      <c r="D68" s="221"/>
      <c r="E68" s="224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3</v>
      </c>
      <c r="B69" s="457"/>
      <c r="C69" s="105"/>
      <c r="D69" s="221"/>
      <c r="E69" s="224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4</v>
      </c>
      <c r="B70" s="457"/>
      <c r="C70" s="105"/>
      <c r="D70" s="221"/>
      <c r="E70" s="224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5</v>
      </c>
      <c r="B71" s="457"/>
      <c r="C71" s="105"/>
      <c r="D71" s="221"/>
      <c r="E71" s="224"/>
      <c r="F71" s="458"/>
      <c r="G71" s="459"/>
      <c r="H71" s="459"/>
      <c r="I71" s="459"/>
      <c r="J71" s="460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6</v>
      </c>
      <c r="B72" s="457"/>
      <c r="C72" s="105"/>
      <c r="D72" s="221"/>
      <c r="E72" s="224"/>
      <c r="F72" s="458"/>
      <c r="G72" s="459"/>
      <c r="H72" s="459"/>
      <c r="I72" s="459"/>
      <c r="J72" s="460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7</v>
      </c>
      <c r="B73" s="457"/>
      <c r="C73" s="105"/>
      <c r="D73" s="221"/>
      <c r="E73" s="224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8</v>
      </c>
      <c r="B74" s="457"/>
      <c r="C74" s="105"/>
      <c r="D74" s="221"/>
      <c r="E74" s="224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5.5" customHeight="1">
      <c r="A75" s="456">
        <v>9</v>
      </c>
      <c r="B75" s="457"/>
      <c r="C75" s="105"/>
      <c r="D75" s="221"/>
      <c r="E75" s="224"/>
      <c r="F75" s="468"/>
      <c r="G75" s="461"/>
      <c r="H75" s="461"/>
      <c r="I75" s="461"/>
      <c r="J75" s="461"/>
      <c r="K75" s="461"/>
      <c r="L75" s="461"/>
      <c r="M75" s="51"/>
      <c r="N75" s="462"/>
      <c r="O75" s="462"/>
      <c r="P75" s="463"/>
      <c r="Q75" s="463"/>
      <c r="R75" s="439"/>
      <c r="S75" s="439"/>
      <c r="T75" s="439"/>
      <c r="U75" s="439"/>
      <c r="V75" s="439"/>
      <c r="W75" s="439"/>
      <c r="X75" s="439"/>
      <c r="Y75" s="439"/>
      <c r="Z75" s="439"/>
      <c r="AA75" s="439"/>
      <c r="AB75" s="461"/>
      <c r="AC75" s="461"/>
      <c r="AD75" s="467"/>
      <c r="AF75" s="50"/>
    </row>
    <row r="76" spans="1:32" ht="25.5" customHeight="1">
      <c r="A76" s="456">
        <v>10</v>
      </c>
      <c r="B76" s="457"/>
      <c r="C76" s="105"/>
      <c r="D76" s="221"/>
      <c r="E76" s="224"/>
      <c r="F76" s="468"/>
      <c r="G76" s="461"/>
      <c r="H76" s="461"/>
      <c r="I76" s="461"/>
      <c r="J76" s="461"/>
      <c r="K76" s="461"/>
      <c r="L76" s="461"/>
      <c r="M76" s="51"/>
      <c r="N76" s="462"/>
      <c r="O76" s="462"/>
      <c r="P76" s="463"/>
      <c r="Q76" s="463"/>
      <c r="R76" s="439"/>
      <c r="S76" s="439"/>
      <c r="T76" s="439"/>
      <c r="U76" s="439"/>
      <c r="V76" s="439"/>
      <c r="W76" s="439"/>
      <c r="X76" s="439"/>
      <c r="Y76" s="439"/>
      <c r="Z76" s="439"/>
      <c r="AA76" s="439"/>
      <c r="AB76" s="461"/>
      <c r="AC76" s="461"/>
      <c r="AD76" s="467"/>
      <c r="AF76" s="50"/>
    </row>
    <row r="77" spans="1:32" ht="26.25" customHeight="1" thickBot="1">
      <c r="A77" s="469" t="s">
        <v>413</v>
      </c>
      <c r="B77" s="469"/>
      <c r="C77" s="469"/>
      <c r="D77" s="469"/>
      <c r="E77" s="469"/>
      <c r="F77" s="37"/>
      <c r="G77" s="37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F77" s="50"/>
    </row>
    <row r="78" spans="1:32" ht="23.25" thickBot="1">
      <c r="A78" s="470" t="s">
        <v>111</v>
      </c>
      <c r="B78" s="471"/>
      <c r="C78" s="223" t="s">
        <v>2</v>
      </c>
      <c r="D78" s="223" t="s">
        <v>37</v>
      </c>
      <c r="E78" s="223" t="s">
        <v>3</v>
      </c>
      <c r="F78" s="471" t="s">
        <v>38</v>
      </c>
      <c r="G78" s="471"/>
      <c r="H78" s="471"/>
      <c r="I78" s="471"/>
      <c r="J78" s="471"/>
      <c r="K78" s="472" t="s">
        <v>58</v>
      </c>
      <c r="L78" s="473"/>
      <c r="M78" s="473"/>
      <c r="N78" s="473"/>
      <c r="O78" s="473"/>
      <c r="P78" s="473"/>
      <c r="Q78" s="473"/>
      <c r="R78" s="473"/>
      <c r="S78" s="474"/>
      <c r="T78" s="471" t="s">
        <v>49</v>
      </c>
      <c r="U78" s="471"/>
      <c r="V78" s="472" t="s">
        <v>50</v>
      </c>
      <c r="W78" s="474"/>
      <c r="X78" s="473" t="s">
        <v>51</v>
      </c>
      <c r="Y78" s="473"/>
      <c r="Z78" s="473"/>
      <c r="AA78" s="473"/>
      <c r="AB78" s="473"/>
      <c r="AC78" s="473"/>
      <c r="AD78" s="475"/>
      <c r="AF78" s="50"/>
    </row>
    <row r="79" spans="1:32" ht="33.75" customHeight="1">
      <c r="A79" s="484">
        <v>1</v>
      </c>
      <c r="B79" s="485"/>
      <c r="C79" s="222" t="s">
        <v>112</v>
      </c>
      <c r="D79" s="222"/>
      <c r="E79" s="65" t="s">
        <v>117</v>
      </c>
      <c r="F79" s="486" t="s">
        <v>116</v>
      </c>
      <c r="G79" s="487"/>
      <c r="H79" s="487"/>
      <c r="I79" s="487"/>
      <c r="J79" s="488"/>
      <c r="K79" s="489" t="s">
        <v>122</v>
      </c>
      <c r="L79" s="490"/>
      <c r="M79" s="490"/>
      <c r="N79" s="490"/>
      <c r="O79" s="490"/>
      <c r="P79" s="490"/>
      <c r="Q79" s="490"/>
      <c r="R79" s="490"/>
      <c r="S79" s="491"/>
      <c r="T79" s="492">
        <v>43675</v>
      </c>
      <c r="U79" s="493"/>
      <c r="V79" s="494"/>
      <c r="W79" s="494"/>
      <c r="X79" s="495"/>
      <c r="Y79" s="495"/>
      <c r="Z79" s="495"/>
      <c r="AA79" s="495"/>
      <c r="AB79" s="495"/>
      <c r="AC79" s="495"/>
      <c r="AD79" s="496"/>
      <c r="AF79" s="50"/>
    </row>
    <row r="80" spans="1:32" ht="30" customHeight="1">
      <c r="A80" s="476">
        <f>A79+1</f>
        <v>2</v>
      </c>
      <c r="B80" s="477"/>
      <c r="C80" s="221"/>
      <c r="D80" s="221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ref="A81:A85" si="30">A80+1</f>
        <v>3</v>
      </c>
      <c r="B81" s="477"/>
      <c r="C81" s="221"/>
      <c r="D81" s="221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30"/>
        <v>4</v>
      </c>
      <c r="B82" s="477"/>
      <c r="C82" s="221"/>
      <c r="D82" s="221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30"/>
        <v>5</v>
      </c>
      <c r="B83" s="477"/>
      <c r="C83" s="221"/>
      <c r="D83" s="221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0" customHeight="1">
      <c r="A84" s="476">
        <f t="shared" si="30"/>
        <v>6</v>
      </c>
      <c r="B84" s="477"/>
      <c r="C84" s="221"/>
      <c r="D84" s="221"/>
      <c r="E84" s="32"/>
      <c r="F84" s="477"/>
      <c r="G84" s="477"/>
      <c r="H84" s="477"/>
      <c r="I84" s="477"/>
      <c r="J84" s="477"/>
      <c r="K84" s="478"/>
      <c r="L84" s="479"/>
      <c r="M84" s="479"/>
      <c r="N84" s="479"/>
      <c r="O84" s="479"/>
      <c r="P84" s="479"/>
      <c r="Q84" s="479"/>
      <c r="R84" s="479"/>
      <c r="S84" s="480"/>
      <c r="T84" s="481"/>
      <c r="U84" s="481"/>
      <c r="V84" s="481"/>
      <c r="W84" s="481"/>
      <c r="X84" s="482"/>
      <c r="Y84" s="482"/>
      <c r="Z84" s="482"/>
      <c r="AA84" s="482"/>
      <c r="AB84" s="482"/>
      <c r="AC84" s="482"/>
      <c r="AD84" s="483"/>
      <c r="AF84" s="50"/>
    </row>
    <row r="85" spans="1:32" ht="30" customHeight="1">
      <c r="A85" s="476">
        <f t="shared" si="30"/>
        <v>7</v>
      </c>
      <c r="B85" s="477"/>
      <c r="C85" s="221"/>
      <c r="D85" s="221"/>
      <c r="E85" s="32"/>
      <c r="F85" s="477"/>
      <c r="G85" s="477"/>
      <c r="H85" s="477"/>
      <c r="I85" s="477"/>
      <c r="J85" s="477"/>
      <c r="K85" s="478"/>
      <c r="L85" s="479"/>
      <c r="M85" s="479"/>
      <c r="N85" s="479"/>
      <c r="O85" s="479"/>
      <c r="P85" s="479"/>
      <c r="Q85" s="479"/>
      <c r="R85" s="479"/>
      <c r="S85" s="480"/>
      <c r="T85" s="481"/>
      <c r="U85" s="481"/>
      <c r="V85" s="481"/>
      <c r="W85" s="481"/>
      <c r="X85" s="482"/>
      <c r="Y85" s="482"/>
      <c r="Z85" s="482"/>
      <c r="AA85" s="482"/>
      <c r="AB85" s="482"/>
      <c r="AC85" s="482"/>
      <c r="AD85" s="483"/>
      <c r="AF85" s="50"/>
    </row>
    <row r="86" spans="1:32" ht="36" thickBot="1">
      <c r="A86" s="469" t="s">
        <v>414</v>
      </c>
      <c r="B86" s="469"/>
      <c r="C86" s="469"/>
      <c r="D86" s="469"/>
      <c r="E86" s="469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F86" s="50"/>
    </row>
    <row r="87" spans="1:32" ht="30.75" customHeight="1" thickBot="1">
      <c r="A87" s="470" t="s">
        <v>111</v>
      </c>
      <c r="B87" s="471"/>
      <c r="C87" s="497" t="s">
        <v>52</v>
      </c>
      <c r="D87" s="497"/>
      <c r="E87" s="497" t="s">
        <v>53</v>
      </c>
      <c r="F87" s="497"/>
      <c r="G87" s="497"/>
      <c r="H87" s="497"/>
      <c r="I87" s="497"/>
      <c r="J87" s="497"/>
      <c r="K87" s="497" t="s">
        <v>54</v>
      </c>
      <c r="L87" s="497"/>
      <c r="M87" s="497"/>
      <c r="N87" s="497"/>
      <c r="O87" s="497"/>
      <c r="P87" s="497"/>
      <c r="Q87" s="497"/>
      <c r="R87" s="497"/>
      <c r="S87" s="497"/>
      <c r="T87" s="497" t="s">
        <v>55</v>
      </c>
      <c r="U87" s="497"/>
      <c r="V87" s="497" t="s">
        <v>56</v>
      </c>
      <c r="W87" s="497"/>
      <c r="X87" s="497"/>
      <c r="Y87" s="497" t="s">
        <v>51</v>
      </c>
      <c r="Z87" s="497"/>
      <c r="AA87" s="497"/>
      <c r="AB87" s="497"/>
      <c r="AC87" s="497"/>
      <c r="AD87" s="498"/>
      <c r="AF87" s="50"/>
    </row>
    <row r="88" spans="1:32" ht="30.75" customHeight="1">
      <c r="A88" s="484">
        <v>1</v>
      </c>
      <c r="B88" s="485"/>
      <c r="C88" s="499"/>
      <c r="D88" s="499"/>
      <c r="E88" s="499"/>
      <c r="F88" s="499"/>
      <c r="G88" s="499"/>
      <c r="H88" s="499"/>
      <c r="I88" s="499"/>
      <c r="J88" s="499"/>
      <c r="K88" s="499"/>
      <c r="L88" s="499"/>
      <c r="M88" s="499"/>
      <c r="N88" s="499"/>
      <c r="O88" s="499"/>
      <c r="P88" s="499"/>
      <c r="Q88" s="499"/>
      <c r="R88" s="499"/>
      <c r="S88" s="499"/>
      <c r="T88" s="499"/>
      <c r="U88" s="499"/>
      <c r="V88" s="500"/>
      <c r="W88" s="500"/>
      <c r="X88" s="500"/>
      <c r="Y88" s="501"/>
      <c r="Z88" s="501"/>
      <c r="AA88" s="501"/>
      <c r="AB88" s="501"/>
      <c r="AC88" s="501"/>
      <c r="AD88" s="502"/>
      <c r="AF88" s="50"/>
    </row>
    <row r="89" spans="1:32" ht="30.75" customHeight="1">
      <c r="A89" s="476">
        <v>2</v>
      </c>
      <c r="B89" s="477"/>
      <c r="C89" s="510"/>
      <c r="D89" s="510"/>
      <c r="E89" s="510"/>
      <c r="F89" s="510"/>
      <c r="G89" s="510"/>
      <c r="H89" s="510"/>
      <c r="I89" s="510"/>
      <c r="J89" s="510"/>
      <c r="K89" s="510"/>
      <c r="L89" s="510"/>
      <c r="M89" s="510"/>
      <c r="N89" s="510"/>
      <c r="O89" s="510"/>
      <c r="P89" s="510"/>
      <c r="Q89" s="510"/>
      <c r="R89" s="510"/>
      <c r="S89" s="510"/>
      <c r="T89" s="511"/>
      <c r="U89" s="511"/>
      <c r="V89" s="512"/>
      <c r="W89" s="512"/>
      <c r="X89" s="512"/>
      <c r="Y89" s="503"/>
      <c r="Z89" s="503"/>
      <c r="AA89" s="503"/>
      <c r="AB89" s="503"/>
      <c r="AC89" s="503"/>
      <c r="AD89" s="504"/>
      <c r="AF89" s="50"/>
    </row>
    <row r="90" spans="1:32" ht="30.75" customHeight="1" thickBot="1">
      <c r="A90" s="505">
        <v>3</v>
      </c>
      <c r="B90" s="506"/>
      <c r="C90" s="507"/>
      <c r="D90" s="507"/>
      <c r="E90" s="507"/>
      <c r="F90" s="507"/>
      <c r="G90" s="507"/>
      <c r="H90" s="507"/>
      <c r="I90" s="507"/>
      <c r="J90" s="507"/>
      <c r="K90" s="507"/>
      <c r="L90" s="507"/>
      <c r="M90" s="507"/>
      <c r="N90" s="507"/>
      <c r="O90" s="507"/>
      <c r="P90" s="507"/>
      <c r="Q90" s="507"/>
      <c r="R90" s="507"/>
      <c r="S90" s="507"/>
      <c r="T90" s="507"/>
      <c r="U90" s="507"/>
      <c r="V90" s="507"/>
      <c r="W90" s="507"/>
      <c r="X90" s="507"/>
      <c r="Y90" s="508"/>
      <c r="Z90" s="508"/>
      <c r="AA90" s="508"/>
      <c r="AB90" s="508"/>
      <c r="AC90" s="508"/>
      <c r="AD90" s="509"/>
      <c r="AF90" s="50"/>
    </row>
  </sheetData>
  <mergeCells count="232">
    <mergeCell ref="Y89:AD89"/>
    <mergeCell ref="A90:B90"/>
    <mergeCell ref="C90:D90"/>
    <mergeCell ref="E90:J90"/>
    <mergeCell ref="K90:S90"/>
    <mergeCell ref="T90:U90"/>
    <mergeCell ref="V90:X90"/>
    <mergeCell ref="Y90:AD90"/>
    <mergeCell ref="A89:B89"/>
    <mergeCell ref="C89:D89"/>
    <mergeCell ref="E89:J89"/>
    <mergeCell ref="K89:S89"/>
    <mergeCell ref="T89:U89"/>
    <mergeCell ref="V89:X89"/>
    <mergeCell ref="V87:X87"/>
    <mergeCell ref="Y87:AD87"/>
    <mergeCell ref="A88:B88"/>
    <mergeCell ref="C88:D88"/>
    <mergeCell ref="E88:J88"/>
    <mergeCell ref="K88:S88"/>
    <mergeCell ref="T88:U88"/>
    <mergeCell ref="V88:X88"/>
    <mergeCell ref="Y88:AD88"/>
    <mergeCell ref="A86:E86"/>
    <mergeCell ref="A87:B87"/>
    <mergeCell ref="C87:D87"/>
    <mergeCell ref="E87:J87"/>
    <mergeCell ref="K87:S87"/>
    <mergeCell ref="T87:U87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B76:AD76"/>
    <mergeCell ref="A77:E77"/>
    <mergeCell ref="A78:B78"/>
    <mergeCell ref="F78:J78"/>
    <mergeCell ref="K78:S78"/>
    <mergeCell ref="T78:U78"/>
    <mergeCell ref="V78:W78"/>
    <mergeCell ref="X78:AD78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R66:AA66"/>
    <mergeCell ref="AB66:AD66"/>
    <mergeCell ref="A67:B67"/>
    <mergeCell ref="F67:J67"/>
    <mergeCell ref="K67:L67"/>
    <mergeCell ref="N67:O67"/>
    <mergeCell ref="P67:Q67"/>
    <mergeCell ref="R67:AA67"/>
    <mergeCell ref="AB67:AD67"/>
    <mergeCell ref="A65:E65"/>
    <mergeCell ref="A66:B66"/>
    <mergeCell ref="F66:J66"/>
    <mergeCell ref="K66:L66"/>
    <mergeCell ref="N66:O66"/>
    <mergeCell ref="P66:Q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D4:AD5"/>
    <mergeCell ref="A25:H25"/>
    <mergeCell ref="A52:E52"/>
    <mergeCell ref="A53:M53"/>
    <mergeCell ref="N53:AD53"/>
    <mergeCell ref="A54:B54"/>
    <mergeCell ref="F54:M54"/>
    <mergeCell ref="P54:Q54"/>
    <mergeCell ref="R54:U54"/>
    <mergeCell ref="V54:AD54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0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A6E9-A6B9-4B5F-ABC7-EFC413B73B0E}">
  <dimension ref="A1:AF88"/>
  <sheetViews>
    <sheetView view="pageBreakPreview" zoomScale="70" zoomScaleNormal="72" zoomScaleSheetLayoutView="70" workbookViewId="0">
      <selection activeCell="AE9" sqref="AE9:AE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415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233" t="s">
        <v>17</v>
      </c>
      <c r="L5" s="233" t="s">
        <v>18</v>
      </c>
      <c r="M5" s="233" t="s">
        <v>19</v>
      </c>
      <c r="N5" s="23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244</v>
      </c>
      <c r="E6" s="53" t="s">
        <v>365</v>
      </c>
      <c r="F6" s="30" t="s">
        <v>156</v>
      </c>
      <c r="G6" s="12">
        <v>1</v>
      </c>
      <c r="H6" s="13">
        <v>24</v>
      </c>
      <c r="I6" s="31">
        <v>4000</v>
      </c>
      <c r="J6" s="5">
        <v>3301</v>
      </c>
      <c r="K6" s="15">
        <f>L6+4554</f>
        <v>7855</v>
      </c>
      <c r="L6" s="15">
        <f>688+2613</f>
        <v>3301</v>
      </c>
      <c r="M6" s="15">
        <f t="shared" ref="M6:M22" si="0">L6-N6</f>
        <v>3301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16</v>
      </c>
      <c r="Q6" s="40">
        <f t="shared" ref="Q6:Q22" si="3">SUM(R6:AA6)</f>
        <v>8</v>
      </c>
      <c r="R6" s="7"/>
      <c r="S6" s="6"/>
      <c r="T6" s="16"/>
      <c r="U6" s="16"/>
      <c r="V6" s="17"/>
      <c r="W6" s="5">
        <v>8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0.66666666666666663</v>
      </c>
      <c r="AD6" s="10">
        <f t="shared" ref="AD6:AD22" si="6">AC6*AB6*(1-O6)</f>
        <v>0.66666666666666663</v>
      </c>
      <c r="AE6" s="36">
        <f>$AD$23</f>
        <v>0.48039215686274517</v>
      </c>
      <c r="AF6" s="84">
        <f t="shared" ref="AF6:AF22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308</v>
      </c>
      <c r="F7" s="12" t="s">
        <v>131</v>
      </c>
      <c r="G7" s="12">
        <v>1</v>
      </c>
      <c r="H7" s="13">
        <v>24</v>
      </c>
      <c r="I7" s="31">
        <v>10000</v>
      </c>
      <c r="J7" s="14">
        <v>2208</v>
      </c>
      <c r="K7" s="15">
        <f>L7+3036+2875+6063+2208</f>
        <v>14182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>$AD$23</f>
        <v>0.48039215686274517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331</v>
      </c>
      <c r="F8" s="30" t="s">
        <v>132</v>
      </c>
      <c r="G8" s="33">
        <v>1</v>
      </c>
      <c r="H8" s="35">
        <v>24</v>
      </c>
      <c r="I8" s="7">
        <v>20000</v>
      </c>
      <c r="J8" s="14">
        <v>5949</v>
      </c>
      <c r="K8" s="15">
        <f>L8+4748+4697</f>
        <v>15394</v>
      </c>
      <c r="L8" s="15">
        <f>3159+2790</f>
        <v>5949</v>
      </c>
      <c r="M8" s="15">
        <f t="shared" si="0"/>
        <v>5949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>$AD$23</f>
        <v>0.48039215686274517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191</v>
      </c>
      <c r="E9" s="53" t="s">
        <v>192</v>
      </c>
      <c r="F9" s="30" t="s">
        <v>195</v>
      </c>
      <c r="G9" s="33">
        <v>1</v>
      </c>
      <c r="H9" s="35">
        <v>24</v>
      </c>
      <c r="I9" s="7">
        <v>24000</v>
      </c>
      <c r="J9" s="14">
        <v>4883</v>
      </c>
      <c r="K9" s="15">
        <f>L9+4275+4281+3934+3095+2209+2640+1825+2633+4060</f>
        <v>33835</v>
      </c>
      <c r="L9" s="15">
        <f>2786+2097</f>
        <v>4883</v>
      </c>
      <c r="M9" s="15">
        <f t="shared" si="0"/>
        <v>4883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>$AD$23</f>
        <v>0.48039215686274517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144</v>
      </c>
      <c r="F10" s="30" t="s">
        <v>173</v>
      </c>
      <c r="G10" s="33">
        <v>4</v>
      </c>
      <c r="H10" s="35">
        <v>24</v>
      </c>
      <c r="I10" s="7">
        <v>250000</v>
      </c>
      <c r="J10" s="5">
        <v>3936</v>
      </c>
      <c r="K10" s="15">
        <f>L10+25160+41576+41808+39572+33444+41972+41496+41236+41760+41172+18144+37804+42332</f>
        <v>491412</v>
      </c>
      <c r="L10" s="15">
        <f>984*4</f>
        <v>3936</v>
      </c>
      <c r="M10" s="15">
        <f t="shared" si="0"/>
        <v>3936</v>
      </c>
      <c r="N10" s="15">
        <v>0</v>
      </c>
      <c r="O10" s="58">
        <f t="shared" si="1"/>
        <v>0</v>
      </c>
      <c r="P10" s="39">
        <f t="shared" si="2"/>
        <v>5</v>
      </c>
      <c r="Q10" s="40">
        <f t="shared" si="3"/>
        <v>19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19</v>
      </c>
      <c r="AB10" s="8">
        <f t="shared" si="4"/>
        <v>1</v>
      </c>
      <c r="AC10" s="9">
        <f t="shared" si="5"/>
        <v>0.20833333333333334</v>
      </c>
      <c r="AD10" s="10">
        <f>AC10*AB10*(1-O10)</f>
        <v>0.20833333333333334</v>
      </c>
      <c r="AE10" s="36">
        <f t="shared" ref="AE10:AE14" si="8">$AD$23</f>
        <v>0.48039215686274517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361</v>
      </c>
      <c r="E11" s="53" t="s">
        <v>362</v>
      </c>
      <c r="F11" s="30" t="s">
        <v>385</v>
      </c>
      <c r="G11" s="33">
        <v>1</v>
      </c>
      <c r="H11" s="35">
        <v>24</v>
      </c>
      <c r="I11" s="7">
        <v>15000</v>
      </c>
      <c r="J11" s="14">
        <v>4867</v>
      </c>
      <c r="K11" s="15">
        <f>L11+2390</f>
        <v>7257</v>
      </c>
      <c r="L11" s="15">
        <f>2780+2087</f>
        <v>4867</v>
      </c>
      <c r="M11" s="15">
        <f t="shared" si="0"/>
        <v>4867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>
        <v>2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ref="AD11:AD14" si="9">AC11*AB11*(1-O11)</f>
        <v>0.91666666666666663</v>
      </c>
      <c r="AE11" s="36">
        <f t="shared" si="8"/>
        <v>0.48039215686274517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164</v>
      </c>
      <c r="E12" s="53" t="s">
        <v>165</v>
      </c>
      <c r="F12" s="30" t="s">
        <v>119</v>
      </c>
      <c r="G12" s="33">
        <v>1</v>
      </c>
      <c r="H12" s="35">
        <v>24</v>
      </c>
      <c r="I12" s="7">
        <v>69000</v>
      </c>
      <c r="J12" s="14">
        <v>4714</v>
      </c>
      <c r="K12" s="15">
        <f>L12+2872+5295+4231+5295+5295+5281+840+3474+4762+3115+2852+3656+4456+3648+5388+5312+1641+1569</f>
        <v>73696</v>
      </c>
      <c r="L12" s="15">
        <f>2049+2665</f>
        <v>4714</v>
      </c>
      <c r="M12" s="15">
        <f t="shared" si="0"/>
        <v>4714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/>
      <c r="S12" s="6">
        <v>1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9"/>
        <v>0.95833333333333337</v>
      </c>
      <c r="AE12" s="36">
        <f t="shared" si="8"/>
        <v>0.48039215686274517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143</v>
      </c>
      <c r="F13" s="30" t="s">
        <v>125</v>
      </c>
      <c r="G13" s="33">
        <v>3</v>
      </c>
      <c r="H13" s="35">
        <v>24</v>
      </c>
      <c r="I13" s="7">
        <v>100000</v>
      </c>
      <c r="J13" s="5">
        <v>13042</v>
      </c>
      <c r="K13" s="15">
        <f>L13+15096+13713+7584+9832+23464</f>
        <v>82731</v>
      </c>
      <c r="L13" s="15">
        <f>2742*3+1204*4</f>
        <v>13042</v>
      </c>
      <c r="M13" s="15">
        <f t="shared" si="0"/>
        <v>13042</v>
      </c>
      <c r="N13" s="15">
        <v>0</v>
      </c>
      <c r="O13" s="58">
        <f t="shared" si="1"/>
        <v>0</v>
      </c>
      <c r="P13" s="39">
        <f t="shared" si="2"/>
        <v>18</v>
      </c>
      <c r="Q13" s="40">
        <f t="shared" si="3"/>
        <v>6</v>
      </c>
      <c r="R13" s="7"/>
      <c r="S13" s="6">
        <v>6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0.75</v>
      </c>
      <c r="AD13" s="10">
        <f>AC13*AB13*(1-O13)</f>
        <v>0.75</v>
      </c>
      <c r="AE13" s="36">
        <f t="shared" si="8"/>
        <v>0.48039215686274517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174</v>
      </c>
      <c r="F14" s="30" t="s">
        <v>177</v>
      </c>
      <c r="G14" s="33">
        <v>1</v>
      </c>
      <c r="H14" s="35">
        <v>24</v>
      </c>
      <c r="I14" s="7">
        <v>300</v>
      </c>
      <c r="J14" s="5">
        <v>376</v>
      </c>
      <c r="K14" s="15">
        <f>L14+376</f>
        <v>376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8"/>
        <v>0.48039215686274517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 t="s">
        <v>135</v>
      </c>
      <c r="E15" s="53" t="s">
        <v>253</v>
      </c>
      <c r="F15" s="12" t="s">
        <v>131</v>
      </c>
      <c r="G15" s="12">
        <v>1</v>
      </c>
      <c r="H15" s="13">
        <v>24</v>
      </c>
      <c r="I15" s="31">
        <v>550</v>
      </c>
      <c r="J15" s="14">
        <v>726</v>
      </c>
      <c r="K15" s="15">
        <f>L15+726</f>
        <v>726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ref="AE15:AE22" si="10">$AD$23</f>
        <v>0.48039215686274517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L16+6564+12528+9524+11762+12146+1640</f>
        <v>54164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10"/>
        <v>0.48039215686274517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126</v>
      </c>
      <c r="E17" s="53" t="s">
        <v>324</v>
      </c>
      <c r="F17" s="30" t="s">
        <v>325</v>
      </c>
      <c r="G17" s="12">
        <v>4</v>
      </c>
      <c r="H17" s="13">
        <v>24</v>
      </c>
      <c r="I17" s="7">
        <v>10000</v>
      </c>
      <c r="J17" s="14">
        <v>3136</v>
      </c>
      <c r="K17" s="15">
        <f>L17+5108+3136</f>
        <v>8244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10"/>
        <v>0.48039215686274517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117</v>
      </c>
      <c r="E18" s="53" t="s">
        <v>368</v>
      </c>
      <c r="F18" s="30" t="s">
        <v>139</v>
      </c>
      <c r="G18" s="33">
        <v>1</v>
      </c>
      <c r="H18" s="35">
        <v>24</v>
      </c>
      <c r="I18" s="7">
        <v>1500</v>
      </c>
      <c r="J18" s="14">
        <v>1219</v>
      </c>
      <c r="K18" s="15">
        <f>L18+4160</f>
        <v>5379</v>
      </c>
      <c r="L18" s="15">
        <v>1219</v>
      </c>
      <c r="M18" s="15">
        <f t="shared" si="0"/>
        <v>1219</v>
      </c>
      <c r="N18" s="15">
        <v>0</v>
      </c>
      <c r="O18" s="58">
        <f t="shared" si="1"/>
        <v>0</v>
      </c>
      <c r="P18" s="39">
        <f t="shared" si="2"/>
        <v>7</v>
      </c>
      <c r="Q18" s="40">
        <f t="shared" si="3"/>
        <v>17</v>
      </c>
      <c r="R18" s="7"/>
      <c r="S18" s="6"/>
      <c r="T18" s="16"/>
      <c r="U18" s="16"/>
      <c r="V18" s="17"/>
      <c r="W18" s="5">
        <v>17</v>
      </c>
      <c r="X18" s="16"/>
      <c r="Y18" s="16"/>
      <c r="Z18" s="16"/>
      <c r="AA18" s="18"/>
      <c r="AB18" s="8">
        <f t="shared" si="4"/>
        <v>1</v>
      </c>
      <c r="AC18" s="9">
        <f t="shared" si="5"/>
        <v>0.29166666666666669</v>
      </c>
      <c r="AD18" s="10">
        <f t="shared" si="6"/>
        <v>0.29166666666666669</v>
      </c>
      <c r="AE18" s="36">
        <f t="shared" si="10"/>
        <v>0.48039215686274517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340</v>
      </c>
      <c r="D19" s="52"/>
      <c r="E19" s="53" t="s">
        <v>386</v>
      </c>
      <c r="F19" s="30" t="s">
        <v>138</v>
      </c>
      <c r="G19" s="33">
        <v>1</v>
      </c>
      <c r="H19" s="35">
        <v>24</v>
      </c>
      <c r="I19" s="7">
        <v>3000</v>
      </c>
      <c r="J19" s="5">
        <v>1807</v>
      </c>
      <c r="K19" s="15">
        <f>L19+2553</f>
        <v>4360</v>
      </c>
      <c r="L19" s="15">
        <v>1807</v>
      </c>
      <c r="M19" s="15">
        <f t="shared" si="0"/>
        <v>1807</v>
      </c>
      <c r="N19" s="15">
        <v>0</v>
      </c>
      <c r="O19" s="58">
        <f t="shared" si="1"/>
        <v>0</v>
      </c>
      <c r="P19" s="39">
        <f t="shared" si="2"/>
        <v>10</v>
      </c>
      <c r="Q19" s="40">
        <f t="shared" si="3"/>
        <v>14</v>
      </c>
      <c r="R19" s="7"/>
      <c r="S19" s="6"/>
      <c r="T19" s="16"/>
      <c r="U19" s="16"/>
      <c r="V19" s="17"/>
      <c r="W19" s="5">
        <v>14</v>
      </c>
      <c r="X19" s="16"/>
      <c r="Y19" s="16"/>
      <c r="Z19" s="16"/>
      <c r="AA19" s="18"/>
      <c r="AB19" s="8">
        <f t="shared" si="4"/>
        <v>1</v>
      </c>
      <c r="AC19" s="9">
        <f t="shared" si="5"/>
        <v>0.41666666666666669</v>
      </c>
      <c r="AD19" s="10">
        <f>AC19*AB19*(1-O19)</f>
        <v>0.41666666666666669</v>
      </c>
      <c r="AE19" s="36">
        <f t="shared" si="10"/>
        <v>0.48039215686274517</v>
      </c>
      <c r="AF19" s="84">
        <f t="shared" si="7"/>
        <v>14</v>
      </c>
    </row>
    <row r="20" spans="1:32" ht="27" customHeight="1">
      <c r="A20" s="96">
        <v>14</v>
      </c>
      <c r="B20" s="11" t="s">
        <v>57</v>
      </c>
      <c r="C20" s="34" t="s">
        <v>121</v>
      </c>
      <c r="D20" s="52" t="s">
        <v>416</v>
      </c>
      <c r="E20" s="53" t="s">
        <v>417</v>
      </c>
      <c r="F20" s="30" t="s">
        <v>139</v>
      </c>
      <c r="G20" s="33">
        <v>1</v>
      </c>
      <c r="H20" s="35">
        <v>24</v>
      </c>
      <c r="I20" s="7">
        <v>3000</v>
      </c>
      <c r="J20" s="5">
        <v>2170</v>
      </c>
      <c r="K20" s="15">
        <f>L20</f>
        <v>2170</v>
      </c>
      <c r="L20" s="15">
        <v>2170</v>
      </c>
      <c r="M20" s="15">
        <f t="shared" si="0"/>
        <v>2170</v>
      </c>
      <c r="N20" s="15">
        <v>0</v>
      </c>
      <c r="O20" s="58">
        <f t="shared" si="1"/>
        <v>0</v>
      </c>
      <c r="P20" s="39">
        <f t="shared" si="2"/>
        <v>12</v>
      </c>
      <c r="Q20" s="40">
        <f t="shared" si="3"/>
        <v>12</v>
      </c>
      <c r="R20" s="7"/>
      <c r="S20" s="6">
        <v>1</v>
      </c>
      <c r="T20" s="16">
        <v>11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</v>
      </c>
      <c r="AD20" s="10">
        <f>AC20*AB20*(1-O20)</f>
        <v>0.5</v>
      </c>
      <c r="AE20" s="36">
        <f t="shared" si="10"/>
        <v>0.48039215686274517</v>
      </c>
      <c r="AF20" s="84">
        <f t="shared" si="7"/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115</v>
      </c>
      <c r="E21" s="53" t="s">
        <v>166</v>
      </c>
      <c r="F21" s="30" t="s">
        <v>119</v>
      </c>
      <c r="G21" s="12">
        <v>1</v>
      </c>
      <c r="H21" s="13">
        <v>28</v>
      </c>
      <c r="I21" s="31">
        <v>40000</v>
      </c>
      <c r="J21" s="5">
        <v>4507</v>
      </c>
      <c r="K21" s="15">
        <f>L21+2503+4146+3422+2211+1805+550+1849+2614+2495+1614+1413+464+2031+1384+2779+3110+1852+2502+433+3718+4936</f>
        <v>52338</v>
      </c>
      <c r="L21" s="15">
        <f>2548+1959</f>
        <v>4507</v>
      </c>
      <c r="M21" s="15">
        <f t="shared" si="0"/>
        <v>4507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ref="AD21" si="11">AC21*AB21*(1-O21)</f>
        <v>1</v>
      </c>
      <c r="AE21" s="36">
        <f t="shared" si="10"/>
        <v>0.48039215686274517</v>
      </c>
      <c r="AF21" s="84">
        <f t="shared" si="7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348</v>
      </c>
      <c r="F22" s="12" t="s">
        <v>114</v>
      </c>
      <c r="G22" s="12">
        <v>4</v>
      </c>
      <c r="H22" s="35">
        <v>20</v>
      </c>
      <c r="I22" s="7">
        <v>300000</v>
      </c>
      <c r="J22" s="14">
        <v>37400</v>
      </c>
      <c r="K22" s="15">
        <f>L22+30884+39576</f>
        <v>107860</v>
      </c>
      <c r="L22" s="15">
        <f>9350*4</f>
        <v>37400</v>
      </c>
      <c r="M22" s="15">
        <f t="shared" si="0"/>
        <v>37400</v>
      </c>
      <c r="N22" s="15">
        <v>0</v>
      </c>
      <c r="O22" s="58">
        <f t="shared" si="1"/>
        <v>0</v>
      </c>
      <c r="P22" s="39">
        <f t="shared" si="2"/>
        <v>11</v>
      </c>
      <c r="Q22" s="40">
        <f t="shared" si="3"/>
        <v>13</v>
      </c>
      <c r="R22" s="7"/>
      <c r="S22" s="6"/>
      <c r="T22" s="16"/>
      <c r="U22" s="16"/>
      <c r="V22" s="17">
        <v>13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0.45833333333333331</v>
      </c>
      <c r="AD22" s="10">
        <f t="shared" si="6"/>
        <v>0.45833333333333331</v>
      </c>
      <c r="AE22" s="36">
        <f t="shared" si="10"/>
        <v>0.48039215686274517</v>
      </c>
      <c r="AF22" s="84">
        <f t="shared" si="7"/>
        <v>16</v>
      </c>
    </row>
    <row r="23" spans="1:32" ht="31.5" customHeight="1" thickBot="1">
      <c r="A23" s="405" t="s">
        <v>34</v>
      </c>
      <c r="B23" s="406"/>
      <c r="C23" s="406"/>
      <c r="D23" s="406"/>
      <c r="E23" s="406"/>
      <c r="F23" s="406"/>
      <c r="G23" s="406"/>
      <c r="H23" s="407"/>
      <c r="I23" s="22">
        <f t="shared" ref="I23:N23" si="12">SUM(I6:I22)</f>
        <v>1150350</v>
      </c>
      <c r="J23" s="19">
        <f t="shared" si="12"/>
        <v>95881</v>
      </c>
      <c r="K23" s="20">
        <f t="shared" si="12"/>
        <v>961979</v>
      </c>
      <c r="L23" s="21">
        <f t="shared" si="12"/>
        <v>87795</v>
      </c>
      <c r="M23" s="20">
        <f t="shared" si="12"/>
        <v>87795</v>
      </c>
      <c r="N23" s="21">
        <f t="shared" si="12"/>
        <v>0</v>
      </c>
      <c r="O23" s="41">
        <f t="shared" si="1"/>
        <v>0</v>
      </c>
      <c r="P23" s="42">
        <f t="shared" ref="P23:AA23" si="13">SUM(P6:P22)</f>
        <v>196</v>
      </c>
      <c r="Q23" s="43">
        <f t="shared" si="13"/>
        <v>212</v>
      </c>
      <c r="R23" s="23">
        <f t="shared" si="13"/>
        <v>24</v>
      </c>
      <c r="S23" s="24">
        <f t="shared" si="13"/>
        <v>10</v>
      </c>
      <c r="T23" s="24">
        <f t="shared" si="13"/>
        <v>11</v>
      </c>
      <c r="U23" s="24">
        <f t="shared" si="13"/>
        <v>0</v>
      </c>
      <c r="V23" s="25">
        <f t="shared" si="13"/>
        <v>13</v>
      </c>
      <c r="W23" s="26">
        <f t="shared" si="13"/>
        <v>135</v>
      </c>
      <c r="X23" s="27">
        <f t="shared" si="13"/>
        <v>0</v>
      </c>
      <c r="Y23" s="27">
        <f t="shared" si="13"/>
        <v>0</v>
      </c>
      <c r="Z23" s="27">
        <f t="shared" si="13"/>
        <v>0</v>
      </c>
      <c r="AA23" s="27">
        <f t="shared" si="13"/>
        <v>19</v>
      </c>
      <c r="AB23" s="28">
        <f>AVERAGE(AB6:AB22)</f>
        <v>0.70588235294117652</v>
      </c>
      <c r="AC23" s="4">
        <f>AVERAGE(AC6:AC22)</f>
        <v>0.48039215686274517</v>
      </c>
      <c r="AD23" s="4">
        <f>AVERAGE(AD6:AD22)</f>
        <v>0.48039215686274517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08" t="s">
        <v>45</v>
      </c>
      <c r="B50" s="408"/>
      <c r="C50" s="408"/>
      <c r="D50" s="408"/>
      <c r="E50" s="40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09" t="s">
        <v>418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1"/>
      <c r="N51" s="412" t="s">
        <v>427</v>
      </c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4"/>
    </row>
    <row r="52" spans="1:32" ht="27" customHeight="1">
      <c r="A52" s="415" t="s">
        <v>2</v>
      </c>
      <c r="B52" s="416"/>
      <c r="C52" s="234" t="s">
        <v>46</v>
      </c>
      <c r="D52" s="234" t="s">
        <v>47</v>
      </c>
      <c r="E52" s="234" t="s">
        <v>107</v>
      </c>
      <c r="F52" s="417" t="s">
        <v>106</v>
      </c>
      <c r="G52" s="418"/>
      <c r="H52" s="418"/>
      <c r="I52" s="418"/>
      <c r="J52" s="418"/>
      <c r="K52" s="418"/>
      <c r="L52" s="418"/>
      <c r="M52" s="419"/>
      <c r="N52" s="67" t="s">
        <v>110</v>
      </c>
      <c r="O52" s="234" t="s">
        <v>46</v>
      </c>
      <c r="P52" s="417" t="s">
        <v>47</v>
      </c>
      <c r="Q52" s="420"/>
      <c r="R52" s="417" t="s">
        <v>38</v>
      </c>
      <c r="S52" s="418"/>
      <c r="T52" s="418"/>
      <c r="U52" s="420"/>
      <c r="V52" s="417" t="s">
        <v>48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31" t="s">
        <v>120</v>
      </c>
      <c r="B53" s="432"/>
      <c r="C53" s="236" t="s">
        <v>148</v>
      </c>
      <c r="D53" s="236" t="s">
        <v>115</v>
      </c>
      <c r="E53" s="236" t="s">
        <v>166</v>
      </c>
      <c r="F53" s="433" t="s">
        <v>133</v>
      </c>
      <c r="G53" s="434"/>
      <c r="H53" s="434"/>
      <c r="I53" s="434"/>
      <c r="J53" s="434"/>
      <c r="K53" s="434"/>
      <c r="L53" s="434"/>
      <c r="M53" s="435"/>
      <c r="N53" s="235" t="s">
        <v>403</v>
      </c>
      <c r="O53" s="241" t="s">
        <v>404</v>
      </c>
      <c r="P53" s="436" t="s">
        <v>405</v>
      </c>
      <c r="Q53" s="437"/>
      <c r="R53" s="436" t="s">
        <v>406</v>
      </c>
      <c r="S53" s="438"/>
      <c r="T53" s="438"/>
      <c r="U53" s="437"/>
      <c r="V53" s="439" t="s">
        <v>249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419</v>
      </c>
      <c r="B54" s="432"/>
      <c r="C54" s="236" t="s">
        <v>420</v>
      </c>
      <c r="D54" s="236"/>
      <c r="E54" s="236" t="s">
        <v>417</v>
      </c>
      <c r="F54" s="433" t="s">
        <v>421</v>
      </c>
      <c r="G54" s="434"/>
      <c r="H54" s="434"/>
      <c r="I54" s="434"/>
      <c r="J54" s="434"/>
      <c r="K54" s="434"/>
      <c r="L54" s="434"/>
      <c r="M54" s="435"/>
      <c r="N54" s="235" t="s">
        <v>430</v>
      </c>
      <c r="O54" s="241" t="s">
        <v>420</v>
      </c>
      <c r="P54" s="436" t="s">
        <v>115</v>
      </c>
      <c r="Q54" s="437"/>
      <c r="R54" s="436" t="s">
        <v>428</v>
      </c>
      <c r="S54" s="438"/>
      <c r="T54" s="438"/>
      <c r="U54" s="437"/>
      <c r="V54" s="439" t="s">
        <v>429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120</v>
      </c>
      <c r="B55" s="432"/>
      <c r="C55" s="245" t="s">
        <v>142</v>
      </c>
      <c r="D55" s="245" t="s">
        <v>361</v>
      </c>
      <c r="E55" s="245" t="s">
        <v>362</v>
      </c>
      <c r="F55" s="433" t="s">
        <v>422</v>
      </c>
      <c r="G55" s="434"/>
      <c r="H55" s="434"/>
      <c r="I55" s="434"/>
      <c r="J55" s="434"/>
      <c r="K55" s="434"/>
      <c r="L55" s="434"/>
      <c r="M55" s="435"/>
      <c r="N55" s="235" t="s">
        <v>419</v>
      </c>
      <c r="O55" s="241" t="s">
        <v>420</v>
      </c>
      <c r="P55" s="436"/>
      <c r="Q55" s="437"/>
      <c r="R55" s="436" t="s">
        <v>417</v>
      </c>
      <c r="S55" s="438"/>
      <c r="T55" s="438"/>
      <c r="U55" s="437"/>
      <c r="V55" s="439" t="s">
        <v>431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120</v>
      </c>
      <c r="B56" s="432"/>
      <c r="C56" s="236" t="s">
        <v>423</v>
      </c>
      <c r="D56" s="236" t="s">
        <v>424</v>
      </c>
      <c r="E56" s="236" t="s">
        <v>425</v>
      </c>
      <c r="F56" s="433" t="s">
        <v>426</v>
      </c>
      <c r="G56" s="434"/>
      <c r="H56" s="434"/>
      <c r="I56" s="434"/>
      <c r="J56" s="434"/>
      <c r="K56" s="434"/>
      <c r="L56" s="434"/>
      <c r="M56" s="435"/>
      <c r="N56" s="235"/>
      <c r="O56" s="241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/>
      <c r="B57" s="432"/>
      <c r="C57" s="236"/>
      <c r="D57" s="236"/>
      <c r="E57" s="236"/>
      <c r="F57" s="433"/>
      <c r="G57" s="434"/>
      <c r="H57" s="434"/>
      <c r="I57" s="434"/>
      <c r="J57" s="434"/>
      <c r="K57" s="434"/>
      <c r="L57" s="434"/>
      <c r="M57" s="435"/>
      <c r="N57" s="235"/>
      <c r="O57" s="241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/>
      <c r="B58" s="432"/>
      <c r="C58" s="236"/>
      <c r="D58" s="236"/>
      <c r="E58" s="236"/>
      <c r="F58" s="433"/>
      <c r="G58" s="434"/>
      <c r="H58" s="434"/>
      <c r="I58" s="434"/>
      <c r="J58" s="434"/>
      <c r="K58" s="434"/>
      <c r="L58" s="434"/>
      <c r="M58" s="435"/>
      <c r="N58" s="235"/>
      <c r="O58" s="241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236"/>
      <c r="D59" s="236"/>
      <c r="E59" s="236"/>
      <c r="F59" s="433"/>
      <c r="G59" s="434"/>
      <c r="H59" s="434"/>
      <c r="I59" s="434"/>
      <c r="J59" s="434"/>
      <c r="K59" s="434"/>
      <c r="L59" s="434"/>
      <c r="M59" s="435"/>
      <c r="N59" s="235"/>
      <c r="O59" s="241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236"/>
      <c r="D60" s="236"/>
      <c r="E60" s="236"/>
      <c r="F60" s="433"/>
      <c r="G60" s="434"/>
      <c r="H60" s="434"/>
      <c r="I60" s="434"/>
      <c r="J60" s="434"/>
      <c r="K60" s="434"/>
      <c r="L60" s="434"/>
      <c r="M60" s="435"/>
      <c r="N60" s="235"/>
      <c r="O60" s="241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236"/>
      <c r="D61" s="236"/>
      <c r="E61" s="236"/>
      <c r="F61" s="433"/>
      <c r="G61" s="434"/>
      <c r="H61" s="434"/>
      <c r="I61" s="434"/>
      <c r="J61" s="434"/>
      <c r="K61" s="434"/>
      <c r="L61" s="434"/>
      <c r="M61" s="435"/>
      <c r="N61" s="235"/>
      <c r="O61" s="241"/>
      <c r="P61" s="432"/>
      <c r="Q61" s="432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  <c r="AF61" s="84">
        <f>8*3000</f>
        <v>24000</v>
      </c>
    </row>
    <row r="62" spans="1:32" ht="27" customHeight="1" thickBot="1">
      <c r="A62" s="441"/>
      <c r="B62" s="442"/>
      <c r="C62" s="237"/>
      <c r="D62" s="238"/>
      <c r="E62" s="238"/>
      <c r="F62" s="443"/>
      <c r="G62" s="444"/>
      <c r="H62" s="444"/>
      <c r="I62" s="444"/>
      <c r="J62" s="444"/>
      <c r="K62" s="444"/>
      <c r="L62" s="444"/>
      <c r="M62" s="445"/>
      <c r="N62" s="112"/>
      <c r="O62" s="103"/>
      <c r="P62" s="446"/>
      <c r="Q62" s="446"/>
      <c r="R62" s="446"/>
      <c r="S62" s="446"/>
      <c r="T62" s="446"/>
      <c r="U62" s="446"/>
      <c r="V62" s="447"/>
      <c r="W62" s="447"/>
      <c r="X62" s="447"/>
      <c r="Y62" s="447"/>
      <c r="Z62" s="447"/>
      <c r="AA62" s="447"/>
      <c r="AB62" s="447"/>
      <c r="AC62" s="447"/>
      <c r="AD62" s="448"/>
      <c r="AF62" s="84">
        <f>16*3000</f>
        <v>48000</v>
      </c>
    </row>
    <row r="63" spans="1:32" ht="27.75" thickBot="1">
      <c r="A63" s="449" t="s">
        <v>432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0" t="s">
        <v>111</v>
      </c>
      <c r="B64" s="451"/>
      <c r="C64" s="239" t="s">
        <v>2</v>
      </c>
      <c r="D64" s="239" t="s">
        <v>37</v>
      </c>
      <c r="E64" s="239" t="s">
        <v>3</v>
      </c>
      <c r="F64" s="451" t="s">
        <v>109</v>
      </c>
      <c r="G64" s="451"/>
      <c r="H64" s="451"/>
      <c r="I64" s="451"/>
      <c r="J64" s="451"/>
      <c r="K64" s="451" t="s">
        <v>39</v>
      </c>
      <c r="L64" s="451"/>
      <c r="M64" s="239" t="s">
        <v>40</v>
      </c>
      <c r="N64" s="451" t="s">
        <v>41</v>
      </c>
      <c r="O64" s="451"/>
      <c r="P64" s="452" t="s">
        <v>42</v>
      </c>
      <c r="Q64" s="453"/>
      <c r="R64" s="452" t="s">
        <v>43</v>
      </c>
      <c r="S64" s="454"/>
      <c r="T64" s="454"/>
      <c r="U64" s="454"/>
      <c r="V64" s="454"/>
      <c r="W64" s="454"/>
      <c r="X64" s="454"/>
      <c r="Y64" s="454"/>
      <c r="Z64" s="454"/>
      <c r="AA64" s="453"/>
      <c r="AB64" s="451" t="s">
        <v>44</v>
      </c>
      <c r="AC64" s="451"/>
      <c r="AD64" s="455"/>
      <c r="AF64" s="84">
        <f>SUM(AF61:AF63)</f>
        <v>96000</v>
      </c>
    </row>
    <row r="65" spans="1:32" ht="25.5" customHeight="1">
      <c r="A65" s="456">
        <v>1</v>
      </c>
      <c r="B65" s="457"/>
      <c r="C65" s="105" t="s">
        <v>436</v>
      </c>
      <c r="D65" s="243"/>
      <c r="E65" s="240" t="s">
        <v>437</v>
      </c>
      <c r="F65" s="458" t="s">
        <v>433</v>
      </c>
      <c r="G65" s="459"/>
      <c r="H65" s="459"/>
      <c r="I65" s="459"/>
      <c r="J65" s="460"/>
      <c r="K65" s="461" t="s">
        <v>440</v>
      </c>
      <c r="L65" s="461"/>
      <c r="M65" s="51" t="s">
        <v>442</v>
      </c>
      <c r="N65" s="462" t="s">
        <v>443</v>
      </c>
      <c r="O65" s="462"/>
      <c r="P65" s="463">
        <v>100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4"/>
      <c r="AC65" s="465"/>
      <c r="AD65" s="466"/>
      <c r="AF65" s="50"/>
    </row>
    <row r="66" spans="1:32" ht="25.5" customHeight="1">
      <c r="A66" s="456">
        <v>2</v>
      </c>
      <c r="B66" s="457"/>
      <c r="C66" s="105" t="s">
        <v>436</v>
      </c>
      <c r="D66" s="243"/>
      <c r="E66" s="240" t="s">
        <v>438</v>
      </c>
      <c r="F66" s="458" t="s">
        <v>434</v>
      </c>
      <c r="G66" s="459"/>
      <c r="H66" s="459"/>
      <c r="I66" s="459"/>
      <c r="J66" s="460"/>
      <c r="K66" s="461" t="s">
        <v>441</v>
      </c>
      <c r="L66" s="461"/>
      <c r="M66" s="51" t="s">
        <v>442</v>
      </c>
      <c r="N66" s="462" t="s">
        <v>444</v>
      </c>
      <c r="O66" s="462"/>
      <c r="P66" s="463">
        <v>100</v>
      </c>
      <c r="Q66" s="463"/>
      <c r="R66" s="439" t="s">
        <v>445</v>
      </c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3</v>
      </c>
      <c r="B67" s="457"/>
      <c r="C67" s="105" t="s">
        <v>436</v>
      </c>
      <c r="D67" s="243"/>
      <c r="E67" s="240" t="s">
        <v>439</v>
      </c>
      <c r="F67" s="458" t="s">
        <v>435</v>
      </c>
      <c r="G67" s="459"/>
      <c r="H67" s="459"/>
      <c r="I67" s="459"/>
      <c r="J67" s="460"/>
      <c r="K67" s="461">
        <v>7301</v>
      </c>
      <c r="L67" s="461"/>
      <c r="M67" s="51" t="s">
        <v>442</v>
      </c>
      <c r="N67" s="462" t="s">
        <v>446</v>
      </c>
      <c r="O67" s="462"/>
      <c r="P67" s="463">
        <v>100</v>
      </c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4</v>
      </c>
      <c r="B68" s="457"/>
      <c r="C68" s="105"/>
      <c r="D68" s="243"/>
      <c r="E68" s="240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5</v>
      </c>
      <c r="B69" s="457"/>
      <c r="C69" s="105"/>
      <c r="D69" s="243"/>
      <c r="E69" s="240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6</v>
      </c>
      <c r="B70" s="457"/>
      <c r="C70" s="105"/>
      <c r="D70" s="243"/>
      <c r="E70" s="240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7</v>
      </c>
      <c r="B71" s="457"/>
      <c r="C71" s="105"/>
      <c r="D71" s="243"/>
      <c r="E71" s="240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8</v>
      </c>
      <c r="B72" s="457"/>
      <c r="C72" s="105"/>
      <c r="D72" s="243"/>
      <c r="E72" s="240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9</v>
      </c>
      <c r="B73" s="457"/>
      <c r="C73" s="105"/>
      <c r="D73" s="243"/>
      <c r="E73" s="240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10</v>
      </c>
      <c r="B74" s="457"/>
      <c r="C74" s="105"/>
      <c r="D74" s="243"/>
      <c r="E74" s="240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6.25" customHeight="1" thickBot="1">
      <c r="A75" s="469" t="s">
        <v>447</v>
      </c>
      <c r="B75" s="469"/>
      <c r="C75" s="469"/>
      <c r="D75" s="469"/>
      <c r="E75" s="46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0" t="s">
        <v>111</v>
      </c>
      <c r="B76" s="471"/>
      <c r="C76" s="242" t="s">
        <v>2</v>
      </c>
      <c r="D76" s="242" t="s">
        <v>37</v>
      </c>
      <c r="E76" s="242" t="s">
        <v>3</v>
      </c>
      <c r="F76" s="471" t="s">
        <v>38</v>
      </c>
      <c r="G76" s="471"/>
      <c r="H76" s="471"/>
      <c r="I76" s="471"/>
      <c r="J76" s="471"/>
      <c r="K76" s="472" t="s">
        <v>58</v>
      </c>
      <c r="L76" s="473"/>
      <c r="M76" s="473"/>
      <c r="N76" s="473"/>
      <c r="O76" s="473"/>
      <c r="P76" s="473"/>
      <c r="Q76" s="473"/>
      <c r="R76" s="473"/>
      <c r="S76" s="474"/>
      <c r="T76" s="471" t="s">
        <v>49</v>
      </c>
      <c r="U76" s="471"/>
      <c r="V76" s="472" t="s">
        <v>50</v>
      </c>
      <c r="W76" s="474"/>
      <c r="X76" s="473" t="s">
        <v>51</v>
      </c>
      <c r="Y76" s="473"/>
      <c r="Z76" s="473"/>
      <c r="AA76" s="473"/>
      <c r="AB76" s="473"/>
      <c r="AC76" s="473"/>
      <c r="AD76" s="475"/>
      <c r="AF76" s="50"/>
    </row>
    <row r="77" spans="1:32" ht="33.75" customHeight="1">
      <c r="A77" s="484">
        <v>1</v>
      </c>
      <c r="B77" s="485"/>
      <c r="C77" s="244" t="s">
        <v>112</v>
      </c>
      <c r="D77" s="244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76">
        <f>A77+1</f>
        <v>2</v>
      </c>
      <c r="B78" s="477"/>
      <c r="C78" s="243"/>
      <c r="D78" s="243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ref="A79:A83" si="14">A78+1</f>
        <v>3</v>
      </c>
      <c r="B79" s="477"/>
      <c r="C79" s="243"/>
      <c r="D79" s="243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14"/>
        <v>4</v>
      </c>
      <c r="B80" s="477"/>
      <c r="C80" s="243"/>
      <c r="D80" s="243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14"/>
        <v>5</v>
      </c>
      <c r="B81" s="477"/>
      <c r="C81" s="243"/>
      <c r="D81" s="243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14"/>
        <v>6</v>
      </c>
      <c r="B82" s="477"/>
      <c r="C82" s="243"/>
      <c r="D82" s="243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14"/>
        <v>7</v>
      </c>
      <c r="B83" s="477"/>
      <c r="C83" s="243"/>
      <c r="D83" s="243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6" thickBot="1">
      <c r="A84" s="469" t="s">
        <v>448</v>
      </c>
      <c r="B84" s="469"/>
      <c r="C84" s="469"/>
      <c r="D84" s="469"/>
      <c r="E84" s="46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0" t="s">
        <v>111</v>
      </c>
      <c r="B85" s="471"/>
      <c r="C85" s="497" t="s">
        <v>52</v>
      </c>
      <c r="D85" s="497"/>
      <c r="E85" s="497" t="s">
        <v>53</v>
      </c>
      <c r="F85" s="497"/>
      <c r="G85" s="497"/>
      <c r="H85" s="497"/>
      <c r="I85" s="497"/>
      <c r="J85" s="497"/>
      <c r="K85" s="497" t="s">
        <v>54</v>
      </c>
      <c r="L85" s="497"/>
      <c r="M85" s="497"/>
      <c r="N85" s="497"/>
      <c r="O85" s="497"/>
      <c r="P85" s="497"/>
      <c r="Q85" s="497"/>
      <c r="R85" s="497"/>
      <c r="S85" s="497"/>
      <c r="T85" s="497" t="s">
        <v>55</v>
      </c>
      <c r="U85" s="497"/>
      <c r="V85" s="497" t="s">
        <v>56</v>
      </c>
      <c r="W85" s="497"/>
      <c r="X85" s="497"/>
      <c r="Y85" s="497" t="s">
        <v>51</v>
      </c>
      <c r="Z85" s="497"/>
      <c r="AA85" s="497"/>
      <c r="AB85" s="497"/>
      <c r="AC85" s="497"/>
      <c r="AD85" s="498"/>
      <c r="AF85" s="50"/>
    </row>
    <row r="86" spans="1:32" ht="30.75" customHeight="1">
      <c r="A86" s="484">
        <v>1</v>
      </c>
      <c r="B86" s="485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500"/>
      <c r="W86" s="500"/>
      <c r="X86" s="500"/>
      <c r="Y86" s="501"/>
      <c r="Z86" s="501"/>
      <c r="AA86" s="501"/>
      <c r="AB86" s="501"/>
      <c r="AC86" s="501"/>
      <c r="AD86" s="502"/>
      <c r="AF86" s="50"/>
    </row>
    <row r="87" spans="1:32" ht="30.75" customHeight="1">
      <c r="A87" s="476">
        <v>2</v>
      </c>
      <c r="B87" s="477"/>
      <c r="C87" s="510"/>
      <c r="D87" s="510"/>
      <c r="E87" s="510"/>
      <c r="F87" s="510"/>
      <c r="G87" s="510"/>
      <c r="H87" s="510"/>
      <c r="I87" s="510"/>
      <c r="J87" s="510"/>
      <c r="K87" s="510"/>
      <c r="L87" s="510"/>
      <c r="M87" s="510"/>
      <c r="N87" s="510"/>
      <c r="O87" s="510"/>
      <c r="P87" s="510"/>
      <c r="Q87" s="510"/>
      <c r="R87" s="510"/>
      <c r="S87" s="510"/>
      <c r="T87" s="511"/>
      <c r="U87" s="511"/>
      <c r="V87" s="512"/>
      <c r="W87" s="512"/>
      <c r="X87" s="512"/>
      <c r="Y87" s="503"/>
      <c r="Z87" s="503"/>
      <c r="AA87" s="503"/>
      <c r="AB87" s="503"/>
      <c r="AC87" s="503"/>
      <c r="AD87" s="504"/>
      <c r="AF87" s="50"/>
    </row>
    <row r="88" spans="1:32" ht="30.75" customHeight="1" thickBot="1">
      <c r="A88" s="505">
        <v>3</v>
      </c>
      <c r="B88" s="506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07"/>
      <c r="X88" s="507"/>
      <c r="Y88" s="508"/>
      <c r="Z88" s="508"/>
      <c r="AA88" s="508"/>
      <c r="AB88" s="508"/>
      <c r="AC88" s="508"/>
      <c r="AD88" s="509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A646-7FF7-4733-B977-4146904396ED}">
  <dimension ref="A1:AF91"/>
  <sheetViews>
    <sheetView view="pageBreakPreview" zoomScale="70" zoomScaleNormal="72" zoomScaleSheetLayoutView="70" workbookViewId="0">
      <selection activeCell="AE10" sqref="AE10:AE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449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246" t="s">
        <v>17</v>
      </c>
      <c r="L5" s="246" t="s">
        <v>18</v>
      </c>
      <c r="M5" s="246" t="s">
        <v>19</v>
      </c>
      <c r="N5" s="24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244</v>
      </c>
      <c r="E6" s="53" t="s">
        <v>365</v>
      </c>
      <c r="F6" s="30" t="s">
        <v>156</v>
      </c>
      <c r="G6" s="12">
        <v>1</v>
      </c>
      <c r="H6" s="13">
        <v>24</v>
      </c>
      <c r="I6" s="31">
        <v>4000</v>
      </c>
      <c r="J6" s="5">
        <v>3301</v>
      </c>
      <c r="K6" s="15">
        <f>L6+4554+3301</f>
        <v>7855</v>
      </c>
      <c r="L6" s="15"/>
      <c r="M6" s="15">
        <f t="shared" ref="M6:M25" si="0">L6-N6</f>
        <v>0</v>
      </c>
      <c r="N6" s="15">
        <v>0</v>
      </c>
      <c r="O6" s="58" t="str">
        <f t="shared" ref="O6:O26" si="1">IF(L6=0,"0",N6/L6)</f>
        <v>0</v>
      </c>
      <c r="P6" s="39" t="str">
        <f t="shared" ref="P6:P25" si="2">IF(L6=0,"0",(24-Q6))</f>
        <v>0</v>
      </c>
      <c r="Q6" s="40">
        <f t="shared" ref="Q6:Q25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5" si="4">IF(J6=0,"0",(L6/J6))</f>
        <v>0</v>
      </c>
      <c r="AC6" s="9">
        <f t="shared" ref="AC6:AC25" si="5">IF(P6=0,"0",(P6/24))</f>
        <v>0</v>
      </c>
      <c r="AD6" s="10">
        <f t="shared" ref="AD6:AD25" si="6">AC6*AB6*(1-O6)</f>
        <v>0</v>
      </c>
      <c r="AE6" s="36">
        <f t="shared" ref="AE6:AE14" si="7">$AD$26</f>
        <v>0.32500000000000001</v>
      </c>
      <c r="AF6" s="84">
        <f t="shared" ref="AF6:AF25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308</v>
      </c>
      <c r="F7" s="12" t="s">
        <v>131</v>
      </c>
      <c r="G7" s="12">
        <v>1</v>
      </c>
      <c r="H7" s="13">
        <v>24</v>
      </c>
      <c r="I7" s="31">
        <v>10000</v>
      </c>
      <c r="J7" s="14">
        <v>2208</v>
      </c>
      <c r="K7" s="15">
        <f>L7+3036+2875+6063+2208</f>
        <v>14182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0.32500000000000001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331</v>
      </c>
      <c r="F8" s="30" t="s">
        <v>132</v>
      </c>
      <c r="G8" s="33">
        <v>1</v>
      </c>
      <c r="H8" s="35">
        <v>24</v>
      </c>
      <c r="I8" s="7">
        <v>20000</v>
      </c>
      <c r="J8" s="14">
        <v>6175</v>
      </c>
      <c r="K8" s="15">
        <f>L8+4748+4697+5949</f>
        <v>21569</v>
      </c>
      <c r="L8" s="15">
        <f>2906+3269</f>
        <v>6175</v>
      </c>
      <c r="M8" s="15">
        <f t="shared" si="0"/>
        <v>6175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0.32500000000000001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191</v>
      </c>
      <c r="E9" s="53" t="s">
        <v>192</v>
      </c>
      <c r="F9" s="30" t="s">
        <v>195</v>
      </c>
      <c r="G9" s="33">
        <v>1</v>
      </c>
      <c r="H9" s="35">
        <v>24</v>
      </c>
      <c r="I9" s="7">
        <v>24000</v>
      </c>
      <c r="J9" s="14">
        <v>1666</v>
      </c>
      <c r="K9" s="15">
        <f>L9+4275+4281+3934+3095+2209+2640+1825+2633+4060+4883</f>
        <v>35501</v>
      </c>
      <c r="L9" s="15">
        <v>1666</v>
      </c>
      <c r="M9" s="15">
        <f t="shared" si="0"/>
        <v>1666</v>
      </c>
      <c r="N9" s="15">
        <v>0</v>
      </c>
      <c r="O9" s="58">
        <f t="shared" si="1"/>
        <v>0</v>
      </c>
      <c r="P9" s="39">
        <f t="shared" si="2"/>
        <v>8</v>
      </c>
      <c r="Q9" s="40">
        <f t="shared" si="3"/>
        <v>16</v>
      </c>
      <c r="R9" s="7"/>
      <c r="S9" s="6"/>
      <c r="T9" s="16"/>
      <c r="U9" s="16"/>
      <c r="V9" s="17"/>
      <c r="W9" s="5">
        <v>16</v>
      </c>
      <c r="X9" s="16"/>
      <c r="Y9" s="16"/>
      <c r="Z9" s="16"/>
      <c r="AA9" s="18"/>
      <c r="AB9" s="8">
        <f t="shared" si="4"/>
        <v>1</v>
      </c>
      <c r="AC9" s="9">
        <f t="shared" si="5"/>
        <v>0.33333333333333331</v>
      </c>
      <c r="AD9" s="10">
        <f t="shared" si="6"/>
        <v>0.33333333333333331</v>
      </c>
      <c r="AE9" s="36">
        <f t="shared" si="7"/>
        <v>0.32500000000000001</v>
      </c>
      <c r="AF9" s="84">
        <f t="shared" si="8"/>
        <v>4</v>
      </c>
    </row>
    <row r="10" spans="1:32" ht="27" customHeight="1">
      <c r="A10" s="96">
        <v>4</v>
      </c>
      <c r="B10" s="11" t="s">
        <v>57</v>
      </c>
      <c r="C10" s="11" t="s">
        <v>120</v>
      </c>
      <c r="D10" s="52" t="s">
        <v>294</v>
      </c>
      <c r="E10" s="53" t="s">
        <v>450</v>
      </c>
      <c r="F10" s="30" t="s">
        <v>139</v>
      </c>
      <c r="G10" s="33">
        <v>1</v>
      </c>
      <c r="H10" s="35">
        <v>24</v>
      </c>
      <c r="I10" s="7">
        <v>1000</v>
      </c>
      <c r="J10" s="14">
        <v>1030</v>
      </c>
      <c r="K10" s="15">
        <f>L10</f>
        <v>1030</v>
      </c>
      <c r="L10" s="15">
        <v>1030</v>
      </c>
      <c r="M10" s="15">
        <f t="shared" ref="M10" si="9">L10-N10</f>
        <v>1030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6</v>
      </c>
      <c r="Q10" s="40">
        <f t="shared" ref="Q10" si="12">SUM(R10:AA10)</f>
        <v>18</v>
      </c>
      <c r="R10" s="7"/>
      <c r="S10" s="6"/>
      <c r="T10" s="16"/>
      <c r="U10" s="16"/>
      <c r="V10" s="17"/>
      <c r="W10" s="5">
        <v>18</v>
      </c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0.25</v>
      </c>
      <c r="AD10" s="10">
        <f t="shared" ref="AD10" si="15">AC10*AB10*(1-O10)</f>
        <v>0.25</v>
      </c>
      <c r="AE10" s="36">
        <f t="shared" si="7"/>
        <v>0.32500000000000001</v>
      </c>
      <c r="AF10" s="84">
        <f t="shared" ref="AF10" si="16">A10</f>
        <v>4</v>
      </c>
    </row>
    <row r="11" spans="1:32" ht="27" customHeight="1">
      <c r="A11" s="96">
        <v>5</v>
      </c>
      <c r="B11" s="11" t="s">
        <v>57</v>
      </c>
      <c r="C11" s="34" t="s">
        <v>121</v>
      </c>
      <c r="D11" s="52"/>
      <c r="E11" s="53" t="s">
        <v>144</v>
      </c>
      <c r="F11" s="30" t="s">
        <v>173</v>
      </c>
      <c r="G11" s="33">
        <v>4</v>
      </c>
      <c r="H11" s="35">
        <v>24</v>
      </c>
      <c r="I11" s="7">
        <v>250000</v>
      </c>
      <c r="J11" s="5">
        <v>3936</v>
      </c>
      <c r="K11" s="15">
        <f>L11+25160+41576+41808+39572+33444+41972+41496+41236+41760+41172+18144+37804+42332+3936</f>
        <v>491412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>AC11*AB11*(1-O11)</f>
        <v>0</v>
      </c>
      <c r="AE11" s="36">
        <f t="shared" si="7"/>
        <v>0.32500000000000001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120</v>
      </c>
      <c r="D12" s="52" t="s">
        <v>361</v>
      </c>
      <c r="E12" s="53" t="s">
        <v>362</v>
      </c>
      <c r="F12" s="30" t="s">
        <v>385</v>
      </c>
      <c r="G12" s="33">
        <v>1</v>
      </c>
      <c r="H12" s="35">
        <v>24</v>
      </c>
      <c r="I12" s="7">
        <v>15000</v>
      </c>
      <c r="J12" s="14">
        <v>5391</v>
      </c>
      <c r="K12" s="15">
        <f>L12+2390+4867</f>
        <v>12648</v>
      </c>
      <c r="L12" s="15">
        <f>2495+2896</f>
        <v>5391</v>
      </c>
      <c r="M12" s="15">
        <f t="shared" si="0"/>
        <v>5391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5" si="17">AC12*AB12*(1-O12)</f>
        <v>1</v>
      </c>
      <c r="AE12" s="36">
        <f t="shared" si="7"/>
        <v>0.32500000000000001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11" t="s">
        <v>121</v>
      </c>
      <c r="D13" s="52" t="s">
        <v>164</v>
      </c>
      <c r="E13" s="53" t="s">
        <v>165</v>
      </c>
      <c r="F13" s="30" t="s">
        <v>119</v>
      </c>
      <c r="G13" s="33">
        <v>1</v>
      </c>
      <c r="H13" s="35">
        <v>24</v>
      </c>
      <c r="I13" s="7">
        <v>69000</v>
      </c>
      <c r="J13" s="14">
        <v>5197</v>
      </c>
      <c r="K13" s="15">
        <f>L13+2872+5295+4231+5295+5295+5281+840+3474+4762+3115+2852+3656+4456+3648+5388+5312+1641+1569+4714</f>
        <v>78893</v>
      </c>
      <c r="L13" s="15">
        <f>2451+2746</f>
        <v>5197</v>
      </c>
      <c r="M13" s="15">
        <f t="shared" si="0"/>
        <v>5197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17"/>
        <v>1</v>
      </c>
      <c r="AE13" s="36">
        <f t="shared" si="7"/>
        <v>0.32500000000000001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143</v>
      </c>
      <c r="F14" s="30" t="s">
        <v>125</v>
      </c>
      <c r="G14" s="33">
        <v>3</v>
      </c>
      <c r="H14" s="35">
        <v>24</v>
      </c>
      <c r="I14" s="7">
        <v>100000</v>
      </c>
      <c r="J14" s="5">
        <v>16776</v>
      </c>
      <c r="K14" s="15">
        <f>L14+15096+13713+7584+9832+23464+13042</f>
        <v>99507</v>
      </c>
      <c r="L14" s="15">
        <f>2768*3+2824*3</f>
        <v>16776</v>
      </c>
      <c r="M14" s="15">
        <f t="shared" si="0"/>
        <v>16776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>AC14*AB14*(1-O14)</f>
        <v>1</v>
      </c>
      <c r="AE14" s="36">
        <f t="shared" si="7"/>
        <v>0.32500000000000001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174</v>
      </c>
      <c r="F15" s="30" t="s">
        <v>177</v>
      </c>
      <c r="G15" s="33">
        <v>1</v>
      </c>
      <c r="H15" s="35">
        <v>24</v>
      </c>
      <c r="I15" s="7">
        <v>300</v>
      </c>
      <c r="J15" s="5">
        <v>376</v>
      </c>
      <c r="K15" s="15">
        <f>L15+376</f>
        <v>376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17"/>
        <v>0</v>
      </c>
      <c r="AE15" s="36">
        <f t="shared" ref="AE15:AE19" si="18">$AD$26</f>
        <v>0.32500000000000001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120</v>
      </c>
      <c r="D16" s="52" t="s">
        <v>135</v>
      </c>
      <c r="E16" s="53" t="s">
        <v>253</v>
      </c>
      <c r="F16" s="12" t="s">
        <v>131</v>
      </c>
      <c r="G16" s="12">
        <v>1</v>
      </c>
      <c r="H16" s="13">
        <v>24</v>
      </c>
      <c r="I16" s="31">
        <v>550</v>
      </c>
      <c r="J16" s="14">
        <v>726</v>
      </c>
      <c r="K16" s="15">
        <f>L16+726</f>
        <v>726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18"/>
        <v>0.32500000000000001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207</v>
      </c>
      <c r="E17" s="53" t="s">
        <v>204</v>
      </c>
      <c r="F17" s="30" t="s">
        <v>138</v>
      </c>
      <c r="G17" s="12">
        <v>2</v>
      </c>
      <c r="H17" s="13">
        <v>24</v>
      </c>
      <c r="I17" s="7">
        <v>300000</v>
      </c>
      <c r="J17" s="14">
        <v>1640</v>
      </c>
      <c r="K17" s="15">
        <f>L17+6564+12528+9524+11762+12146+1640</f>
        <v>54164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18"/>
        <v>0.32500000000000001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121</v>
      </c>
      <c r="D18" s="52" t="s">
        <v>126</v>
      </c>
      <c r="E18" s="53" t="s">
        <v>324</v>
      </c>
      <c r="F18" s="30" t="s">
        <v>325</v>
      </c>
      <c r="G18" s="12">
        <v>4</v>
      </c>
      <c r="H18" s="13">
        <v>24</v>
      </c>
      <c r="I18" s="7">
        <v>10000</v>
      </c>
      <c r="J18" s="14">
        <v>3136</v>
      </c>
      <c r="K18" s="15">
        <f>L18+5108+3136</f>
        <v>8244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18"/>
        <v>0.32500000000000001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451</v>
      </c>
      <c r="F19" s="30" t="s">
        <v>139</v>
      </c>
      <c r="G19" s="33">
        <v>1</v>
      </c>
      <c r="H19" s="35">
        <v>24</v>
      </c>
      <c r="I19" s="7">
        <v>1000</v>
      </c>
      <c r="J19" s="14">
        <v>1070</v>
      </c>
      <c r="K19" s="15">
        <f>L19</f>
        <v>1070</v>
      </c>
      <c r="L19" s="15">
        <v>1070</v>
      </c>
      <c r="M19" s="15">
        <f t="shared" si="0"/>
        <v>1070</v>
      </c>
      <c r="N19" s="15">
        <v>0</v>
      </c>
      <c r="O19" s="58">
        <f t="shared" si="1"/>
        <v>0</v>
      </c>
      <c r="P19" s="39">
        <f t="shared" si="2"/>
        <v>6</v>
      </c>
      <c r="Q19" s="40">
        <f t="shared" si="3"/>
        <v>18</v>
      </c>
      <c r="R19" s="7"/>
      <c r="S19" s="6"/>
      <c r="T19" s="16"/>
      <c r="U19" s="16"/>
      <c r="V19" s="17"/>
      <c r="W19" s="5">
        <v>18</v>
      </c>
      <c r="X19" s="16"/>
      <c r="Y19" s="16"/>
      <c r="Z19" s="16"/>
      <c r="AA19" s="18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6">
        <f t="shared" si="18"/>
        <v>0.32500000000000001</v>
      </c>
      <c r="AF19" s="84">
        <f t="shared" si="8"/>
        <v>13</v>
      </c>
    </row>
    <row r="20" spans="1:32" ht="27" customHeight="1">
      <c r="A20" s="96">
        <v>13</v>
      </c>
      <c r="B20" s="11" t="s">
        <v>57</v>
      </c>
      <c r="C20" s="11" t="s">
        <v>120</v>
      </c>
      <c r="D20" s="52" t="s">
        <v>207</v>
      </c>
      <c r="E20" s="53" t="s">
        <v>452</v>
      </c>
      <c r="F20" s="30" t="s">
        <v>138</v>
      </c>
      <c r="G20" s="33">
        <v>2</v>
      </c>
      <c r="H20" s="35">
        <v>24</v>
      </c>
      <c r="I20" s="7">
        <v>2000</v>
      </c>
      <c r="J20" s="14">
        <v>2320</v>
      </c>
      <c r="K20" s="15">
        <f t="shared" ref="K20:K21" si="19">L20</f>
        <v>2320</v>
      </c>
      <c r="L20" s="15">
        <f>1160*2</f>
        <v>2320</v>
      </c>
      <c r="M20" s="15">
        <f t="shared" ref="M20:M21" si="20">L20-N20</f>
        <v>2320</v>
      </c>
      <c r="N20" s="15">
        <v>0</v>
      </c>
      <c r="O20" s="58">
        <f t="shared" ref="O20:O21" si="21">IF(L20=0,"0",N20/L20)</f>
        <v>0</v>
      </c>
      <c r="P20" s="39">
        <f t="shared" ref="P20:P21" si="22">IF(L20=0,"0",(24-Q20))</f>
        <v>6</v>
      </c>
      <c r="Q20" s="40">
        <f t="shared" ref="Q20:Q21" si="23">SUM(R20:AA20)</f>
        <v>18</v>
      </c>
      <c r="R20" s="7"/>
      <c r="S20" s="6"/>
      <c r="T20" s="16"/>
      <c r="U20" s="16"/>
      <c r="V20" s="17"/>
      <c r="W20" s="5">
        <v>18</v>
      </c>
      <c r="X20" s="16"/>
      <c r="Y20" s="16"/>
      <c r="Z20" s="16"/>
      <c r="AA20" s="18"/>
      <c r="AB20" s="8">
        <f t="shared" ref="AB20:AB21" si="24">IF(J20=0,"0",(L20/J20))</f>
        <v>1</v>
      </c>
      <c r="AC20" s="9">
        <f t="shared" ref="AC20:AC21" si="25">IF(P20=0,"0",(P20/24))</f>
        <v>0.25</v>
      </c>
      <c r="AD20" s="10">
        <f t="shared" ref="AD20:AD21" si="26">AC20*AB20*(1-O20)</f>
        <v>0.25</v>
      </c>
      <c r="AE20" s="36">
        <f t="shared" ref="AE20:AE21" si="27">$AD$26</f>
        <v>0.32500000000000001</v>
      </c>
      <c r="AF20" s="84">
        <f t="shared" ref="AF20:AF21" si="28">A20</f>
        <v>13</v>
      </c>
    </row>
    <row r="21" spans="1:32" ht="27" customHeight="1">
      <c r="A21" s="96">
        <v>13</v>
      </c>
      <c r="B21" s="11" t="s">
        <v>57</v>
      </c>
      <c r="C21" s="11" t="s">
        <v>120</v>
      </c>
      <c r="D21" s="52" t="s">
        <v>161</v>
      </c>
      <c r="E21" s="53" t="s">
        <v>453</v>
      </c>
      <c r="F21" s="30" t="s">
        <v>139</v>
      </c>
      <c r="G21" s="33">
        <v>1</v>
      </c>
      <c r="H21" s="35">
        <v>24</v>
      </c>
      <c r="I21" s="7">
        <v>1000</v>
      </c>
      <c r="J21" s="14">
        <v>1210</v>
      </c>
      <c r="K21" s="15">
        <f t="shared" si="19"/>
        <v>1210</v>
      </c>
      <c r="L21" s="15">
        <v>1210</v>
      </c>
      <c r="M21" s="15">
        <f t="shared" si="20"/>
        <v>1210</v>
      </c>
      <c r="N21" s="15">
        <v>0</v>
      </c>
      <c r="O21" s="58">
        <f t="shared" si="21"/>
        <v>0</v>
      </c>
      <c r="P21" s="39">
        <f t="shared" si="22"/>
        <v>6</v>
      </c>
      <c r="Q21" s="40">
        <f t="shared" si="23"/>
        <v>18</v>
      </c>
      <c r="R21" s="7"/>
      <c r="S21" s="6"/>
      <c r="T21" s="16"/>
      <c r="U21" s="16"/>
      <c r="V21" s="17"/>
      <c r="W21" s="5">
        <v>18</v>
      </c>
      <c r="X21" s="16"/>
      <c r="Y21" s="16"/>
      <c r="Z21" s="16"/>
      <c r="AA21" s="18"/>
      <c r="AB21" s="8">
        <f t="shared" si="24"/>
        <v>1</v>
      </c>
      <c r="AC21" s="9">
        <f t="shared" si="25"/>
        <v>0.25</v>
      </c>
      <c r="AD21" s="10">
        <f t="shared" si="26"/>
        <v>0.25</v>
      </c>
      <c r="AE21" s="36">
        <f t="shared" si="27"/>
        <v>0.32500000000000001</v>
      </c>
      <c r="AF21" s="84">
        <f t="shared" si="28"/>
        <v>13</v>
      </c>
    </row>
    <row r="22" spans="1:32" ht="27" customHeight="1">
      <c r="A22" s="96">
        <v>14</v>
      </c>
      <c r="B22" s="11" t="s">
        <v>57</v>
      </c>
      <c r="C22" s="34" t="s">
        <v>259</v>
      </c>
      <c r="D22" s="52" t="s">
        <v>115</v>
      </c>
      <c r="E22" s="53" t="s">
        <v>428</v>
      </c>
      <c r="F22" s="30" t="s">
        <v>376</v>
      </c>
      <c r="G22" s="33">
        <v>1</v>
      </c>
      <c r="H22" s="35">
        <v>24</v>
      </c>
      <c r="I22" s="7">
        <v>500</v>
      </c>
      <c r="J22" s="5">
        <v>881</v>
      </c>
      <c r="K22" s="15">
        <f>L22</f>
        <v>881</v>
      </c>
      <c r="L22" s="15">
        <v>881</v>
      </c>
      <c r="M22" s="15">
        <f t="shared" si="0"/>
        <v>881</v>
      </c>
      <c r="N22" s="15">
        <v>0</v>
      </c>
      <c r="O22" s="58">
        <f t="shared" si="1"/>
        <v>0</v>
      </c>
      <c r="P22" s="39">
        <f t="shared" si="2"/>
        <v>5</v>
      </c>
      <c r="Q22" s="40">
        <f t="shared" si="3"/>
        <v>19</v>
      </c>
      <c r="R22" s="7"/>
      <c r="S22" s="6">
        <v>19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0.20833333333333334</v>
      </c>
      <c r="AD22" s="10">
        <f>AC22*AB22*(1-O22)</f>
        <v>0.20833333333333334</v>
      </c>
      <c r="AE22" s="36">
        <f>$AD$26</f>
        <v>0.32500000000000001</v>
      </c>
      <c r="AF22" s="84">
        <f t="shared" si="8"/>
        <v>14</v>
      </c>
    </row>
    <row r="23" spans="1:32" ht="27" customHeight="1">
      <c r="A23" s="96">
        <v>14</v>
      </c>
      <c r="B23" s="11" t="s">
        <v>57</v>
      </c>
      <c r="C23" s="34" t="s">
        <v>121</v>
      </c>
      <c r="D23" s="52" t="s">
        <v>416</v>
      </c>
      <c r="E23" s="53" t="s">
        <v>417</v>
      </c>
      <c r="F23" s="30" t="s">
        <v>139</v>
      </c>
      <c r="G23" s="33">
        <v>1</v>
      </c>
      <c r="H23" s="35">
        <v>24</v>
      </c>
      <c r="I23" s="7">
        <v>3000</v>
      </c>
      <c r="J23" s="5">
        <v>1679</v>
      </c>
      <c r="K23" s="15">
        <f>L23+2170</f>
        <v>3849</v>
      </c>
      <c r="L23" s="15">
        <v>1679</v>
      </c>
      <c r="M23" s="15">
        <f t="shared" si="0"/>
        <v>1679</v>
      </c>
      <c r="N23" s="15">
        <v>0</v>
      </c>
      <c r="O23" s="58">
        <f t="shared" si="1"/>
        <v>0</v>
      </c>
      <c r="P23" s="39">
        <f t="shared" si="2"/>
        <v>9</v>
      </c>
      <c r="Q23" s="40">
        <f t="shared" si="3"/>
        <v>15</v>
      </c>
      <c r="R23" s="7"/>
      <c r="S23" s="6"/>
      <c r="T23" s="16"/>
      <c r="U23" s="16"/>
      <c r="V23" s="17"/>
      <c r="W23" s="5">
        <v>15</v>
      </c>
      <c r="X23" s="16"/>
      <c r="Y23" s="16"/>
      <c r="Z23" s="16"/>
      <c r="AA23" s="18"/>
      <c r="AB23" s="8">
        <f t="shared" si="4"/>
        <v>1</v>
      </c>
      <c r="AC23" s="9">
        <f t="shared" si="5"/>
        <v>0.375</v>
      </c>
      <c r="AD23" s="10">
        <f>AC23*AB23*(1-O23)</f>
        <v>0.375</v>
      </c>
      <c r="AE23" s="36">
        <f>$AD$26</f>
        <v>0.32500000000000001</v>
      </c>
      <c r="AF23" s="84">
        <f t="shared" si="8"/>
        <v>14</v>
      </c>
    </row>
    <row r="24" spans="1:32" ht="27" customHeight="1">
      <c r="A24" s="113">
        <v>15</v>
      </c>
      <c r="B24" s="11" t="s">
        <v>57</v>
      </c>
      <c r="C24" s="34" t="s">
        <v>120</v>
      </c>
      <c r="D24" s="52" t="s">
        <v>115</v>
      </c>
      <c r="E24" s="53" t="s">
        <v>166</v>
      </c>
      <c r="F24" s="30" t="s">
        <v>119</v>
      </c>
      <c r="G24" s="12">
        <v>1</v>
      </c>
      <c r="H24" s="13">
        <v>28</v>
      </c>
      <c r="I24" s="31">
        <v>40000</v>
      </c>
      <c r="J24" s="5">
        <v>624</v>
      </c>
      <c r="K24" s="15">
        <f>L24+2503+4146+3422+2211+1805+550+1849+2614+2495+1614+1413+464+2031+1384+2779+3110+1852+2502+433+3718+4936+4507</f>
        <v>52962</v>
      </c>
      <c r="L24" s="15">
        <v>624</v>
      </c>
      <c r="M24" s="15">
        <f t="shared" si="0"/>
        <v>624</v>
      </c>
      <c r="N24" s="15">
        <v>0</v>
      </c>
      <c r="O24" s="58">
        <f t="shared" si="1"/>
        <v>0</v>
      </c>
      <c r="P24" s="39">
        <f t="shared" si="2"/>
        <v>4</v>
      </c>
      <c r="Q24" s="40">
        <f t="shared" si="3"/>
        <v>20</v>
      </c>
      <c r="R24" s="7"/>
      <c r="S24" s="6">
        <v>20</v>
      </c>
      <c r="T24" s="16"/>
      <c r="U24" s="16"/>
      <c r="V24" s="17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0.16666666666666666</v>
      </c>
      <c r="AD24" s="10">
        <f t="shared" ref="AD24" si="29">AC24*AB24*(1-O24)</f>
        <v>0.16666666666666666</v>
      </c>
      <c r="AE24" s="36">
        <f>$AD$26</f>
        <v>0.32500000000000001</v>
      </c>
      <c r="AF24" s="84">
        <f t="shared" si="8"/>
        <v>15</v>
      </c>
    </row>
    <row r="25" spans="1:32" ht="27" customHeight="1" thickBot="1">
      <c r="A25" s="96">
        <v>16</v>
      </c>
      <c r="B25" s="11" t="s">
        <v>57</v>
      </c>
      <c r="C25" s="11" t="s">
        <v>113</v>
      </c>
      <c r="D25" s="52"/>
      <c r="E25" s="53" t="s">
        <v>454</v>
      </c>
      <c r="F25" s="12" t="s">
        <v>114</v>
      </c>
      <c r="G25" s="12">
        <v>4</v>
      </c>
      <c r="H25" s="35">
        <v>20</v>
      </c>
      <c r="I25" s="7">
        <v>300000</v>
      </c>
      <c r="J25" s="14">
        <v>26152</v>
      </c>
      <c r="K25" s="15">
        <f>L25</f>
        <v>26152</v>
      </c>
      <c r="L25" s="15">
        <f>6538*4</f>
        <v>26152</v>
      </c>
      <c r="M25" s="15">
        <f t="shared" si="0"/>
        <v>26152</v>
      </c>
      <c r="N25" s="15">
        <v>0</v>
      </c>
      <c r="O25" s="58">
        <f t="shared" si="1"/>
        <v>0</v>
      </c>
      <c r="P25" s="39">
        <f t="shared" si="2"/>
        <v>10</v>
      </c>
      <c r="Q25" s="40">
        <f t="shared" si="3"/>
        <v>14</v>
      </c>
      <c r="R25" s="7"/>
      <c r="S25" s="6"/>
      <c r="T25" s="16"/>
      <c r="U25" s="16"/>
      <c r="V25" s="17">
        <v>14</v>
      </c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0.41666666666666669</v>
      </c>
      <c r="AD25" s="10">
        <f t="shared" si="6"/>
        <v>0.41666666666666669</v>
      </c>
      <c r="AE25" s="36">
        <f>$AD$26</f>
        <v>0.32500000000000001</v>
      </c>
      <c r="AF25" s="84">
        <f t="shared" si="8"/>
        <v>16</v>
      </c>
    </row>
    <row r="26" spans="1:32" ht="31.5" customHeight="1" thickBot="1">
      <c r="A26" s="405" t="s">
        <v>34</v>
      </c>
      <c r="B26" s="406"/>
      <c r="C26" s="406"/>
      <c r="D26" s="406"/>
      <c r="E26" s="406"/>
      <c r="F26" s="406"/>
      <c r="G26" s="406"/>
      <c r="H26" s="407"/>
      <c r="I26" s="22">
        <f t="shared" ref="I26:N26" si="30">SUM(I6:I25)</f>
        <v>1151350</v>
      </c>
      <c r="J26" s="19">
        <f t="shared" si="30"/>
        <v>85494</v>
      </c>
      <c r="K26" s="20">
        <f t="shared" si="30"/>
        <v>914551</v>
      </c>
      <c r="L26" s="21">
        <f t="shared" si="30"/>
        <v>70171</v>
      </c>
      <c r="M26" s="20">
        <f t="shared" si="30"/>
        <v>70171</v>
      </c>
      <c r="N26" s="21">
        <f t="shared" si="30"/>
        <v>0</v>
      </c>
      <c r="O26" s="41">
        <f t="shared" si="1"/>
        <v>0</v>
      </c>
      <c r="P26" s="42">
        <f t="shared" ref="P26:AA26" si="31">SUM(P6:P25)</f>
        <v>156</v>
      </c>
      <c r="Q26" s="43">
        <f t="shared" si="31"/>
        <v>324</v>
      </c>
      <c r="R26" s="23">
        <f t="shared" si="31"/>
        <v>24</v>
      </c>
      <c r="S26" s="24">
        <f t="shared" si="31"/>
        <v>39</v>
      </c>
      <c r="T26" s="24">
        <f t="shared" si="31"/>
        <v>0</v>
      </c>
      <c r="U26" s="24">
        <f t="shared" si="31"/>
        <v>0</v>
      </c>
      <c r="V26" s="25">
        <f t="shared" si="31"/>
        <v>14</v>
      </c>
      <c r="W26" s="26">
        <f t="shared" si="31"/>
        <v>175</v>
      </c>
      <c r="X26" s="27">
        <f t="shared" si="31"/>
        <v>0</v>
      </c>
      <c r="Y26" s="27">
        <f t="shared" si="31"/>
        <v>0</v>
      </c>
      <c r="Z26" s="27">
        <f t="shared" si="31"/>
        <v>0</v>
      </c>
      <c r="AA26" s="27">
        <f t="shared" si="31"/>
        <v>72</v>
      </c>
      <c r="AB26" s="28">
        <f>AVERAGE(AB6:AB25)</f>
        <v>0.65</v>
      </c>
      <c r="AC26" s="4">
        <f>AVERAGE(AC6:AC25)</f>
        <v>0.32500000000000001</v>
      </c>
      <c r="AD26" s="4">
        <f>AVERAGE(AD6:AD25)</f>
        <v>0.32500000000000001</v>
      </c>
      <c r="AE26" s="29"/>
    </row>
    <row r="28" spans="1:32" ht="18.75">
      <c r="A28" s="2"/>
      <c r="B28" s="2" t="s">
        <v>35</v>
      </c>
      <c r="C28" s="2"/>
      <c r="D28" s="2"/>
      <c r="E28" s="2"/>
      <c r="F28" s="2"/>
      <c r="G28" s="2"/>
      <c r="H28" s="3"/>
      <c r="I28" s="3"/>
      <c r="J28" s="2"/>
      <c r="K28" s="2"/>
      <c r="L28" s="2"/>
      <c r="M28" s="2"/>
      <c r="N28" s="2" t="s">
        <v>36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1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85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27">
      <c r="A43" s="59"/>
      <c r="B43" s="59"/>
      <c r="C43" s="59"/>
      <c r="D43" s="59"/>
      <c r="E43" s="59"/>
      <c r="F43" s="37"/>
      <c r="G43" s="37"/>
      <c r="H43" s="38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F43" s="50"/>
    </row>
    <row r="44" spans="1:32" ht="29.25" customHeight="1">
      <c r="A44" s="60"/>
      <c r="B44" s="60"/>
      <c r="C44" s="61"/>
      <c r="D44" s="61"/>
      <c r="E44" s="61"/>
      <c r="F44" s="60"/>
      <c r="G44" s="60"/>
      <c r="H44" s="60"/>
      <c r="I44" s="60"/>
      <c r="J44" s="60"/>
      <c r="K44" s="60"/>
      <c r="L44" s="60"/>
      <c r="M44" s="61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36" thickBot="1">
      <c r="A53" s="408" t="s">
        <v>45</v>
      </c>
      <c r="B53" s="408"/>
      <c r="C53" s="408"/>
      <c r="D53" s="408"/>
      <c r="E53" s="408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F53" s="50"/>
    </row>
    <row r="54" spans="1:32" ht="26.25" thickBot="1">
      <c r="A54" s="409" t="s">
        <v>455</v>
      </c>
      <c r="B54" s="410"/>
      <c r="C54" s="410"/>
      <c r="D54" s="410"/>
      <c r="E54" s="410"/>
      <c r="F54" s="410"/>
      <c r="G54" s="410"/>
      <c r="H54" s="410"/>
      <c r="I54" s="410"/>
      <c r="J54" s="410"/>
      <c r="K54" s="410"/>
      <c r="L54" s="410"/>
      <c r="M54" s="411"/>
      <c r="N54" s="412" t="s">
        <v>456</v>
      </c>
      <c r="O54" s="413"/>
      <c r="P54" s="413"/>
      <c r="Q54" s="413"/>
      <c r="R54" s="413"/>
      <c r="S54" s="413"/>
      <c r="T54" s="413"/>
      <c r="U54" s="413"/>
      <c r="V54" s="413"/>
      <c r="W54" s="413"/>
      <c r="X54" s="413"/>
      <c r="Y54" s="413"/>
      <c r="Z54" s="413"/>
      <c r="AA54" s="413"/>
      <c r="AB54" s="413"/>
      <c r="AC54" s="413"/>
      <c r="AD54" s="414"/>
    </row>
    <row r="55" spans="1:32" ht="27" customHeight="1">
      <c r="A55" s="415" t="s">
        <v>2</v>
      </c>
      <c r="B55" s="416"/>
      <c r="C55" s="247" t="s">
        <v>46</v>
      </c>
      <c r="D55" s="247" t="s">
        <v>47</v>
      </c>
      <c r="E55" s="247" t="s">
        <v>107</v>
      </c>
      <c r="F55" s="417" t="s">
        <v>106</v>
      </c>
      <c r="G55" s="418"/>
      <c r="H55" s="418"/>
      <c r="I55" s="418"/>
      <c r="J55" s="418"/>
      <c r="K55" s="418"/>
      <c r="L55" s="418"/>
      <c r="M55" s="419"/>
      <c r="N55" s="67" t="s">
        <v>110</v>
      </c>
      <c r="O55" s="247" t="s">
        <v>46</v>
      </c>
      <c r="P55" s="417" t="s">
        <v>47</v>
      </c>
      <c r="Q55" s="420"/>
      <c r="R55" s="417" t="s">
        <v>38</v>
      </c>
      <c r="S55" s="418"/>
      <c r="T55" s="418"/>
      <c r="U55" s="420"/>
      <c r="V55" s="417" t="s">
        <v>48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31" t="s">
        <v>120</v>
      </c>
      <c r="B56" s="432"/>
      <c r="C56" s="249" t="s">
        <v>148</v>
      </c>
      <c r="D56" s="249" t="s">
        <v>115</v>
      </c>
      <c r="E56" s="249" t="s">
        <v>166</v>
      </c>
      <c r="F56" s="433" t="s">
        <v>351</v>
      </c>
      <c r="G56" s="434"/>
      <c r="H56" s="434"/>
      <c r="I56" s="434"/>
      <c r="J56" s="434"/>
      <c r="K56" s="434"/>
      <c r="L56" s="434"/>
      <c r="M56" s="435"/>
      <c r="N56" s="248" t="s">
        <v>120</v>
      </c>
      <c r="O56" s="254" t="s">
        <v>148</v>
      </c>
      <c r="P56" s="436" t="s">
        <v>115</v>
      </c>
      <c r="Q56" s="437"/>
      <c r="R56" s="436" t="s">
        <v>166</v>
      </c>
      <c r="S56" s="438"/>
      <c r="T56" s="438"/>
      <c r="U56" s="437"/>
      <c r="V56" s="439" t="s">
        <v>249</v>
      </c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120</v>
      </c>
      <c r="B57" s="432"/>
      <c r="C57" s="249" t="s">
        <v>190</v>
      </c>
      <c r="D57" s="249"/>
      <c r="E57" s="249" t="s">
        <v>450</v>
      </c>
      <c r="F57" s="433" t="s">
        <v>118</v>
      </c>
      <c r="G57" s="434"/>
      <c r="H57" s="434"/>
      <c r="I57" s="434"/>
      <c r="J57" s="434"/>
      <c r="K57" s="434"/>
      <c r="L57" s="434"/>
      <c r="M57" s="435"/>
      <c r="N57" s="248" t="s">
        <v>120</v>
      </c>
      <c r="O57" s="254" t="s">
        <v>187</v>
      </c>
      <c r="P57" s="436" t="s">
        <v>115</v>
      </c>
      <c r="Q57" s="437"/>
      <c r="R57" s="436" t="s">
        <v>457</v>
      </c>
      <c r="S57" s="438"/>
      <c r="T57" s="438"/>
      <c r="U57" s="437"/>
      <c r="V57" s="439" t="s">
        <v>118</v>
      </c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120</v>
      </c>
      <c r="B58" s="432"/>
      <c r="C58" s="249" t="s">
        <v>223</v>
      </c>
      <c r="D58" s="249"/>
      <c r="E58" s="249" t="s">
        <v>451</v>
      </c>
      <c r="F58" s="433" t="s">
        <v>118</v>
      </c>
      <c r="G58" s="434"/>
      <c r="H58" s="434"/>
      <c r="I58" s="434"/>
      <c r="J58" s="434"/>
      <c r="K58" s="434"/>
      <c r="L58" s="434"/>
      <c r="M58" s="435"/>
      <c r="N58" s="248" t="s">
        <v>120</v>
      </c>
      <c r="O58" s="254" t="s">
        <v>223</v>
      </c>
      <c r="P58" s="436" t="s">
        <v>115</v>
      </c>
      <c r="Q58" s="437"/>
      <c r="R58" s="436" t="s">
        <v>458</v>
      </c>
      <c r="S58" s="438"/>
      <c r="T58" s="438"/>
      <c r="U58" s="437"/>
      <c r="V58" s="439" t="s">
        <v>118</v>
      </c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 t="s">
        <v>120</v>
      </c>
      <c r="B59" s="432"/>
      <c r="C59" s="249" t="s">
        <v>223</v>
      </c>
      <c r="D59" s="249"/>
      <c r="E59" s="249" t="s">
        <v>452</v>
      </c>
      <c r="F59" s="433" t="s">
        <v>118</v>
      </c>
      <c r="G59" s="434"/>
      <c r="H59" s="434"/>
      <c r="I59" s="434"/>
      <c r="J59" s="434"/>
      <c r="K59" s="434"/>
      <c r="L59" s="434"/>
      <c r="M59" s="435"/>
      <c r="N59" s="248" t="s">
        <v>121</v>
      </c>
      <c r="O59" s="254" t="s">
        <v>189</v>
      </c>
      <c r="P59" s="436" t="s">
        <v>460</v>
      </c>
      <c r="Q59" s="437"/>
      <c r="R59" s="436" t="s">
        <v>459</v>
      </c>
      <c r="S59" s="438"/>
      <c r="T59" s="438"/>
      <c r="U59" s="437"/>
      <c r="V59" s="439" t="s">
        <v>118</v>
      </c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 t="s">
        <v>120</v>
      </c>
      <c r="B60" s="432"/>
      <c r="C60" s="249" t="s">
        <v>223</v>
      </c>
      <c r="D60" s="249"/>
      <c r="E60" s="249" t="s">
        <v>453</v>
      </c>
      <c r="F60" s="433" t="s">
        <v>118</v>
      </c>
      <c r="G60" s="434"/>
      <c r="H60" s="434"/>
      <c r="I60" s="434"/>
      <c r="J60" s="434"/>
      <c r="K60" s="434"/>
      <c r="L60" s="434"/>
      <c r="M60" s="435"/>
      <c r="N60" s="248"/>
      <c r="O60" s="254"/>
      <c r="P60" s="436"/>
      <c r="Q60" s="437"/>
      <c r="R60" s="436"/>
      <c r="S60" s="438"/>
      <c r="T60" s="438"/>
      <c r="U60" s="437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 t="s">
        <v>120</v>
      </c>
      <c r="B61" s="432"/>
      <c r="C61" s="249" t="s">
        <v>223</v>
      </c>
      <c r="D61" s="249"/>
      <c r="E61" s="249" t="s">
        <v>417</v>
      </c>
      <c r="F61" s="433" t="s">
        <v>133</v>
      </c>
      <c r="G61" s="434"/>
      <c r="H61" s="434"/>
      <c r="I61" s="434"/>
      <c r="J61" s="434"/>
      <c r="K61" s="434"/>
      <c r="L61" s="434"/>
      <c r="M61" s="435"/>
      <c r="N61" s="248"/>
      <c r="O61" s="254"/>
      <c r="P61" s="436"/>
      <c r="Q61" s="437"/>
      <c r="R61" s="436"/>
      <c r="S61" s="438"/>
      <c r="T61" s="438"/>
      <c r="U61" s="437"/>
      <c r="V61" s="439"/>
      <c r="W61" s="439"/>
      <c r="X61" s="439"/>
      <c r="Y61" s="439"/>
      <c r="Z61" s="439"/>
      <c r="AA61" s="439"/>
      <c r="AB61" s="439"/>
      <c r="AC61" s="439"/>
      <c r="AD61" s="440"/>
    </row>
    <row r="62" spans="1:32" ht="27" customHeight="1">
      <c r="A62" s="431" t="s">
        <v>120</v>
      </c>
      <c r="B62" s="432"/>
      <c r="C62" s="249" t="s">
        <v>223</v>
      </c>
      <c r="D62" s="249"/>
      <c r="E62" s="249" t="s">
        <v>428</v>
      </c>
      <c r="F62" s="433" t="s">
        <v>118</v>
      </c>
      <c r="G62" s="434"/>
      <c r="H62" s="434"/>
      <c r="I62" s="434"/>
      <c r="J62" s="434"/>
      <c r="K62" s="434"/>
      <c r="L62" s="434"/>
      <c r="M62" s="435"/>
      <c r="N62" s="248"/>
      <c r="O62" s="254"/>
      <c r="P62" s="436"/>
      <c r="Q62" s="437"/>
      <c r="R62" s="432"/>
      <c r="S62" s="432"/>
      <c r="T62" s="432"/>
      <c r="U62" s="432"/>
      <c r="V62" s="439"/>
      <c r="W62" s="439"/>
      <c r="X62" s="439"/>
      <c r="Y62" s="439"/>
      <c r="Z62" s="439"/>
      <c r="AA62" s="439"/>
      <c r="AB62" s="439"/>
      <c r="AC62" s="439"/>
      <c r="AD62" s="440"/>
    </row>
    <row r="63" spans="1:32" ht="27" customHeight="1">
      <c r="A63" s="431"/>
      <c r="B63" s="432"/>
      <c r="C63" s="249"/>
      <c r="D63" s="249"/>
      <c r="E63" s="249"/>
      <c r="F63" s="433"/>
      <c r="G63" s="434"/>
      <c r="H63" s="434"/>
      <c r="I63" s="434"/>
      <c r="J63" s="434"/>
      <c r="K63" s="434"/>
      <c r="L63" s="434"/>
      <c r="M63" s="435"/>
      <c r="N63" s="248"/>
      <c r="O63" s="254"/>
      <c r="P63" s="436"/>
      <c r="Q63" s="437"/>
      <c r="R63" s="432"/>
      <c r="S63" s="432"/>
      <c r="T63" s="432"/>
      <c r="U63" s="432"/>
      <c r="V63" s="439"/>
      <c r="W63" s="439"/>
      <c r="X63" s="439"/>
      <c r="Y63" s="439"/>
      <c r="Z63" s="439"/>
      <c r="AA63" s="439"/>
      <c r="AB63" s="439"/>
      <c r="AC63" s="439"/>
      <c r="AD63" s="440"/>
    </row>
    <row r="64" spans="1:32" ht="27" customHeight="1">
      <c r="A64" s="431"/>
      <c r="B64" s="432"/>
      <c r="C64" s="249"/>
      <c r="D64" s="249"/>
      <c r="E64" s="249"/>
      <c r="F64" s="433"/>
      <c r="G64" s="434"/>
      <c r="H64" s="434"/>
      <c r="I64" s="434"/>
      <c r="J64" s="434"/>
      <c r="K64" s="434"/>
      <c r="L64" s="434"/>
      <c r="M64" s="435"/>
      <c r="N64" s="248"/>
      <c r="O64" s="254"/>
      <c r="P64" s="432"/>
      <c r="Q64" s="432"/>
      <c r="R64" s="432"/>
      <c r="S64" s="432"/>
      <c r="T64" s="432"/>
      <c r="U64" s="432"/>
      <c r="V64" s="439"/>
      <c r="W64" s="439"/>
      <c r="X64" s="439"/>
      <c r="Y64" s="439"/>
      <c r="Z64" s="439"/>
      <c r="AA64" s="439"/>
      <c r="AB64" s="439"/>
      <c r="AC64" s="439"/>
      <c r="AD64" s="440"/>
      <c r="AF64" s="84">
        <f>8*3000</f>
        <v>24000</v>
      </c>
    </row>
    <row r="65" spans="1:32" ht="27" customHeight="1" thickBot="1">
      <c r="A65" s="441"/>
      <c r="B65" s="442"/>
      <c r="C65" s="250"/>
      <c r="D65" s="251"/>
      <c r="E65" s="251"/>
      <c r="F65" s="443"/>
      <c r="G65" s="444"/>
      <c r="H65" s="444"/>
      <c r="I65" s="444"/>
      <c r="J65" s="444"/>
      <c r="K65" s="444"/>
      <c r="L65" s="444"/>
      <c r="M65" s="445"/>
      <c r="N65" s="112"/>
      <c r="O65" s="103"/>
      <c r="P65" s="446"/>
      <c r="Q65" s="446"/>
      <c r="R65" s="446"/>
      <c r="S65" s="446"/>
      <c r="T65" s="446"/>
      <c r="U65" s="446"/>
      <c r="V65" s="447"/>
      <c r="W65" s="447"/>
      <c r="X65" s="447"/>
      <c r="Y65" s="447"/>
      <c r="Z65" s="447"/>
      <c r="AA65" s="447"/>
      <c r="AB65" s="447"/>
      <c r="AC65" s="447"/>
      <c r="AD65" s="448"/>
      <c r="AF65" s="84">
        <f>16*3000</f>
        <v>48000</v>
      </c>
    </row>
    <row r="66" spans="1:32" ht="27.75" thickBot="1">
      <c r="A66" s="449" t="s">
        <v>461</v>
      </c>
      <c r="B66" s="449"/>
      <c r="C66" s="449"/>
      <c r="D66" s="449"/>
      <c r="E66" s="449"/>
      <c r="F66" s="37"/>
      <c r="G66" s="37"/>
      <c r="H66" s="38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F66" s="84">
        <v>24000</v>
      </c>
    </row>
    <row r="67" spans="1:32" ht="29.25" customHeight="1" thickBot="1">
      <c r="A67" s="450" t="s">
        <v>111</v>
      </c>
      <c r="B67" s="451"/>
      <c r="C67" s="252" t="s">
        <v>2</v>
      </c>
      <c r="D67" s="252" t="s">
        <v>37</v>
      </c>
      <c r="E67" s="252" t="s">
        <v>3</v>
      </c>
      <c r="F67" s="451" t="s">
        <v>109</v>
      </c>
      <c r="G67" s="451"/>
      <c r="H67" s="451"/>
      <c r="I67" s="451"/>
      <c r="J67" s="451"/>
      <c r="K67" s="451" t="s">
        <v>39</v>
      </c>
      <c r="L67" s="451"/>
      <c r="M67" s="252" t="s">
        <v>40</v>
      </c>
      <c r="N67" s="451" t="s">
        <v>41</v>
      </c>
      <c r="O67" s="451"/>
      <c r="P67" s="452" t="s">
        <v>42</v>
      </c>
      <c r="Q67" s="453"/>
      <c r="R67" s="452" t="s">
        <v>43</v>
      </c>
      <c r="S67" s="454"/>
      <c r="T67" s="454"/>
      <c r="U67" s="454"/>
      <c r="V67" s="454"/>
      <c r="W67" s="454"/>
      <c r="X67" s="454"/>
      <c r="Y67" s="454"/>
      <c r="Z67" s="454"/>
      <c r="AA67" s="453"/>
      <c r="AB67" s="451" t="s">
        <v>44</v>
      </c>
      <c r="AC67" s="451"/>
      <c r="AD67" s="455"/>
      <c r="AF67" s="84">
        <f>SUM(AF64:AF66)</f>
        <v>96000</v>
      </c>
    </row>
    <row r="68" spans="1:32" ht="25.5" customHeight="1">
      <c r="A68" s="456">
        <v>1</v>
      </c>
      <c r="B68" s="457"/>
      <c r="C68" s="105" t="s">
        <v>120</v>
      </c>
      <c r="D68" s="256"/>
      <c r="E68" s="253" t="s">
        <v>191</v>
      </c>
      <c r="F68" s="458" t="s">
        <v>462</v>
      </c>
      <c r="G68" s="459"/>
      <c r="H68" s="459"/>
      <c r="I68" s="459"/>
      <c r="J68" s="460"/>
      <c r="K68" s="461" t="s">
        <v>464</v>
      </c>
      <c r="L68" s="461"/>
      <c r="M68" s="51" t="s">
        <v>237</v>
      </c>
      <c r="N68" s="462" t="s">
        <v>136</v>
      </c>
      <c r="O68" s="462"/>
      <c r="P68" s="463">
        <v>200</v>
      </c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4"/>
      <c r="AC68" s="465"/>
      <c r="AD68" s="466"/>
      <c r="AF68" s="50"/>
    </row>
    <row r="69" spans="1:32" ht="25.5" customHeight="1">
      <c r="A69" s="456">
        <v>2</v>
      </c>
      <c r="B69" s="457"/>
      <c r="C69" s="105" t="s">
        <v>120</v>
      </c>
      <c r="D69" s="256"/>
      <c r="E69" s="253" t="s">
        <v>126</v>
      </c>
      <c r="F69" s="458" t="s">
        <v>463</v>
      </c>
      <c r="G69" s="459"/>
      <c r="H69" s="459"/>
      <c r="I69" s="459"/>
      <c r="J69" s="460"/>
      <c r="K69" s="461" t="s">
        <v>464</v>
      </c>
      <c r="L69" s="461"/>
      <c r="M69" s="51" t="s">
        <v>237</v>
      </c>
      <c r="N69" s="462" t="s">
        <v>127</v>
      </c>
      <c r="O69" s="462"/>
      <c r="P69" s="463">
        <v>200</v>
      </c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3</v>
      </c>
      <c r="B70" s="457"/>
      <c r="C70" s="105" t="s">
        <v>120</v>
      </c>
      <c r="D70" s="256"/>
      <c r="E70" s="253" t="s">
        <v>294</v>
      </c>
      <c r="F70" s="458" t="s">
        <v>450</v>
      </c>
      <c r="G70" s="459"/>
      <c r="H70" s="459"/>
      <c r="I70" s="459"/>
      <c r="J70" s="460"/>
      <c r="K70" s="461">
        <v>7301</v>
      </c>
      <c r="L70" s="461"/>
      <c r="M70" s="51" t="s">
        <v>465</v>
      </c>
      <c r="N70" s="462" t="s">
        <v>190</v>
      </c>
      <c r="O70" s="462"/>
      <c r="P70" s="463">
        <v>50</v>
      </c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4</v>
      </c>
      <c r="B71" s="457"/>
      <c r="C71" s="105" t="s">
        <v>121</v>
      </c>
      <c r="D71" s="256"/>
      <c r="E71" s="253" t="s">
        <v>115</v>
      </c>
      <c r="F71" s="458" t="s">
        <v>466</v>
      </c>
      <c r="G71" s="459"/>
      <c r="H71" s="459"/>
      <c r="I71" s="459"/>
      <c r="J71" s="460"/>
      <c r="K71" s="461" t="s">
        <v>125</v>
      </c>
      <c r="L71" s="461"/>
      <c r="M71" s="51" t="s">
        <v>239</v>
      </c>
      <c r="N71" s="462" t="s">
        <v>219</v>
      </c>
      <c r="O71" s="462"/>
      <c r="P71" s="463"/>
      <c r="Q71" s="463"/>
      <c r="R71" s="439" t="s">
        <v>467</v>
      </c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5</v>
      </c>
      <c r="B72" s="457"/>
      <c r="C72" s="105" t="s">
        <v>120</v>
      </c>
      <c r="D72" s="256"/>
      <c r="E72" s="253" t="s">
        <v>161</v>
      </c>
      <c r="F72" s="458" t="s">
        <v>238</v>
      </c>
      <c r="G72" s="459"/>
      <c r="H72" s="459"/>
      <c r="I72" s="459"/>
      <c r="J72" s="460"/>
      <c r="K72" s="461" t="s">
        <v>124</v>
      </c>
      <c r="L72" s="461"/>
      <c r="M72" s="51" t="s">
        <v>237</v>
      </c>
      <c r="N72" s="462" t="s">
        <v>219</v>
      </c>
      <c r="O72" s="462"/>
      <c r="P72" s="463">
        <v>200</v>
      </c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6</v>
      </c>
      <c r="B73" s="457"/>
      <c r="C73" s="105" t="s">
        <v>121</v>
      </c>
      <c r="D73" s="256"/>
      <c r="E73" s="253" t="s">
        <v>191</v>
      </c>
      <c r="F73" s="458" t="s">
        <v>468</v>
      </c>
      <c r="G73" s="459"/>
      <c r="H73" s="459"/>
      <c r="I73" s="459"/>
      <c r="J73" s="460"/>
      <c r="K73" s="461" t="s">
        <v>325</v>
      </c>
      <c r="L73" s="461"/>
      <c r="M73" s="51" t="s">
        <v>239</v>
      </c>
      <c r="N73" s="462" t="s">
        <v>233</v>
      </c>
      <c r="O73" s="462"/>
      <c r="P73" s="463"/>
      <c r="Q73" s="463"/>
      <c r="R73" s="439" t="s">
        <v>469</v>
      </c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7</v>
      </c>
      <c r="B74" s="457"/>
      <c r="C74" s="105" t="s">
        <v>120</v>
      </c>
      <c r="D74" s="256"/>
      <c r="E74" s="253" t="s">
        <v>115</v>
      </c>
      <c r="F74" s="468" t="s">
        <v>451</v>
      </c>
      <c r="G74" s="461"/>
      <c r="H74" s="461"/>
      <c r="I74" s="461"/>
      <c r="J74" s="461"/>
      <c r="K74" s="461">
        <v>7301</v>
      </c>
      <c r="L74" s="461"/>
      <c r="M74" s="51" t="s">
        <v>465</v>
      </c>
      <c r="N74" s="462" t="s">
        <v>187</v>
      </c>
      <c r="O74" s="462"/>
      <c r="P74" s="463">
        <v>50</v>
      </c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5.5" customHeight="1">
      <c r="A75" s="456">
        <v>8</v>
      </c>
      <c r="B75" s="457"/>
      <c r="C75" s="105" t="s">
        <v>120</v>
      </c>
      <c r="D75" s="256"/>
      <c r="E75" s="253" t="s">
        <v>207</v>
      </c>
      <c r="F75" s="468" t="s">
        <v>452</v>
      </c>
      <c r="G75" s="461"/>
      <c r="H75" s="461"/>
      <c r="I75" s="461"/>
      <c r="J75" s="461"/>
      <c r="K75" s="461" t="s">
        <v>138</v>
      </c>
      <c r="L75" s="461"/>
      <c r="M75" s="51" t="s">
        <v>465</v>
      </c>
      <c r="N75" s="462" t="s">
        <v>187</v>
      </c>
      <c r="O75" s="462"/>
      <c r="P75" s="463">
        <v>100</v>
      </c>
      <c r="Q75" s="463"/>
      <c r="R75" s="439"/>
      <c r="S75" s="439"/>
      <c r="T75" s="439"/>
      <c r="U75" s="439"/>
      <c r="V75" s="439"/>
      <c r="W75" s="439"/>
      <c r="X75" s="439"/>
      <c r="Y75" s="439"/>
      <c r="Z75" s="439"/>
      <c r="AA75" s="439"/>
      <c r="AB75" s="461"/>
      <c r="AC75" s="461"/>
      <c r="AD75" s="467"/>
      <c r="AF75" s="50"/>
    </row>
    <row r="76" spans="1:32" ht="25.5" customHeight="1">
      <c r="A76" s="456">
        <v>9</v>
      </c>
      <c r="B76" s="457"/>
      <c r="C76" s="105" t="s">
        <v>120</v>
      </c>
      <c r="D76" s="256"/>
      <c r="E76" s="253" t="s">
        <v>161</v>
      </c>
      <c r="F76" s="468" t="s">
        <v>453</v>
      </c>
      <c r="G76" s="461"/>
      <c r="H76" s="461"/>
      <c r="I76" s="461"/>
      <c r="J76" s="461"/>
      <c r="K76" s="461">
        <v>7301</v>
      </c>
      <c r="L76" s="461"/>
      <c r="M76" s="51" t="s">
        <v>465</v>
      </c>
      <c r="N76" s="462" t="s">
        <v>187</v>
      </c>
      <c r="O76" s="462"/>
      <c r="P76" s="463">
        <v>50</v>
      </c>
      <c r="Q76" s="463"/>
      <c r="R76" s="439"/>
      <c r="S76" s="439"/>
      <c r="T76" s="439"/>
      <c r="U76" s="439"/>
      <c r="V76" s="439"/>
      <c r="W76" s="439"/>
      <c r="X76" s="439"/>
      <c r="Y76" s="439"/>
      <c r="Z76" s="439"/>
      <c r="AA76" s="439"/>
      <c r="AB76" s="461"/>
      <c r="AC76" s="461"/>
      <c r="AD76" s="467"/>
      <c r="AF76" s="50"/>
    </row>
    <row r="77" spans="1:32" ht="25.5" customHeight="1">
      <c r="A77" s="456">
        <v>10</v>
      </c>
      <c r="B77" s="457"/>
      <c r="C77" s="105"/>
      <c r="D77" s="256"/>
      <c r="E77" s="253"/>
      <c r="F77" s="468"/>
      <c r="G77" s="461"/>
      <c r="H77" s="461"/>
      <c r="I77" s="461"/>
      <c r="J77" s="461"/>
      <c r="K77" s="461"/>
      <c r="L77" s="461"/>
      <c r="M77" s="51"/>
      <c r="N77" s="462"/>
      <c r="O77" s="462"/>
      <c r="P77" s="463"/>
      <c r="Q77" s="463"/>
      <c r="R77" s="439"/>
      <c r="S77" s="439"/>
      <c r="T77" s="439"/>
      <c r="U77" s="439"/>
      <c r="V77" s="439"/>
      <c r="W77" s="439"/>
      <c r="X77" s="439"/>
      <c r="Y77" s="439"/>
      <c r="Z77" s="439"/>
      <c r="AA77" s="439"/>
      <c r="AB77" s="461"/>
      <c r="AC77" s="461"/>
      <c r="AD77" s="467"/>
      <c r="AF77" s="50"/>
    </row>
    <row r="78" spans="1:32" ht="26.25" customHeight="1" thickBot="1">
      <c r="A78" s="469" t="s">
        <v>470</v>
      </c>
      <c r="B78" s="469"/>
      <c r="C78" s="469"/>
      <c r="D78" s="469"/>
      <c r="E78" s="469"/>
      <c r="F78" s="37"/>
      <c r="G78" s="37"/>
      <c r="H78" s="38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F78" s="50"/>
    </row>
    <row r="79" spans="1:32" ht="23.25" thickBot="1">
      <c r="A79" s="470" t="s">
        <v>111</v>
      </c>
      <c r="B79" s="471"/>
      <c r="C79" s="255" t="s">
        <v>2</v>
      </c>
      <c r="D79" s="255" t="s">
        <v>37</v>
      </c>
      <c r="E79" s="255" t="s">
        <v>3</v>
      </c>
      <c r="F79" s="471" t="s">
        <v>38</v>
      </c>
      <c r="G79" s="471"/>
      <c r="H79" s="471"/>
      <c r="I79" s="471"/>
      <c r="J79" s="471"/>
      <c r="K79" s="472" t="s">
        <v>58</v>
      </c>
      <c r="L79" s="473"/>
      <c r="M79" s="473"/>
      <c r="N79" s="473"/>
      <c r="O79" s="473"/>
      <c r="P79" s="473"/>
      <c r="Q79" s="473"/>
      <c r="R79" s="473"/>
      <c r="S79" s="474"/>
      <c r="T79" s="471" t="s">
        <v>49</v>
      </c>
      <c r="U79" s="471"/>
      <c r="V79" s="472" t="s">
        <v>50</v>
      </c>
      <c r="W79" s="474"/>
      <c r="X79" s="473" t="s">
        <v>51</v>
      </c>
      <c r="Y79" s="473"/>
      <c r="Z79" s="473"/>
      <c r="AA79" s="473"/>
      <c r="AB79" s="473"/>
      <c r="AC79" s="473"/>
      <c r="AD79" s="475"/>
      <c r="AF79" s="50"/>
    </row>
    <row r="80" spans="1:32" ht="33.75" customHeight="1">
      <c r="A80" s="484">
        <v>1</v>
      </c>
      <c r="B80" s="485"/>
      <c r="C80" s="257" t="s">
        <v>112</v>
      </c>
      <c r="D80" s="257"/>
      <c r="E80" s="65" t="s">
        <v>117</v>
      </c>
      <c r="F80" s="486" t="s">
        <v>116</v>
      </c>
      <c r="G80" s="487"/>
      <c r="H80" s="487"/>
      <c r="I80" s="487"/>
      <c r="J80" s="488"/>
      <c r="K80" s="489" t="s">
        <v>122</v>
      </c>
      <c r="L80" s="490"/>
      <c r="M80" s="490"/>
      <c r="N80" s="490"/>
      <c r="O80" s="490"/>
      <c r="P80" s="490"/>
      <c r="Q80" s="490"/>
      <c r="R80" s="490"/>
      <c r="S80" s="491"/>
      <c r="T80" s="492">
        <v>43675</v>
      </c>
      <c r="U80" s="493"/>
      <c r="V80" s="494"/>
      <c r="W80" s="494"/>
      <c r="X80" s="495"/>
      <c r="Y80" s="495"/>
      <c r="Z80" s="495"/>
      <c r="AA80" s="495"/>
      <c r="AB80" s="495"/>
      <c r="AC80" s="495"/>
      <c r="AD80" s="496"/>
      <c r="AF80" s="50"/>
    </row>
    <row r="81" spans="1:32" ht="30" customHeight="1">
      <c r="A81" s="476">
        <f>A80+1</f>
        <v>2</v>
      </c>
      <c r="B81" s="477"/>
      <c r="C81" s="256"/>
      <c r="D81" s="256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ref="A82:A86" si="32">A81+1</f>
        <v>3</v>
      </c>
      <c r="B82" s="477"/>
      <c r="C82" s="256"/>
      <c r="D82" s="256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32"/>
        <v>4</v>
      </c>
      <c r="B83" s="477"/>
      <c r="C83" s="256"/>
      <c r="D83" s="256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0" customHeight="1">
      <c r="A84" s="476">
        <f t="shared" si="32"/>
        <v>5</v>
      </c>
      <c r="B84" s="477"/>
      <c r="C84" s="256"/>
      <c r="D84" s="256"/>
      <c r="E84" s="32"/>
      <c r="F84" s="477"/>
      <c r="G84" s="477"/>
      <c r="H84" s="477"/>
      <c r="I84" s="477"/>
      <c r="J84" s="477"/>
      <c r="K84" s="478"/>
      <c r="L84" s="479"/>
      <c r="M84" s="479"/>
      <c r="N84" s="479"/>
      <c r="O84" s="479"/>
      <c r="P84" s="479"/>
      <c r="Q84" s="479"/>
      <c r="R84" s="479"/>
      <c r="S84" s="480"/>
      <c r="T84" s="481"/>
      <c r="U84" s="481"/>
      <c r="V84" s="481"/>
      <c r="W84" s="481"/>
      <c r="X84" s="482"/>
      <c r="Y84" s="482"/>
      <c r="Z84" s="482"/>
      <c r="AA84" s="482"/>
      <c r="AB84" s="482"/>
      <c r="AC84" s="482"/>
      <c r="AD84" s="483"/>
      <c r="AF84" s="50"/>
    </row>
    <row r="85" spans="1:32" ht="30" customHeight="1">
      <c r="A85" s="476">
        <f t="shared" si="32"/>
        <v>6</v>
      </c>
      <c r="B85" s="477"/>
      <c r="C85" s="256"/>
      <c r="D85" s="256"/>
      <c r="E85" s="32"/>
      <c r="F85" s="477"/>
      <c r="G85" s="477"/>
      <c r="H85" s="477"/>
      <c r="I85" s="477"/>
      <c r="J85" s="477"/>
      <c r="K85" s="478"/>
      <c r="L85" s="479"/>
      <c r="M85" s="479"/>
      <c r="N85" s="479"/>
      <c r="O85" s="479"/>
      <c r="P85" s="479"/>
      <c r="Q85" s="479"/>
      <c r="R85" s="479"/>
      <c r="S85" s="480"/>
      <c r="T85" s="481"/>
      <c r="U85" s="481"/>
      <c r="V85" s="481"/>
      <c r="W85" s="481"/>
      <c r="X85" s="482"/>
      <c r="Y85" s="482"/>
      <c r="Z85" s="482"/>
      <c r="AA85" s="482"/>
      <c r="AB85" s="482"/>
      <c r="AC85" s="482"/>
      <c r="AD85" s="483"/>
      <c r="AF85" s="50"/>
    </row>
    <row r="86" spans="1:32" ht="30" customHeight="1">
      <c r="A86" s="476">
        <f t="shared" si="32"/>
        <v>7</v>
      </c>
      <c r="B86" s="477"/>
      <c r="C86" s="256"/>
      <c r="D86" s="256"/>
      <c r="E86" s="32"/>
      <c r="F86" s="477"/>
      <c r="G86" s="477"/>
      <c r="H86" s="477"/>
      <c r="I86" s="477"/>
      <c r="J86" s="477"/>
      <c r="K86" s="478"/>
      <c r="L86" s="479"/>
      <c r="M86" s="479"/>
      <c r="N86" s="479"/>
      <c r="O86" s="479"/>
      <c r="P86" s="479"/>
      <c r="Q86" s="479"/>
      <c r="R86" s="479"/>
      <c r="S86" s="480"/>
      <c r="T86" s="481"/>
      <c r="U86" s="481"/>
      <c r="V86" s="481"/>
      <c r="W86" s="481"/>
      <c r="X86" s="482"/>
      <c r="Y86" s="482"/>
      <c r="Z86" s="482"/>
      <c r="AA86" s="482"/>
      <c r="AB86" s="482"/>
      <c r="AC86" s="482"/>
      <c r="AD86" s="483"/>
      <c r="AF86" s="50"/>
    </row>
    <row r="87" spans="1:32" ht="36" thickBot="1">
      <c r="A87" s="469" t="s">
        <v>471</v>
      </c>
      <c r="B87" s="469"/>
      <c r="C87" s="469"/>
      <c r="D87" s="469"/>
      <c r="E87" s="469"/>
      <c r="F87" s="37"/>
      <c r="G87" s="37"/>
      <c r="H87" s="38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F87" s="50"/>
    </row>
    <row r="88" spans="1:32" ht="30.75" customHeight="1" thickBot="1">
      <c r="A88" s="470" t="s">
        <v>111</v>
      </c>
      <c r="B88" s="471"/>
      <c r="C88" s="497" t="s">
        <v>52</v>
      </c>
      <c r="D88" s="497"/>
      <c r="E88" s="497" t="s">
        <v>53</v>
      </c>
      <c r="F88" s="497"/>
      <c r="G88" s="497"/>
      <c r="H88" s="497"/>
      <c r="I88" s="497"/>
      <c r="J88" s="497"/>
      <c r="K88" s="497" t="s">
        <v>54</v>
      </c>
      <c r="L88" s="497"/>
      <c r="M88" s="497"/>
      <c r="N88" s="497"/>
      <c r="O88" s="497"/>
      <c r="P88" s="497"/>
      <c r="Q88" s="497"/>
      <c r="R88" s="497"/>
      <c r="S88" s="497"/>
      <c r="T88" s="497" t="s">
        <v>55</v>
      </c>
      <c r="U88" s="497"/>
      <c r="V88" s="497" t="s">
        <v>56</v>
      </c>
      <c r="W88" s="497"/>
      <c r="X88" s="497"/>
      <c r="Y88" s="497" t="s">
        <v>51</v>
      </c>
      <c r="Z88" s="497"/>
      <c r="AA88" s="497"/>
      <c r="AB88" s="497"/>
      <c r="AC88" s="497"/>
      <c r="AD88" s="498"/>
      <c r="AF88" s="50"/>
    </row>
    <row r="89" spans="1:32" ht="30.75" customHeight="1">
      <c r="A89" s="484">
        <v>1</v>
      </c>
      <c r="B89" s="485"/>
      <c r="C89" s="499"/>
      <c r="D89" s="499"/>
      <c r="E89" s="499"/>
      <c r="F89" s="499"/>
      <c r="G89" s="499"/>
      <c r="H89" s="499"/>
      <c r="I89" s="499"/>
      <c r="J89" s="499"/>
      <c r="K89" s="499"/>
      <c r="L89" s="499"/>
      <c r="M89" s="499"/>
      <c r="N89" s="499"/>
      <c r="O89" s="499"/>
      <c r="P89" s="499"/>
      <c r="Q89" s="499"/>
      <c r="R89" s="499"/>
      <c r="S89" s="499"/>
      <c r="T89" s="499"/>
      <c r="U89" s="499"/>
      <c r="V89" s="500"/>
      <c r="W89" s="500"/>
      <c r="X89" s="500"/>
      <c r="Y89" s="501"/>
      <c r="Z89" s="501"/>
      <c r="AA89" s="501"/>
      <c r="AB89" s="501"/>
      <c r="AC89" s="501"/>
      <c r="AD89" s="502"/>
      <c r="AF89" s="50"/>
    </row>
    <row r="90" spans="1:32" ht="30.75" customHeight="1">
      <c r="A90" s="476">
        <v>2</v>
      </c>
      <c r="B90" s="477"/>
      <c r="C90" s="510"/>
      <c r="D90" s="510"/>
      <c r="E90" s="510"/>
      <c r="F90" s="510"/>
      <c r="G90" s="510"/>
      <c r="H90" s="510"/>
      <c r="I90" s="510"/>
      <c r="J90" s="510"/>
      <c r="K90" s="510"/>
      <c r="L90" s="510"/>
      <c r="M90" s="510"/>
      <c r="N90" s="510"/>
      <c r="O90" s="510"/>
      <c r="P90" s="510"/>
      <c r="Q90" s="510"/>
      <c r="R90" s="510"/>
      <c r="S90" s="510"/>
      <c r="T90" s="511"/>
      <c r="U90" s="511"/>
      <c r="V90" s="512"/>
      <c r="W90" s="512"/>
      <c r="X90" s="512"/>
      <c r="Y90" s="503"/>
      <c r="Z90" s="503"/>
      <c r="AA90" s="503"/>
      <c r="AB90" s="503"/>
      <c r="AC90" s="503"/>
      <c r="AD90" s="504"/>
      <c r="AF90" s="50"/>
    </row>
    <row r="91" spans="1:32" ht="30.75" customHeight="1" thickBot="1">
      <c r="A91" s="505">
        <v>3</v>
      </c>
      <c r="B91" s="506"/>
      <c r="C91" s="507"/>
      <c r="D91" s="507"/>
      <c r="E91" s="507"/>
      <c r="F91" s="507"/>
      <c r="G91" s="507"/>
      <c r="H91" s="507"/>
      <c r="I91" s="507"/>
      <c r="J91" s="507"/>
      <c r="K91" s="507"/>
      <c r="L91" s="507"/>
      <c r="M91" s="507"/>
      <c r="N91" s="507"/>
      <c r="O91" s="507"/>
      <c r="P91" s="507"/>
      <c r="Q91" s="507"/>
      <c r="R91" s="507"/>
      <c r="S91" s="507"/>
      <c r="T91" s="507"/>
      <c r="U91" s="507"/>
      <c r="V91" s="507"/>
      <c r="W91" s="507"/>
      <c r="X91" s="507"/>
      <c r="Y91" s="508"/>
      <c r="Z91" s="508"/>
      <c r="AA91" s="508"/>
      <c r="AB91" s="508"/>
      <c r="AC91" s="508"/>
      <c r="AD91" s="509"/>
      <c r="AF91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6:H26"/>
    <mergeCell ref="A53:E53"/>
    <mergeCell ref="A54:M54"/>
    <mergeCell ref="N54:AD54"/>
    <mergeCell ref="A55:B55"/>
    <mergeCell ref="F55:M55"/>
    <mergeCell ref="P55:Q55"/>
    <mergeCell ref="R55:U55"/>
    <mergeCell ref="V55:AD55"/>
    <mergeCell ref="I4:O4"/>
    <mergeCell ref="P4:Q4"/>
    <mergeCell ref="R4:V4"/>
    <mergeCell ref="W4:AA4"/>
    <mergeCell ref="AB4:AB5"/>
    <mergeCell ref="AC4:AC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6:E66"/>
    <mergeCell ref="A67:B67"/>
    <mergeCell ref="F67:J67"/>
    <mergeCell ref="K67:L67"/>
    <mergeCell ref="N67:O67"/>
    <mergeCell ref="P67:Q67"/>
    <mergeCell ref="A64:B64"/>
    <mergeCell ref="F64:M64"/>
    <mergeCell ref="P64:Q64"/>
    <mergeCell ref="R67:AA67"/>
    <mergeCell ref="AB67:AD67"/>
    <mergeCell ref="A68:B68"/>
    <mergeCell ref="F68:J68"/>
    <mergeCell ref="K68:L68"/>
    <mergeCell ref="N68:O68"/>
    <mergeCell ref="P68:Q68"/>
    <mergeCell ref="R68:AA68"/>
    <mergeCell ref="AB68:AD68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E78"/>
    <mergeCell ref="A79:B79"/>
    <mergeCell ref="F79:J79"/>
    <mergeCell ref="K79:S79"/>
    <mergeCell ref="T79:U79"/>
    <mergeCell ref="V79:W79"/>
    <mergeCell ref="X79:AD79"/>
    <mergeCell ref="A77:B77"/>
    <mergeCell ref="F77:J77"/>
    <mergeCell ref="K77:L77"/>
    <mergeCell ref="N77:O77"/>
    <mergeCell ref="P77:Q77"/>
    <mergeCell ref="R77:AA77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E87"/>
    <mergeCell ref="A88:B88"/>
    <mergeCell ref="C88:D88"/>
    <mergeCell ref="E88:J88"/>
    <mergeCell ref="K88:S88"/>
    <mergeCell ref="T88:U88"/>
    <mergeCell ref="A86:B86"/>
    <mergeCell ref="F86:J86"/>
    <mergeCell ref="K86:S86"/>
    <mergeCell ref="T86:U86"/>
    <mergeCell ref="V88:X88"/>
    <mergeCell ref="Y88:AD88"/>
    <mergeCell ref="A89:B89"/>
    <mergeCell ref="C89:D89"/>
    <mergeCell ref="E89:J89"/>
    <mergeCell ref="K89:S89"/>
    <mergeCell ref="T89:U89"/>
    <mergeCell ref="V89:X89"/>
    <mergeCell ref="Y89:AD89"/>
    <mergeCell ref="Y90:AD90"/>
    <mergeCell ref="A91:B91"/>
    <mergeCell ref="C91:D91"/>
    <mergeCell ref="E91:J91"/>
    <mergeCell ref="K91:S91"/>
    <mergeCell ref="T91:U91"/>
    <mergeCell ref="V91:X91"/>
    <mergeCell ref="Y91:AD91"/>
    <mergeCell ref="A90:B90"/>
    <mergeCell ref="C90:D90"/>
    <mergeCell ref="E90:J90"/>
    <mergeCell ref="K90:S90"/>
    <mergeCell ref="T90:U90"/>
    <mergeCell ref="V90:X90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1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A964-88DB-4627-BD33-3ACA928FD787}">
  <dimension ref="A1:AF90"/>
  <sheetViews>
    <sheetView view="pageBreakPreview" zoomScale="70" zoomScaleNormal="72" zoomScaleSheetLayoutView="70" workbookViewId="0">
      <selection activeCell="AE11" sqref="AE11:AE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472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269" t="s">
        <v>17</v>
      </c>
      <c r="L5" s="269" t="s">
        <v>18</v>
      </c>
      <c r="M5" s="269" t="s">
        <v>19</v>
      </c>
      <c r="N5" s="26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180</v>
      </c>
      <c r="E6" s="53" t="s">
        <v>473</v>
      </c>
      <c r="F6" s="30" t="s">
        <v>156</v>
      </c>
      <c r="G6" s="12">
        <v>1</v>
      </c>
      <c r="H6" s="13">
        <v>24</v>
      </c>
      <c r="I6" s="31">
        <v>1000</v>
      </c>
      <c r="J6" s="5">
        <v>2398</v>
      </c>
      <c r="K6" s="15">
        <f>L6</f>
        <v>2398</v>
      </c>
      <c r="L6" s="15">
        <f>2398</f>
        <v>2398</v>
      </c>
      <c r="M6" s="15">
        <f t="shared" ref="M6:M24" si="0">L6-N6</f>
        <v>2398</v>
      </c>
      <c r="N6" s="15">
        <v>0</v>
      </c>
      <c r="O6" s="58">
        <f t="shared" ref="O6:O25" si="1">IF(L6=0,"0",N6/L6)</f>
        <v>0</v>
      </c>
      <c r="P6" s="39">
        <f t="shared" ref="P6:P24" si="2">IF(L6=0,"0",(24-Q6))</f>
        <v>14</v>
      </c>
      <c r="Q6" s="40">
        <f t="shared" ref="Q6:Q24" si="3">SUM(R6:AA6)</f>
        <v>10</v>
      </c>
      <c r="R6" s="7"/>
      <c r="S6" s="6">
        <v>10</v>
      </c>
      <c r="T6" s="16"/>
      <c r="U6" s="16"/>
      <c r="V6" s="17"/>
      <c r="W6" s="5"/>
      <c r="X6" s="16"/>
      <c r="Y6" s="16"/>
      <c r="Z6" s="16"/>
      <c r="AA6" s="18"/>
      <c r="AB6" s="8">
        <f t="shared" ref="AB6:AB24" si="4">IF(J6=0,"0",(L6/J6))</f>
        <v>1</v>
      </c>
      <c r="AC6" s="9">
        <f t="shared" ref="AC6:AC24" si="5">IF(P6=0,"0",(P6/24))</f>
        <v>0.58333333333333337</v>
      </c>
      <c r="AD6" s="10">
        <f t="shared" ref="AD6:AD24" si="6">AC6*AB6*(1-O6)</f>
        <v>0.58333333333333337</v>
      </c>
      <c r="AE6" s="36">
        <f t="shared" ref="AE6:AE14" si="7">$AD$25</f>
        <v>0.43640350877192979</v>
      </c>
      <c r="AF6" s="84">
        <f t="shared" ref="AF6:AF24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308</v>
      </c>
      <c r="F7" s="12" t="s">
        <v>131</v>
      </c>
      <c r="G7" s="12">
        <v>1</v>
      </c>
      <c r="H7" s="13">
        <v>24</v>
      </c>
      <c r="I7" s="31">
        <v>10000</v>
      </c>
      <c r="J7" s="14">
        <v>2208</v>
      </c>
      <c r="K7" s="15">
        <f>L7+3036+2875+6063+2208</f>
        <v>14182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0.43640350877192979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331</v>
      </c>
      <c r="F8" s="30" t="s">
        <v>132</v>
      </c>
      <c r="G8" s="33">
        <v>1</v>
      </c>
      <c r="H8" s="35">
        <v>24</v>
      </c>
      <c r="I8" s="7">
        <v>20000</v>
      </c>
      <c r="J8" s="14">
        <v>5355</v>
      </c>
      <c r="K8" s="15">
        <f>L8+4748+4697+5949+6175</f>
        <v>26924</v>
      </c>
      <c r="L8" s="15">
        <f>2511+2844</f>
        <v>5355</v>
      </c>
      <c r="M8" s="15">
        <f t="shared" si="0"/>
        <v>5355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0.43640350877192979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126</v>
      </c>
      <c r="E9" s="53" t="s">
        <v>474</v>
      </c>
      <c r="F9" s="30" t="s">
        <v>138</v>
      </c>
      <c r="G9" s="33">
        <v>1</v>
      </c>
      <c r="H9" s="35">
        <v>24</v>
      </c>
      <c r="I9" s="7">
        <v>1000</v>
      </c>
      <c r="J9" s="14">
        <v>1010</v>
      </c>
      <c r="K9" s="15">
        <f>L9</f>
        <v>1010</v>
      </c>
      <c r="L9" s="15">
        <f>1010</f>
        <v>1010</v>
      </c>
      <c r="M9" s="15">
        <f t="shared" si="0"/>
        <v>1010</v>
      </c>
      <c r="N9" s="15">
        <v>0</v>
      </c>
      <c r="O9" s="58">
        <f t="shared" si="1"/>
        <v>0</v>
      </c>
      <c r="P9" s="39">
        <f t="shared" si="2"/>
        <v>6</v>
      </c>
      <c r="Q9" s="40">
        <f t="shared" si="3"/>
        <v>18</v>
      </c>
      <c r="R9" s="7"/>
      <c r="S9" s="6"/>
      <c r="T9" s="16"/>
      <c r="U9" s="16"/>
      <c r="V9" s="17"/>
      <c r="W9" s="5">
        <v>18</v>
      </c>
      <c r="X9" s="16"/>
      <c r="Y9" s="16"/>
      <c r="Z9" s="16"/>
      <c r="AA9" s="18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6">
        <f t="shared" si="7"/>
        <v>0.43640350877192979</v>
      </c>
      <c r="AF9" s="84">
        <f t="shared" si="8"/>
        <v>4</v>
      </c>
    </row>
    <row r="10" spans="1:32" ht="27" customHeight="1">
      <c r="A10" s="96">
        <v>4</v>
      </c>
      <c r="B10" s="11" t="s">
        <v>57</v>
      </c>
      <c r="C10" s="11" t="s">
        <v>120</v>
      </c>
      <c r="D10" s="52" t="s">
        <v>126</v>
      </c>
      <c r="E10" s="53" t="s">
        <v>475</v>
      </c>
      <c r="F10" s="30" t="s">
        <v>138</v>
      </c>
      <c r="G10" s="33">
        <v>1</v>
      </c>
      <c r="H10" s="35">
        <v>24</v>
      </c>
      <c r="I10" s="7">
        <v>5000</v>
      </c>
      <c r="J10" s="14">
        <v>3936</v>
      </c>
      <c r="K10" s="15">
        <f>L10</f>
        <v>3936</v>
      </c>
      <c r="L10" s="15">
        <f>3051+885</f>
        <v>3936</v>
      </c>
      <c r="M10" s="15">
        <f t="shared" si="0"/>
        <v>3936</v>
      </c>
      <c r="N10" s="15">
        <v>0</v>
      </c>
      <c r="O10" s="58">
        <f t="shared" si="1"/>
        <v>0</v>
      </c>
      <c r="P10" s="39">
        <f t="shared" si="2"/>
        <v>16</v>
      </c>
      <c r="Q10" s="40">
        <f t="shared" si="3"/>
        <v>8</v>
      </c>
      <c r="R10" s="7"/>
      <c r="S10" s="6"/>
      <c r="T10" s="16">
        <v>8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0.66666666666666663</v>
      </c>
      <c r="AD10" s="10">
        <f t="shared" si="6"/>
        <v>0.66666666666666663</v>
      </c>
      <c r="AE10" s="36">
        <f t="shared" si="7"/>
        <v>0.43640350877192979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34" t="s">
        <v>112</v>
      </c>
      <c r="D11" s="52" t="s">
        <v>141</v>
      </c>
      <c r="E11" s="53" t="s">
        <v>433</v>
      </c>
      <c r="F11" s="30" t="s">
        <v>138</v>
      </c>
      <c r="G11" s="33">
        <v>1</v>
      </c>
      <c r="H11" s="35">
        <v>24</v>
      </c>
      <c r="I11" s="7">
        <v>550</v>
      </c>
      <c r="J11" s="5">
        <v>926</v>
      </c>
      <c r="K11" s="15">
        <f>L11</f>
        <v>926</v>
      </c>
      <c r="L11" s="15">
        <f>463*2</f>
        <v>926</v>
      </c>
      <c r="M11" s="15">
        <f t="shared" si="0"/>
        <v>926</v>
      </c>
      <c r="N11" s="15">
        <v>0</v>
      </c>
      <c r="O11" s="58">
        <f t="shared" si="1"/>
        <v>0</v>
      </c>
      <c r="P11" s="39">
        <f t="shared" si="2"/>
        <v>3</v>
      </c>
      <c r="Q11" s="40">
        <f t="shared" si="3"/>
        <v>21</v>
      </c>
      <c r="R11" s="7"/>
      <c r="S11" s="6"/>
      <c r="T11" s="16"/>
      <c r="U11" s="16"/>
      <c r="V11" s="17"/>
      <c r="W11" s="5">
        <v>21</v>
      </c>
      <c r="X11" s="16"/>
      <c r="Y11" s="16"/>
      <c r="Z11" s="16"/>
      <c r="AA11" s="18"/>
      <c r="AB11" s="8">
        <f t="shared" si="4"/>
        <v>1</v>
      </c>
      <c r="AC11" s="9">
        <f t="shared" si="5"/>
        <v>0.125</v>
      </c>
      <c r="AD11" s="10">
        <f>AC11*AB11*(1-O11)</f>
        <v>0.125</v>
      </c>
      <c r="AE11" s="36">
        <f t="shared" si="7"/>
        <v>0.43640350877192979</v>
      </c>
      <c r="AF11" s="84">
        <f t="shared" si="8"/>
        <v>5</v>
      </c>
    </row>
    <row r="12" spans="1:32" ht="27" customHeight="1">
      <c r="A12" s="96">
        <v>5</v>
      </c>
      <c r="B12" s="11" t="s">
        <v>57</v>
      </c>
      <c r="C12" s="34" t="s">
        <v>121</v>
      </c>
      <c r="D12" s="52" t="s">
        <v>476</v>
      </c>
      <c r="E12" s="53" t="s">
        <v>477</v>
      </c>
      <c r="F12" s="30" t="s">
        <v>478</v>
      </c>
      <c r="G12" s="33">
        <v>2</v>
      </c>
      <c r="H12" s="35">
        <v>24</v>
      </c>
      <c r="I12" s="7">
        <v>10000</v>
      </c>
      <c r="J12" s="5">
        <v>4950</v>
      </c>
      <c r="K12" s="15">
        <f>L12</f>
        <v>4950</v>
      </c>
      <c r="L12" s="15">
        <f>2256*2+219*2</f>
        <v>4950</v>
      </c>
      <c r="M12" s="15">
        <f t="shared" ref="M12" si="9">L12-N12</f>
        <v>4950</v>
      </c>
      <c r="N12" s="15">
        <v>0</v>
      </c>
      <c r="O12" s="58">
        <f t="shared" ref="O12" si="10">IF(L12=0,"0",N12/L12)</f>
        <v>0</v>
      </c>
      <c r="P12" s="39">
        <f t="shared" ref="P12" si="11">IF(L12=0,"0",(24-Q12))</f>
        <v>16</v>
      </c>
      <c r="Q12" s="40">
        <f t="shared" ref="Q12" si="12">SUM(R12:AA12)</f>
        <v>8</v>
      </c>
      <c r="R12" s="7"/>
      <c r="S12" s="6"/>
      <c r="T12" s="16">
        <v>8</v>
      </c>
      <c r="U12" s="16"/>
      <c r="V12" s="17"/>
      <c r="W12" s="5"/>
      <c r="X12" s="16"/>
      <c r="Y12" s="16"/>
      <c r="Z12" s="16"/>
      <c r="AA12" s="18"/>
      <c r="AB12" s="8">
        <f t="shared" ref="AB12" si="13">IF(J12=0,"0",(L12/J12))</f>
        <v>1</v>
      </c>
      <c r="AC12" s="9">
        <f t="shared" ref="AC12" si="14">IF(P12=0,"0",(P12/24))</f>
        <v>0.66666666666666663</v>
      </c>
      <c r="AD12" s="10">
        <f>AC12*AB12*(1-O12)</f>
        <v>0.66666666666666663</v>
      </c>
      <c r="AE12" s="36">
        <f t="shared" si="7"/>
        <v>0.43640350877192979</v>
      </c>
      <c r="AF12" s="84">
        <f t="shared" ref="AF12" si="15">A12</f>
        <v>5</v>
      </c>
    </row>
    <row r="13" spans="1:32" ht="27" customHeight="1">
      <c r="A13" s="96">
        <v>6</v>
      </c>
      <c r="B13" s="11" t="s">
        <v>57</v>
      </c>
      <c r="C13" s="11" t="s">
        <v>120</v>
      </c>
      <c r="D13" s="52" t="s">
        <v>361</v>
      </c>
      <c r="E13" s="53" t="s">
        <v>362</v>
      </c>
      <c r="F13" s="30" t="s">
        <v>385</v>
      </c>
      <c r="G13" s="33">
        <v>1</v>
      </c>
      <c r="H13" s="35">
        <v>24</v>
      </c>
      <c r="I13" s="7">
        <v>15000</v>
      </c>
      <c r="J13" s="14">
        <v>5203</v>
      </c>
      <c r="K13" s="15">
        <f>L13+2390+4867+5391</f>
        <v>17851</v>
      </c>
      <c r="L13" s="15">
        <f>2558+2645</f>
        <v>5203</v>
      </c>
      <c r="M13" s="15">
        <f t="shared" si="0"/>
        <v>5203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ref="AD13:AD16" si="16">AC13*AB13*(1-O13)</f>
        <v>1</v>
      </c>
      <c r="AE13" s="36">
        <f t="shared" si="7"/>
        <v>0.43640350877192979</v>
      </c>
      <c r="AF13" s="84">
        <f t="shared" si="8"/>
        <v>6</v>
      </c>
    </row>
    <row r="14" spans="1:32" ht="27" customHeight="1">
      <c r="A14" s="96">
        <v>7</v>
      </c>
      <c r="B14" s="11" t="s">
        <v>57</v>
      </c>
      <c r="C14" s="11" t="s">
        <v>121</v>
      </c>
      <c r="D14" s="52" t="s">
        <v>164</v>
      </c>
      <c r="E14" s="53" t="s">
        <v>165</v>
      </c>
      <c r="F14" s="30" t="s">
        <v>119</v>
      </c>
      <c r="G14" s="33">
        <v>1</v>
      </c>
      <c r="H14" s="35">
        <v>24</v>
      </c>
      <c r="I14" s="7">
        <v>69000</v>
      </c>
      <c r="J14" s="14">
        <v>4975</v>
      </c>
      <c r="K14" s="15">
        <f>L14+2872+5295+4231+5295+5295+5281+840+3474+4762+3115+2852+3656+4456+3648+5388+5312+1641+1569+4714+5197</f>
        <v>83868</v>
      </c>
      <c r="L14" s="15">
        <f>2563+2412</f>
        <v>4975</v>
      </c>
      <c r="M14" s="15">
        <f t="shared" si="0"/>
        <v>4975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16"/>
        <v>1</v>
      </c>
      <c r="AE14" s="36">
        <f t="shared" si="7"/>
        <v>0.43640350877192979</v>
      </c>
      <c r="AF14" s="84">
        <f t="shared" si="8"/>
        <v>7</v>
      </c>
    </row>
    <row r="15" spans="1:32" ht="27" customHeight="1">
      <c r="A15" s="96">
        <v>8</v>
      </c>
      <c r="B15" s="11" t="s">
        <v>57</v>
      </c>
      <c r="C15" s="34" t="s">
        <v>121</v>
      </c>
      <c r="D15" s="52" t="s">
        <v>460</v>
      </c>
      <c r="E15" s="53" t="s">
        <v>459</v>
      </c>
      <c r="F15" s="30" t="s">
        <v>132</v>
      </c>
      <c r="G15" s="33">
        <v>1</v>
      </c>
      <c r="H15" s="35">
        <v>24</v>
      </c>
      <c r="I15" s="7">
        <v>2000</v>
      </c>
      <c r="J15" s="5">
        <v>2087</v>
      </c>
      <c r="K15" s="15">
        <f>L15</f>
        <v>2087</v>
      </c>
      <c r="L15" s="15">
        <f>1774+313</f>
        <v>2087</v>
      </c>
      <c r="M15" s="15">
        <f t="shared" si="0"/>
        <v>2087</v>
      </c>
      <c r="N15" s="15">
        <v>0</v>
      </c>
      <c r="O15" s="58">
        <f t="shared" si="1"/>
        <v>0</v>
      </c>
      <c r="P15" s="39">
        <f t="shared" si="2"/>
        <v>15</v>
      </c>
      <c r="Q15" s="40">
        <f t="shared" si="3"/>
        <v>9</v>
      </c>
      <c r="R15" s="7"/>
      <c r="S15" s="6"/>
      <c r="T15" s="16"/>
      <c r="U15" s="16"/>
      <c r="V15" s="17"/>
      <c r="W15" s="5">
        <v>9</v>
      </c>
      <c r="X15" s="16"/>
      <c r="Y15" s="16"/>
      <c r="Z15" s="16"/>
      <c r="AA15" s="18"/>
      <c r="AB15" s="8">
        <f t="shared" si="4"/>
        <v>1</v>
      </c>
      <c r="AC15" s="9">
        <f t="shared" si="5"/>
        <v>0.625</v>
      </c>
      <c r="AD15" s="10">
        <f>AC15*AB15*(1-O15)</f>
        <v>0.625</v>
      </c>
      <c r="AE15" s="36">
        <f t="shared" ref="AE15:AE24" si="17">$AD$25</f>
        <v>0.43640350877192979</v>
      </c>
      <c r="AF15" s="84">
        <f t="shared" si="8"/>
        <v>8</v>
      </c>
    </row>
    <row r="16" spans="1:32" ht="27" customHeight="1">
      <c r="A16" s="106">
        <v>9</v>
      </c>
      <c r="B16" s="11" t="s">
        <v>57</v>
      </c>
      <c r="C16" s="34" t="s">
        <v>112</v>
      </c>
      <c r="D16" s="52" t="s">
        <v>115</v>
      </c>
      <c r="E16" s="53" t="s">
        <v>174</v>
      </c>
      <c r="F16" s="30" t="s">
        <v>177</v>
      </c>
      <c r="G16" s="33">
        <v>1</v>
      </c>
      <c r="H16" s="35">
        <v>24</v>
      </c>
      <c r="I16" s="7">
        <v>300</v>
      </c>
      <c r="J16" s="5">
        <v>376</v>
      </c>
      <c r="K16" s="15">
        <f>L16+376</f>
        <v>376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16"/>
        <v>0</v>
      </c>
      <c r="AE16" s="36">
        <f t="shared" si="17"/>
        <v>0.43640350877192979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112</v>
      </c>
      <c r="D17" s="52" t="s">
        <v>135</v>
      </c>
      <c r="E17" s="53" t="s">
        <v>434</v>
      </c>
      <c r="F17" s="12" t="s">
        <v>131</v>
      </c>
      <c r="G17" s="12">
        <v>1</v>
      </c>
      <c r="H17" s="13">
        <v>24</v>
      </c>
      <c r="I17" s="31">
        <v>550</v>
      </c>
      <c r="J17" s="14">
        <v>764</v>
      </c>
      <c r="K17" s="15">
        <f>L17</f>
        <v>764</v>
      </c>
      <c r="L17" s="15">
        <f>382*2</f>
        <v>764</v>
      </c>
      <c r="M17" s="15">
        <f t="shared" si="0"/>
        <v>764</v>
      </c>
      <c r="N17" s="15">
        <v>0</v>
      </c>
      <c r="O17" s="58">
        <f t="shared" si="1"/>
        <v>0</v>
      </c>
      <c r="P17" s="39">
        <f t="shared" si="2"/>
        <v>5</v>
      </c>
      <c r="Q17" s="40">
        <f t="shared" si="3"/>
        <v>19</v>
      </c>
      <c r="R17" s="7"/>
      <c r="S17" s="6"/>
      <c r="T17" s="16"/>
      <c r="U17" s="16"/>
      <c r="V17" s="17"/>
      <c r="W17" s="5">
        <v>19</v>
      </c>
      <c r="X17" s="16"/>
      <c r="Y17" s="16"/>
      <c r="Z17" s="16"/>
      <c r="AA17" s="18"/>
      <c r="AB17" s="8">
        <f t="shared" si="4"/>
        <v>1</v>
      </c>
      <c r="AC17" s="9">
        <f t="shared" si="5"/>
        <v>0.20833333333333334</v>
      </c>
      <c r="AD17" s="10">
        <f t="shared" si="6"/>
        <v>0.20833333333333334</v>
      </c>
      <c r="AE17" s="36">
        <f t="shared" si="17"/>
        <v>0.43640350877192979</v>
      </c>
      <c r="AF17" s="84">
        <f t="shared" si="8"/>
        <v>10</v>
      </c>
    </row>
    <row r="18" spans="1:32" ht="30" customHeight="1">
      <c r="A18" s="95">
        <v>11</v>
      </c>
      <c r="B18" s="11" t="s">
        <v>57</v>
      </c>
      <c r="C18" s="34" t="s">
        <v>120</v>
      </c>
      <c r="D18" s="52" t="s">
        <v>207</v>
      </c>
      <c r="E18" s="53" t="s">
        <v>204</v>
      </c>
      <c r="F18" s="30" t="s">
        <v>138</v>
      </c>
      <c r="G18" s="12">
        <v>2</v>
      </c>
      <c r="H18" s="13">
        <v>24</v>
      </c>
      <c r="I18" s="7">
        <v>300000</v>
      </c>
      <c r="J18" s="14">
        <v>1640</v>
      </c>
      <c r="K18" s="15">
        <f>L18+6564+12528+9524+11762+12146+1640</f>
        <v>54164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>
        <v>24</v>
      </c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17"/>
        <v>0.43640350877192979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121</v>
      </c>
      <c r="D19" s="52" t="s">
        <v>126</v>
      </c>
      <c r="E19" s="53" t="s">
        <v>324</v>
      </c>
      <c r="F19" s="30" t="s">
        <v>325</v>
      </c>
      <c r="G19" s="12">
        <v>4</v>
      </c>
      <c r="H19" s="13">
        <v>24</v>
      </c>
      <c r="I19" s="7">
        <v>10000</v>
      </c>
      <c r="J19" s="14">
        <v>3136</v>
      </c>
      <c r="K19" s="15">
        <f>L19+5108+3136</f>
        <v>8244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17"/>
        <v>0.43640350877192979</v>
      </c>
      <c r="AF19" s="84">
        <f t="shared" si="8"/>
        <v>12</v>
      </c>
    </row>
    <row r="20" spans="1:32" ht="27" customHeight="1">
      <c r="A20" s="96">
        <v>13</v>
      </c>
      <c r="B20" s="11" t="s">
        <v>57</v>
      </c>
      <c r="C20" s="11" t="s">
        <v>120</v>
      </c>
      <c r="D20" s="52" t="s">
        <v>115</v>
      </c>
      <c r="E20" s="53" t="s">
        <v>457</v>
      </c>
      <c r="F20" s="30" t="s">
        <v>139</v>
      </c>
      <c r="G20" s="33">
        <v>1</v>
      </c>
      <c r="H20" s="35">
        <v>24</v>
      </c>
      <c r="I20" s="7">
        <v>10000</v>
      </c>
      <c r="J20" s="14">
        <v>4492</v>
      </c>
      <c r="K20" s="15">
        <f>L20</f>
        <v>4492</v>
      </c>
      <c r="L20" s="15">
        <f>1845+2647</f>
        <v>4492</v>
      </c>
      <c r="M20" s="15">
        <f t="shared" si="0"/>
        <v>4492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/>
      <c r="T20" s="16">
        <v>1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 t="shared" si="6"/>
        <v>0.95833333333333337</v>
      </c>
      <c r="AE20" s="36">
        <f t="shared" si="17"/>
        <v>0.43640350877192979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34" t="s">
        <v>112</v>
      </c>
      <c r="D21" s="52" t="s">
        <v>115</v>
      </c>
      <c r="E21" s="53" t="s">
        <v>435</v>
      </c>
      <c r="F21" s="30" t="s">
        <v>139</v>
      </c>
      <c r="G21" s="33">
        <v>1</v>
      </c>
      <c r="H21" s="35">
        <v>24</v>
      </c>
      <c r="I21" s="7">
        <v>550</v>
      </c>
      <c r="J21" s="5">
        <v>768</v>
      </c>
      <c r="K21" s="15">
        <f>L21</f>
        <v>768</v>
      </c>
      <c r="L21" s="15">
        <f>384*2</f>
        <v>768</v>
      </c>
      <c r="M21" s="15">
        <f t="shared" si="0"/>
        <v>768</v>
      </c>
      <c r="N21" s="15">
        <v>0</v>
      </c>
      <c r="O21" s="58">
        <f t="shared" si="1"/>
        <v>0</v>
      </c>
      <c r="P21" s="39">
        <f t="shared" si="2"/>
        <v>4</v>
      </c>
      <c r="Q21" s="40">
        <f t="shared" si="3"/>
        <v>20</v>
      </c>
      <c r="R21" s="7"/>
      <c r="S21" s="6"/>
      <c r="T21" s="16"/>
      <c r="U21" s="16"/>
      <c r="V21" s="17"/>
      <c r="W21" s="5">
        <v>20</v>
      </c>
      <c r="X21" s="16"/>
      <c r="Y21" s="16"/>
      <c r="Z21" s="16"/>
      <c r="AA21" s="18"/>
      <c r="AB21" s="8">
        <f t="shared" si="4"/>
        <v>1</v>
      </c>
      <c r="AC21" s="9">
        <f t="shared" si="5"/>
        <v>0.16666666666666666</v>
      </c>
      <c r="AD21" s="10">
        <f>AC21*AB21*(1-O21)</f>
        <v>0.16666666666666666</v>
      </c>
      <c r="AE21" s="36">
        <f t="shared" si="17"/>
        <v>0.43640350877192979</v>
      </c>
      <c r="AF21" s="84">
        <f t="shared" si="8"/>
        <v>14</v>
      </c>
    </row>
    <row r="22" spans="1:32" ht="27" customHeight="1">
      <c r="A22" s="96">
        <v>14</v>
      </c>
      <c r="B22" s="11" t="s">
        <v>57</v>
      </c>
      <c r="C22" s="34" t="s">
        <v>120</v>
      </c>
      <c r="D22" s="52" t="s">
        <v>115</v>
      </c>
      <c r="E22" s="53" t="s">
        <v>458</v>
      </c>
      <c r="F22" s="30" t="s">
        <v>139</v>
      </c>
      <c r="G22" s="33">
        <v>1</v>
      </c>
      <c r="H22" s="35">
        <v>24</v>
      </c>
      <c r="I22" s="7">
        <v>5000</v>
      </c>
      <c r="J22" s="5">
        <v>2603</v>
      </c>
      <c r="K22" s="15">
        <f>L22</f>
        <v>2603</v>
      </c>
      <c r="L22" s="15">
        <f>2603</f>
        <v>2603</v>
      </c>
      <c r="M22" s="15">
        <f t="shared" si="0"/>
        <v>2603</v>
      </c>
      <c r="N22" s="15">
        <v>0</v>
      </c>
      <c r="O22" s="58">
        <f t="shared" si="1"/>
        <v>0</v>
      </c>
      <c r="P22" s="39">
        <f t="shared" si="2"/>
        <v>15</v>
      </c>
      <c r="Q22" s="40">
        <f t="shared" si="3"/>
        <v>9</v>
      </c>
      <c r="R22" s="7"/>
      <c r="S22" s="6"/>
      <c r="T22" s="16">
        <v>9</v>
      </c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0.625</v>
      </c>
      <c r="AD22" s="10">
        <f>AC22*AB22*(1-O22)</f>
        <v>0.625</v>
      </c>
      <c r="AE22" s="36">
        <f t="shared" si="17"/>
        <v>0.43640350877192979</v>
      </c>
      <c r="AF22" s="84">
        <f t="shared" si="8"/>
        <v>14</v>
      </c>
    </row>
    <row r="23" spans="1:32" ht="27" customHeight="1">
      <c r="A23" s="113">
        <v>15</v>
      </c>
      <c r="B23" s="11" t="s">
        <v>57</v>
      </c>
      <c r="C23" s="34" t="s">
        <v>120</v>
      </c>
      <c r="D23" s="52" t="s">
        <v>115</v>
      </c>
      <c r="E23" s="53" t="s">
        <v>166</v>
      </c>
      <c r="F23" s="30" t="s">
        <v>119</v>
      </c>
      <c r="G23" s="12">
        <v>1</v>
      </c>
      <c r="H23" s="13">
        <v>28</v>
      </c>
      <c r="I23" s="31">
        <v>40000</v>
      </c>
      <c r="J23" s="5">
        <v>624</v>
      </c>
      <c r="K23" s="15">
        <f>L23+2503+4146+3422+2211+1805+550+1849+2614+2495+1614+1413+464+2031+1384+2779+3110+1852+2502+433+3718+4936+4507+624</f>
        <v>52962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>
        <v>24</v>
      </c>
      <c r="T23" s="16"/>
      <c r="U23" s="16"/>
      <c r="V23" s="17"/>
      <c r="W23" s="5"/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ref="AD23" si="18">AC23*AB23*(1-O23)</f>
        <v>0</v>
      </c>
      <c r="AE23" s="36">
        <f t="shared" si="17"/>
        <v>0.43640350877192979</v>
      </c>
      <c r="AF23" s="84">
        <f t="shared" si="8"/>
        <v>15</v>
      </c>
    </row>
    <row r="24" spans="1:32" ht="27" customHeight="1" thickBot="1">
      <c r="A24" s="96">
        <v>16</v>
      </c>
      <c r="B24" s="11" t="s">
        <v>57</v>
      </c>
      <c r="C24" s="11" t="s">
        <v>113</v>
      </c>
      <c r="D24" s="52"/>
      <c r="E24" s="53" t="s">
        <v>454</v>
      </c>
      <c r="F24" s="12" t="s">
        <v>114</v>
      </c>
      <c r="G24" s="12">
        <v>4</v>
      </c>
      <c r="H24" s="35">
        <v>20</v>
      </c>
      <c r="I24" s="7">
        <v>300000</v>
      </c>
      <c r="J24" s="14">
        <v>22788</v>
      </c>
      <c r="K24" s="15">
        <f>L24+26152</f>
        <v>48940</v>
      </c>
      <c r="L24" s="15">
        <f>5697*4</f>
        <v>22788</v>
      </c>
      <c r="M24" s="15">
        <f t="shared" si="0"/>
        <v>22788</v>
      </c>
      <c r="N24" s="15">
        <v>0</v>
      </c>
      <c r="O24" s="58">
        <f t="shared" si="1"/>
        <v>0</v>
      </c>
      <c r="P24" s="39">
        <f t="shared" si="2"/>
        <v>10</v>
      </c>
      <c r="Q24" s="40">
        <f t="shared" si="3"/>
        <v>14</v>
      </c>
      <c r="R24" s="7"/>
      <c r="S24" s="6"/>
      <c r="T24" s="16"/>
      <c r="U24" s="16"/>
      <c r="V24" s="17">
        <v>14</v>
      </c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0.41666666666666669</v>
      </c>
      <c r="AD24" s="10">
        <f t="shared" si="6"/>
        <v>0.41666666666666669</v>
      </c>
      <c r="AE24" s="36">
        <f t="shared" si="17"/>
        <v>0.43640350877192979</v>
      </c>
      <c r="AF24" s="84">
        <f t="shared" si="8"/>
        <v>16</v>
      </c>
    </row>
    <row r="25" spans="1:32" ht="31.5" customHeight="1" thickBot="1">
      <c r="A25" s="405" t="s">
        <v>34</v>
      </c>
      <c r="B25" s="406"/>
      <c r="C25" s="406"/>
      <c r="D25" s="406"/>
      <c r="E25" s="406"/>
      <c r="F25" s="406"/>
      <c r="G25" s="406"/>
      <c r="H25" s="407"/>
      <c r="I25" s="22">
        <f t="shared" ref="I25:N25" si="19">SUM(I6:I24)</f>
        <v>799950</v>
      </c>
      <c r="J25" s="19">
        <f t="shared" si="19"/>
        <v>70239</v>
      </c>
      <c r="K25" s="20">
        <f t="shared" si="19"/>
        <v>331445</v>
      </c>
      <c r="L25" s="21">
        <f t="shared" si="19"/>
        <v>62255</v>
      </c>
      <c r="M25" s="20">
        <f t="shared" si="19"/>
        <v>62255</v>
      </c>
      <c r="N25" s="21">
        <f t="shared" si="19"/>
        <v>0</v>
      </c>
      <c r="O25" s="41">
        <f t="shared" si="1"/>
        <v>0</v>
      </c>
      <c r="P25" s="42">
        <f t="shared" ref="P25:AA25" si="20">SUM(P6:P24)</f>
        <v>199</v>
      </c>
      <c r="Q25" s="43">
        <f t="shared" si="20"/>
        <v>257</v>
      </c>
      <c r="R25" s="23">
        <f t="shared" si="20"/>
        <v>24</v>
      </c>
      <c r="S25" s="24">
        <f t="shared" si="20"/>
        <v>34</v>
      </c>
      <c r="T25" s="24">
        <f t="shared" si="20"/>
        <v>26</v>
      </c>
      <c r="U25" s="24">
        <f t="shared" si="20"/>
        <v>0</v>
      </c>
      <c r="V25" s="25">
        <f t="shared" si="20"/>
        <v>14</v>
      </c>
      <c r="W25" s="26">
        <f t="shared" si="20"/>
        <v>111</v>
      </c>
      <c r="X25" s="27">
        <f t="shared" si="20"/>
        <v>0</v>
      </c>
      <c r="Y25" s="27">
        <f t="shared" si="20"/>
        <v>0</v>
      </c>
      <c r="Z25" s="27">
        <f t="shared" si="20"/>
        <v>0</v>
      </c>
      <c r="AA25" s="27">
        <f t="shared" si="20"/>
        <v>48</v>
      </c>
      <c r="AB25" s="28">
        <f>AVERAGE(AB6:AB24)</f>
        <v>0.73684210526315785</v>
      </c>
      <c r="AC25" s="4">
        <f>AVERAGE(AC6:AC24)</f>
        <v>0.43640350877192979</v>
      </c>
      <c r="AD25" s="4">
        <f>AVERAGE(AD6:AD24)</f>
        <v>0.43640350877192979</v>
      </c>
      <c r="AE25" s="29"/>
    </row>
    <row r="27" spans="1:32" ht="18.75">
      <c r="A27" s="2"/>
      <c r="B27" s="2" t="s">
        <v>35</v>
      </c>
      <c r="C27" s="2"/>
      <c r="D27" s="2"/>
      <c r="E27" s="2"/>
      <c r="F27" s="2"/>
      <c r="G27" s="2"/>
      <c r="H27" s="3"/>
      <c r="I27" s="3"/>
      <c r="J27" s="2"/>
      <c r="K27" s="2"/>
      <c r="L27" s="2"/>
      <c r="M27" s="2"/>
      <c r="N27" s="2" t="s">
        <v>36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1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85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27">
      <c r="A42" s="59"/>
      <c r="B42" s="59"/>
      <c r="C42" s="59"/>
      <c r="D42" s="59"/>
      <c r="E42" s="59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F42" s="50"/>
    </row>
    <row r="43" spans="1:32" ht="29.25" customHeight="1">
      <c r="A43" s="60"/>
      <c r="B43" s="60"/>
      <c r="C43" s="61"/>
      <c r="D43" s="61"/>
      <c r="E43" s="61"/>
      <c r="F43" s="60"/>
      <c r="G43" s="60"/>
      <c r="H43" s="60"/>
      <c r="I43" s="60"/>
      <c r="J43" s="60"/>
      <c r="K43" s="60"/>
      <c r="L43" s="60"/>
      <c r="M43" s="61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36" thickBot="1">
      <c r="A52" s="408" t="s">
        <v>45</v>
      </c>
      <c r="B52" s="408"/>
      <c r="C52" s="408"/>
      <c r="D52" s="408"/>
      <c r="E52" s="408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26.25" thickBot="1">
      <c r="A53" s="409" t="s">
        <v>479</v>
      </c>
      <c r="B53" s="410"/>
      <c r="C53" s="410"/>
      <c r="D53" s="410"/>
      <c r="E53" s="410"/>
      <c r="F53" s="410"/>
      <c r="G53" s="410"/>
      <c r="H53" s="410"/>
      <c r="I53" s="410"/>
      <c r="J53" s="410"/>
      <c r="K53" s="410"/>
      <c r="L53" s="410"/>
      <c r="M53" s="411"/>
      <c r="N53" s="412" t="s">
        <v>480</v>
      </c>
      <c r="O53" s="413"/>
      <c r="P53" s="413"/>
      <c r="Q53" s="413"/>
      <c r="R53" s="413"/>
      <c r="S53" s="413"/>
      <c r="T53" s="413"/>
      <c r="U53" s="413"/>
      <c r="V53" s="413"/>
      <c r="W53" s="413"/>
      <c r="X53" s="413"/>
      <c r="Y53" s="413"/>
      <c r="Z53" s="413"/>
      <c r="AA53" s="413"/>
      <c r="AB53" s="413"/>
      <c r="AC53" s="413"/>
      <c r="AD53" s="414"/>
    </row>
    <row r="54" spans="1:32" ht="27" customHeight="1">
      <c r="A54" s="415" t="s">
        <v>2</v>
      </c>
      <c r="B54" s="416"/>
      <c r="C54" s="268" t="s">
        <v>46</v>
      </c>
      <c r="D54" s="268" t="s">
        <v>47</v>
      </c>
      <c r="E54" s="268" t="s">
        <v>107</v>
      </c>
      <c r="F54" s="417" t="s">
        <v>106</v>
      </c>
      <c r="G54" s="418"/>
      <c r="H54" s="418"/>
      <c r="I54" s="418"/>
      <c r="J54" s="418"/>
      <c r="K54" s="418"/>
      <c r="L54" s="418"/>
      <c r="M54" s="419"/>
      <c r="N54" s="67" t="s">
        <v>110</v>
      </c>
      <c r="O54" s="268" t="s">
        <v>46</v>
      </c>
      <c r="P54" s="417" t="s">
        <v>47</v>
      </c>
      <c r="Q54" s="420"/>
      <c r="R54" s="417" t="s">
        <v>38</v>
      </c>
      <c r="S54" s="418"/>
      <c r="T54" s="418"/>
      <c r="U54" s="420"/>
      <c r="V54" s="417" t="s">
        <v>48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31" t="s">
        <v>112</v>
      </c>
      <c r="B55" s="432"/>
      <c r="C55" s="265" t="s">
        <v>136</v>
      </c>
      <c r="D55" s="265" t="s">
        <v>180</v>
      </c>
      <c r="E55" s="265" t="s">
        <v>473</v>
      </c>
      <c r="F55" s="433" t="s">
        <v>118</v>
      </c>
      <c r="G55" s="434"/>
      <c r="H55" s="434"/>
      <c r="I55" s="434"/>
      <c r="J55" s="434"/>
      <c r="K55" s="434"/>
      <c r="L55" s="434"/>
      <c r="M55" s="435"/>
      <c r="N55" s="264" t="s">
        <v>120</v>
      </c>
      <c r="O55" s="262" t="s">
        <v>148</v>
      </c>
      <c r="P55" s="436" t="s">
        <v>115</v>
      </c>
      <c r="Q55" s="437"/>
      <c r="R55" s="436" t="s">
        <v>166</v>
      </c>
      <c r="S55" s="438"/>
      <c r="T55" s="438"/>
      <c r="U55" s="437"/>
      <c r="V55" s="439" t="s">
        <v>249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120</v>
      </c>
      <c r="B56" s="432"/>
      <c r="C56" s="265" t="s">
        <v>190</v>
      </c>
      <c r="D56" s="265" t="s">
        <v>126</v>
      </c>
      <c r="E56" s="265" t="s">
        <v>474</v>
      </c>
      <c r="F56" s="433" t="s">
        <v>118</v>
      </c>
      <c r="G56" s="434"/>
      <c r="H56" s="434"/>
      <c r="I56" s="434"/>
      <c r="J56" s="434"/>
      <c r="K56" s="434"/>
      <c r="L56" s="434"/>
      <c r="M56" s="435"/>
      <c r="N56" s="264" t="s">
        <v>123</v>
      </c>
      <c r="O56" s="262" t="s">
        <v>189</v>
      </c>
      <c r="P56" s="436"/>
      <c r="Q56" s="437"/>
      <c r="R56" s="436" t="s">
        <v>481</v>
      </c>
      <c r="S56" s="438"/>
      <c r="T56" s="438"/>
      <c r="U56" s="437"/>
      <c r="V56" s="439" t="s">
        <v>118</v>
      </c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120</v>
      </c>
      <c r="B57" s="432"/>
      <c r="C57" s="265" t="s">
        <v>190</v>
      </c>
      <c r="D57" s="265" t="s">
        <v>126</v>
      </c>
      <c r="E57" s="265" t="s">
        <v>475</v>
      </c>
      <c r="F57" s="433" t="s">
        <v>118</v>
      </c>
      <c r="G57" s="434"/>
      <c r="H57" s="434"/>
      <c r="I57" s="434"/>
      <c r="J57" s="434"/>
      <c r="K57" s="434"/>
      <c r="L57" s="434"/>
      <c r="M57" s="435"/>
      <c r="N57" s="264" t="s">
        <v>120</v>
      </c>
      <c r="O57" s="262" t="s">
        <v>217</v>
      </c>
      <c r="P57" s="436" t="s">
        <v>294</v>
      </c>
      <c r="Q57" s="437"/>
      <c r="R57" s="436" t="s">
        <v>482</v>
      </c>
      <c r="S57" s="438"/>
      <c r="T57" s="438"/>
      <c r="U57" s="437"/>
      <c r="V57" s="439" t="s">
        <v>118</v>
      </c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112</v>
      </c>
      <c r="B58" s="432"/>
      <c r="C58" s="265" t="s">
        <v>219</v>
      </c>
      <c r="D58" s="265" t="s">
        <v>141</v>
      </c>
      <c r="E58" s="265" t="s">
        <v>433</v>
      </c>
      <c r="F58" s="433" t="s">
        <v>118</v>
      </c>
      <c r="G58" s="434"/>
      <c r="H58" s="434"/>
      <c r="I58" s="434"/>
      <c r="J58" s="434"/>
      <c r="K58" s="434"/>
      <c r="L58" s="434"/>
      <c r="M58" s="435"/>
      <c r="N58" s="264"/>
      <c r="O58" s="262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 t="s">
        <v>121</v>
      </c>
      <c r="B59" s="432"/>
      <c r="C59" s="265" t="s">
        <v>219</v>
      </c>
      <c r="D59" s="265" t="s">
        <v>476</v>
      </c>
      <c r="E59" s="265" t="s">
        <v>477</v>
      </c>
      <c r="F59" s="433" t="s">
        <v>118</v>
      </c>
      <c r="G59" s="434"/>
      <c r="H59" s="434"/>
      <c r="I59" s="434"/>
      <c r="J59" s="434"/>
      <c r="K59" s="434"/>
      <c r="L59" s="434"/>
      <c r="M59" s="435"/>
      <c r="N59" s="264"/>
      <c r="O59" s="262"/>
      <c r="P59" s="436"/>
      <c r="Q59" s="437"/>
      <c r="R59" s="436"/>
      <c r="S59" s="438"/>
      <c r="T59" s="438"/>
      <c r="U59" s="437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 t="s">
        <v>121</v>
      </c>
      <c r="B60" s="432"/>
      <c r="C60" s="265" t="s">
        <v>189</v>
      </c>
      <c r="D60" s="265" t="s">
        <v>460</v>
      </c>
      <c r="E60" s="265" t="s">
        <v>459</v>
      </c>
      <c r="F60" s="433" t="s">
        <v>118</v>
      </c>
      <c r="G60" s="434"/>
      <c r="H60" s="434"/>
      <c r="I60" s="434"/>
      <c r="J60" s="434"/>
      <c r="K60" s="434"/>
      <c r="L60" s="434"/>
      <c r="M60" s="435"/>
      <c r="N60" s="264"/>
      <c r="O60" s="262"/>
      <c r="P60" s="436"/>
      <c r="Q60" s="437"/>
      <c r="R60" s="436"/>
      <c r="S60" s="438"/>
      <c r="T60" s="438"/>
      <c r="U60" s="437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 t="s">
        <v>112</v>
      </c>
      <c r="B61" s="432"/>
      <c r="C61" s="265" t="s">
        <v>254</v>
      </c>
      <c r="D61" s="265" t="s">
        <v>135</v>
      </c>
      <c r="E61" s="265" t="s">
        <v>434</v>
      </c>
      <c r="F61" s="433" t="s">
        <v>118</v>
      </c>
      <c r="G61" s="434"/>
      <c r="H61" s="434"/>
      <c r="I61" s="434"/>
      <c r="J61" s="434"/>
      <c r="K61" s="434"/>
      <c r="L61" s="434"/>
      <c r="M61" s="435"/>
      <c r="N61" s="264"/>
      <c r="O61" s="262"/>
      <c r="P61" s="436"/>
      <c r="Q61" s="437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</row>
    <row r="62" spans="1:32" ht="27" customHeight="1">
      <c r="A62" s="431" t="s">
        <v>120</v>
      </c>
      <c r="B62" s="432"/>
      <c r="C62" s="265" t="s">
        <v>187</v>
      </c>
      <c r="D62" s="265" t="s">
        <v>115</v>
      </c>
      <c r="E62" s="265" t="s">
        <v>457</v>
      </c>
      <c r="F62" s="433" t="s">
        <v>118</v>
      </c>
      <c r="G62" s="434"/>
      <c r="H62" s="434"/>
      <c r="I62" s="434"/>
      <c r="J62" s="434"/>
      <c r="K62" s="434"/>
      <c r="L62" s="434"/>
      <c r="M62" s="435"/>
      <c r="N62" s="264"/>
      <c r="O62" s="262"/>
      <c r="P62" s="436"/>
      <c r="Q62" s="437"/>
      <c r="R62" s="432"/>
      <c r="S62" s="432"/>
      <c r="T62" s="432"/>
      <c r="U62" s="432"/>
      <c r="V62" s="439"/>
      <c r="W62" s="439"/>
      <c r="X62" s="439"/>
      <c r="Y62" s="439"/>
      <c r="Z62" s="439"/>
      <c r="AA62" s="439"/>
      <c r="AB62" s="439"/>
      <c r="AC62" s="439"/>
      <c r="AD62" s="440"/>
    </row>
    <row r="63" spans="1:32" ht="27" customHeight="1">
      <c r="A63" s="431" t="s">
        <v>120</v>
      </c>
      <c r="B63" s="432"/>
      <c r="C63" s="265" t="s">
        <v>223</v>
      </c>
      <c r="D63" s="265" t="s">
        <v>115</v>
      </c>
      <c r="E63" s="265" t="s">
        <v>458</v>
      </c>
      <c r="F63" s="433" t="s">
        <v>118</v>
      </c>
      <c r="G63" s="434"/>
      <c r="H63" s="434"/>
      <c r="I63" s="434"/>
      <c r="J63" s="434"/>
      <c r="K63" s="434"/>
      <c r="L63" s="434"/>
      <c r="M63" s="435"/>
      <c r="N63" s="264"/>
      <c r="O63" s="262"/>
      <c r="P63" s="432"/>
      <c r="Q63" s="432"/>
      <c r="R63" s="432"/>
      <c r="S63" s="432"/>
      <c r="T63" s="432"/>
      <c r="U63" s="432"/>
      <c r="V63" s="439"/>
      <c r="W63" s="439"/>
      <c r="X63" s="439"/>
      <c r="Y63" s="439"/>
      <c r="Z63" s="439"/>
      <c r="AA63" s="439"/>
      <c r="AB63" s="439"/>
      <c r="AC63" s="439"/>
      <c r="AD63" s="440"/>
      <c r="AF63" s="84">
        <f>8*3000</f>
        <v>24000</v>
      </c>
    </row>
    <row r="64" spans="1:32" ht="27" customHeight="1" thickBot="1">
      <c r="A64" s="441"/>
      <c r="B64" s="442"/>
      <c r="C64" s="266"/>
      <c r="D64" s="267"/>
      <c r="E64" s="267"/>
      <c r="F64" s="443"/>
      <c r="G64" s="444"/>
      <c r="H64" s="444"/>
      <c r="I64" s="444"/>
      <c r="J64" s="444"/>
      <c r="K64" s="444"/>
      <c r="L64" s="444"/>
      <c r="M64" s="445"/>
      <c r="N64" s="112"/>
      <c r="O64" s="103"/>
      <c r="P64" s="446"/>
      <c r="Q64" s="446"/>
      <c r="R64" s="446"/>
      <c r="S64" s="446"/>
      <c r="T64" s="446"/>
      <c r="U64" s="446"/>
      <c r="V64" s="447"/>
      <c r="W64" s="447"/>
      <c r="X64" s="447"/>
      <c r="Y64" s="447"/>
      <c r="Z64" s="447"/>
      <c r="AA64" s="447"/>
      <c r="AB64" s="447"/>
      <c r="AC64" s="447"/>
      <c r="AD64" s="448"/>
      <c r="AF64" s="84">
        <f>16*3000</f>
        <v>48000</v>
      </c>
    </row>
    <row r="65" spans="1:32" ht="27.75" thickBot="1">
      <c r="A65" s="449" t="s">
        <v>483</v>
      </c>
      <c r="B65" s="449"/>
      <c r="C65" s="449"/>
      <c r="D65" s="449"/>
      <c r="E65" s="449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F65" s="84">
        <v>24000</v>
      </c>
    </row>
    <row r="66" spans="1:32" ht="29.25" customHeight="1" thickBot="1">
      <c r="A66" s="450" t="s">
        <v>111</v>
      </c>
      <c r="B66" s="451"/>
      <c r="C66" s="263" t="s">
        <v>2</v>
      </c>
      <c r="D66" s="263" t="s">
        <v>37</v>
      </c>
      <c r="E66" s="263" t="s">
        <v>3</v>
      </c>
      <c r="F66" s="451" t="s">
        <v>109</v>
      </c>
      <c r="G66" s="451"/>
      <c r="H66" s="451"/>
      <c r="I66" s="451"/>
      <c r="J66" s="451"/>
      <c r="K66" s="451" t="s">
        <v>39</v>
      </c>
      <c r="L66" s="451"/>
      <c r="M66" s="263" t="s">
        <v>40</v>
      </c>
      <c r="N66" s="451" t="s">
        <v>41</v>
      </c>
      <c r="O66" s="451"/>
      <c r="P66" s="452" t="s">
        <v>42</v>
      </c>
      <c r="Q66" s="453"/>
      <c r="R66" s="452" t="s">
        <v>43</v>
      </c>
      <c r="S66" s="454"/>
      <c r="T66" s="454"/>
      <c r="U66" s="454"/>
      <c r="V66" s="454"/>
      <c r="W66" s="454"/>
      <c r="X66" s="454"/>
      <c r="Y66" s="454"/>
      <c r="Z66" s="454"/>
      <c r="AA66" s="453"/>
      <c r="AB66" s="451" t="s">
        <v>44</v>
      </c>
      <c r="AC66" s="451"/>
      <c r="AD66" s="455"/>
      <c r="AF66" s="84">
        <f>SUM(AF63:AF65)</f>
        <v>96000</v>
      </c>
    </row>
    <row r="67" spans="1:32" ht="25.5" customHeight="1">
      <c r="A67" s="456">
        <v>1</v>
      </c>
      <c r="B67" s="457"/>
      <c r="C67" s="105" t="s">
        <v>120</v>
      </c>
      <c r="D67" s="258"/>
      <c r="E67" s="261" t="s">
        <v>135</v>
      </c>
      <c r="F67" s="458" t="s">
        <v>255</v>
      </c>
      <c r="G67" s="459"/>
      <c r="H67" s="459"/>
      <c r="I67" s="459"/>
      <c r="J67" s="460"/>
      <c r="K67" s="461" t="s">
        <v>484</v>
      </c>
      <c r="L67" s="461"/>
      <c r="M67" s="51" t="s">
        <v>237</v>
      </c>
      <c r="N67" s="462" t="s">
        <v>127</v>
      </c>
      <c r="O67" s="462"/>
      <c r="P67" s="463">
        <v>100</v>
      </c>
      <c r="Q67" s="463"/>
      <c r="R67" s="439" t="s">
        <v>485</v>
      </c>
      <c r="S67" s="439"/>
      <c r="T67" s="439"/>
      <c r="U67" s="439"/>
      <c r="V67" s="439"/>
      <c r="W67" s="439"/>
      <c r="X67" s="439"/>
      <c r="Y67" s="439"/>
      <c r="Z67" s="439"/>
      <c r="AA67" s="439"/>
      <c r="AB67" s="464"/>
      <c r="AC67" s="465"/>
      <c r="AD67" s="466"/>
      <c r="AF67" s="50"/>
    </row>
    <row r="68" spans="1:32" ht="25.5" customHeight="1">
      <c r="A68" s="456">
        <v>2</v>
      </c>
      <c r="B68" s="457"/>
      <c r="C68" s="105" t="s">
        <v>120</v>
      </c>
      <c r="D68" s="258"/>
      <c r="E68" s="261" t="s">
        <v>126</v>
      </c>
      <c r="F68" s="458" t="s">
        <v>474</v>
      </c>
      <c r="G68" s="459"/>
      <c r="H68" s="459"/>
      <c r="I68" s="459"/>
      <c r="J68" s="460"/>
      <c r="K68" s="461" t="s">
        <v>138</v>
      </c>
      <c r="L68" s="461"/>
      <c r="M68" s="51" t="s">
        <v>465</v>
      </c>
      <c r="N68" s="462" t="s">
        <v>190</v>
      </c>
      <c r="O68" s="462"/>
      <c r="P68" s="463">
        <v>50</v>
      </c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3</v>
      </c>
      <c r="B69" s="457"/>
      <c r="C69" s="105" t="s">
        <v>121</v>
      </c>
      <c r="D69" s="258"/>
      <c r="E69" s="261" t="s">
        <v>294</v>
      </c>
      <c r="F69" s="458" t="s">
        <v>486</v>
      </c>
      <c r="G69" s="459"/>
      <c r="H69" s="459"/>
      <c r="I69" s="459"/>
      <c r="J69" s="460"/>
      <c r="K69" s="461" t="s">
        <v>125</v>
      </c>
      <c r="L69" s="461"/>
      <c r="M69" s="51" t="s">
        <v>239</v>
      </c>
      <c r="N69" s="462" t="s">
        <v>219</v>
      </c>
      <c r="O69" s="462"/>
      <c r="P69" s="463">
        <v>100</v>
      </c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4</v>
      </c>
      <c r="B70" s="457"/>
      <c r="C70" s="105" t="s">
        <v>121</v>
      </c>
      <c r="D70" s="258"/>
      <c r="E70" s="261" t="s">
        <v>191</v>
      </c>
      <c r="F70" s="458" t="s">
        <v>487</v>
      </c>
      <c r="G70" s="459"/>
      <c r="H70" s="459"/>
      <c r="I70" s="459"/>
      <c r="J70" s="460"/>
      <c r="K70" s="461" t="s">
        <v>325</v>
      </c>
      <c r="L70" s="461"/>
      <c r="M70" s="51" t="s">
        <v>239</v>
      </c>
      <c r="N70" s="462" t="s">
        <v>233</v>
      </c>
      <c r="O70" s="462"/>
      <c r="P70" s="463">
        <v>100</v>
      </c>
      <c r="Q70" s="463"/>
      <c r="R70" s="439" t="s">
        <v>488</v>
      </c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5</v>
      </c>
      <c r="B71" s="457"/>
      <c r="C71" s="105" t="s">
        <v>121</v>
      </c>
      <c r="D71" s="258"/>
      <c r="E71" s="261" t="s">
        <v>115</v>
      </c>
      <c r="F71" s="458" t="s">
        <v>466</v>
      </c>
      <c r="G71" s="459"/>
      <c r="H71" s="459"/>
      <c r="I71" s="459"/>
      <c r="J71" s="460"/>
      <c r="K71" s="461" t="s">
        <v>125</v>
      </c>
      <c r="L71" s="461"/>
      <c r="M71" s="51" t="s">
        <v>239</v>
      </c>
      <c r="N71" s="462" t="s">
        <v>148</v>
      </c>
      <c r="O71" s="462"/>
      <c r="P71" s="463">
        <v>100</v>
      </c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6</v>
      </c>
      <c r="B72" s="457"/>
      <c r="C72" s="105"/>
      <c r="D72" s="258"/>
      <c r="E72" s="261"/>
      <c r="F72" s="458"/>
      <c r="G72" s="459"/>
      <c r="H72" s="459"/>
      <c r="I72" s="459"/>
      <c r="J72" s="460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7</v>
      </c>
      <c r="B73" s="457"/>
      <c r="C73" s="105"/>
      <c r="D73" s="258"/>
      <c r="E73" s="261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8</v>
      </c>
      <c r="B74" s="457"/>
      <c r="C74" s="105"/>
      <c r="D74" s="258"/>
      <c r="E74" s="261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5.5" customHeight="1">
      <c r="A75" s="456">
        <v>9</v>
      </c>
      <c r="B75" s="457"/>
      <c r="C75" s="105"/>
      <c r="D75" s="258"/>
      <c r="E75" s="261"/>
      <c r="F75" s="468"/>
      <c r="G75" s="461"/>
      <c r="H75" s="461"/>
      <c r="I75" s="461"/>
      <c r="J75" s="461"/>
      <c r="K75" s="461"/>
      <c r="L75" s="461"/>
      <c r="M75" s="51"/>
      <c r="N75" s="462"/>
      <c r="O75" s="462"/>
      <c r="P75" s="463"/>
      <c r="Q75" s="463"/>
      <c r="R75" s="439"/>
      <c r="S75" s="439"/>
      <c r="T75" s="439"/>
      <c r="U75" s="439"/>
      <c r="V75" s="439"/>
      <c r="W75" s="439"/>
      <c r="X75" s="439"/>
      <c r="Y75" s="439"/>
      <c r="Z75" s="439"/>
      <c r="AA75" s="439"/>
      <c r="AB75" s="461"/>
      <c r="AC75" s="461"/>
      <c r="AD75" s="467"/>
      <c r="AF75" s="50"/>
    </row>
    <row r="76" spans="1:32" ht="25.5" customHeight="1">
      <c r="A76" s="456">
        <v>10</v>
      </c>
      <c r="B76" s="457"/>
      <c r="C76" s="105"/>
      <c r="D76" s="258"/>
      <c r="E76" s="261"/>
      <c r="F76" s="468"/>
      <c r="G76" s="461"/>
      <c r="H76" s="461"/>
      <c r="I76" s="461"/>
      <c r="J76" s="461"/>
      <c r="K76" s="461"/>
      <c r="L76" s="461"/>
      <c r="M76" s="51"/>
      <c r="N76" s="462"/>
      <c r="O76" s="462"/>
      <c r="P76" s="463"/>
      <c r="Q76" s="463"/>
      <c r="R76" s="439"/>
      <c r="S76" s="439"/>
      <c r="T76" s="439"/>
      <c r="U76" s="439"/>
      <c r="V76" s="439"/>
      <c r="W76" s="439"/>
      <c r="X76" s="439"/>
      <c r="Y76" s="439"/>
      <c r="Z76" s="439"/>
      <c r="AA76" s="439"/>
      <c r="AB76" s="461"/>
      <c r="AC76" s="461"/>
      <c r="AD76" s="467"/>
      <c r="AF76" s="50"/>
    </row>
    <row r="77" spans="1:32" ht="26.25" customHeight="1" thickBot="1">
      <c r="A77" s="469" t="s">
        <v>489</v>
      </c>
      <c r="B77" s="469"/>
      <c r="C77" s="469"/>
      <c r="D77" s="469"/>
      <c r="E77" s="469"/>
      <c r="F77" s="37"/>
      <c r="G77" s="37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F77" s="50"/>
    </row>
    <row r="78" spans="1:32" ht="23.25" thickBot="1">
      <c r="A78" s="470" t="s">
        <v>111</v>
      </c>
      <c r="B78" s="471"/>
      <c r="C78" s="260" t="s">
        <v>2</v>
      </c>
      <c r="D78" s="260" t="s">
        <v>37</v>
      </c>
      <c r="E78" s="260" t="s">
        <v>3</v>
      </c>
      <c r="F78" s="471" t="s">
        <v>38</v>
      </c>
      <c r="G78" s="471"/>
      <c r="H78" s="471"/>
      <c r="I78" s="471"/>
      <c r="J78" s="471"/>
      <c r="K78" s="472" t="s">
        <v>58</v>
      </c>
      <c r="L78" s="473"/>
      <c r="M78" s="473"/>
      <c r="N78" s="473"/>
      <c r="O78" s="473"/>
      <c r="P78" s="473"/>
      <c r="Q78" s="473"/>
      <c r="R78" s="473"/>
      <c r="S78" s="474"/>
      <c r="T78" s="471" t="s">
        <v>49</v>
      </c>
      <c r="U78" s="471"/>
      <c r="V78" s="472" t="s">
        <v>50</v>
      </c>
      <c r="W78" s="474"/>
      <c r="X78" s="473" t="s">
        <v>51</v>
      </c>
      <c r="Y78" s="473"/>
      <c r="Z78" s="473"/>
      <c r="AA78" s="473"/>
      <c r="AB78" s="473"/>
      <c r="AC78" s="473"/>
      <c r="AD78" s="475"/>
      <c r="AF78" s="50"/>
    </row>
    <row r="79" spans="1:32" ht="33.75" customHeight="1">
      <c r="A79" s="484">
        <v>1</v>
      </c>
      <c r="B79" s="485"/>
      <c r="C79" s="259" t="s">
        <v>112</v>
      </c>
      <c r="D79" s="259"/>
      <c r="E79" s="65" t="s">
        <v>117</v>
      </c>
      <c r="F79" s="486" t="s">
        <v>116</v>
      </c>
      <c r="G79" s="487"/>
      <c r="H79" s="487"/>
      <c r="I79" s="487"/>
      <c r="J79" s="488"/>
      <c r="K79" s="489" t="s">
        <v>122</v>
      </c>
      <c r="L79" s="490"/>
      <c r="M79" s="490"/>
      <c r="N79" s="490"/>
      <c r="O79" s="490"/>
      <c r="P79" s="490"/>
      <c r="Q79" s="490"/>
      <c r="R79" s="490"/>
      <c r="S79" s="491"/>
      <c r="T79" s="492">
        <v>43675</v>
      </c>
      <c r="U79" s="493"/>
      <c r="V79" s="494"/>
      <c r="W79" s="494"/>
      <c r="X79" s="495"/>
      <c r="Y79" s="495"/>
      <c r="Z79" s="495"/>
      <c r="AA79" s="495"/>
      <c r="AB79" s="495"/>
      <c r="AC79" s="495"/>
      <c r="AD79" s="496"/>
      <c r="AF79" s="50"/>
    </row>
    <row r="80" spans="1:32" ht="30" customHeight="1">
      <c r="A80" s="476">
        <f>A79+1</f>
        <v>2</v>
      </c>
      <c r="B80" s="477"/>
      <c r="C80" s="258"/>
      <c r="D80" s="258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ref="A81:A85" si="21">A80+1</f>
        <v>3</v>
      </c>
      <c r="B81" s="477"/>
      <c r="C81" s="258"/>
      <c r="D81" s="258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21"/>
        <v>4</v>
      </c>
      <c r="B82" s="477"/>
      <c r="C82" s="258"/>
      <c r="D82" s="258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21"/>
        <v>5</v>
      </c>
      <c r="B83" s="477"/>
      <c r="C83" s="258"/>
      <c r="D83" s="258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0" customHeight="1">
      <c r="A84" s="476">
        <f t="shared" si="21"/>
        <v>6</v>
      </c>
      <c r="B84" s="477"/>
      <c r="C84" s="258"/>
      <c r="D84" s="258"/>
      <c r="E84" s="32"/>
      <c r="F84" s="477"/>
      <c r="G84" s="477"/>
      <c r="H84" s="477"/>
      <c r="I84" s="477"/>
      <c r="J84" s="477"/>
      <c r="K84" s="478"/>
      <c r="L84" s="479"/>
      <c r="M84" s="479"/>
      <c r="N84" s="479"/>
      <c r="O84" s="479"/>
      <c r="P84" s="479"/>
      <c r="Q84" s="479"/>
      <c r="R84" s="479"/>
      <c r="S84" s="480"/>
      <c r="T84" s="481"/>
      <c r="U84" s="481"/>
      <c r="V84" s="481"/>
      <c r="W84" s="481"/>
      <c r="X84" s="482"/>
      <c r="Y84" s="482"/>
      <c r="Z84" s="482"/>
      <c r="AA84" s="482"/>
      <c r="AB84" s="482"/>
      <c r="AC84" s="482"/>
      <c r="AD84" s="483"/>
      <c r="AF84" s="50"/>
    </row>
    <row r="85" spans="1:32" ht="30" customHeight="1">
      <c r="A85" s="476">
        <f t="shared" si="21"/>
        <v>7</v>
      </c>
      <c r="B85" s="477"/>
      <c r="C85" s="258"/>
      <c r="D85" s="258"/>
      <c r="E85" s="32"/>
      <c r="F85" s="477"/>
      <c r="G85" s="477"/>
      <c r="H85" s="477"/>
      <c r="I85" s="477"/>
      <c r="J85" s="477"/>
      <c r="K85" s="478"/>
      <c r="L85" s="479"/>
      <c r="M85" s="479"/>
      <c r="N85" s="479"/>
      <c r="O85" s="479"/>
      <c r="P85" s="479"/>
      <c r="Q85" s="479"/>
      <c r="R85" s="479"/>
      <c r="S85" s="480"/>
      <c r="T85" s="481"/>
      <c r="U85" s="481"/>
      <c r="V85" s="481"/>
      <c r="W85" s="481"/>
      <c r="X85" s="482"/>
      <c r="Y85" s="482"/>
      <c r="Z85" s="482"/>
      <c r="AA85" s="482"/>
      <c r="AB85" s="482"/>
      <c r="AC85" s="482"/>
      <c r="AD85" s="483"/>
      <c r="AF85" s="50"/>
    </row>
    <row r="86" spans="1:32" ht="36" thickBot="1">
      <c r="A86" s="469" t="s">
        <v>490</v>
      </c>
      <c r="B86" s="469"/>
      <c r="C86" s="469"/>
      <c r="D86" s="469"/>
      <c r="E86" s="469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F86" s="50"/>
    </row>
    <row r="87" spans="1:32" ht="30.75" customHeight="1" thickBot="1">
      <c r="A87" s="470" t="s">
        <v>111</v>
      </c>
      <c r="B87" s="471"/>
      <c r="C87" s="497" t="s">
        <v>52</v>
      </c>
      <c r="D87" s="497"/>
      <c r="E87" s="497" t="s">
        <v>53</v>
      </c>
      <c r="F87" s="497"/>
      <c r="G87" s="497"/>
      <c r="H87" s="497"/>
      <c r="I87" s="497"/>
      <c r="J87" s="497"/>
      <c r="K87" s="497" t="s">
        <v>54</v>
      </c>
      <c r="L87" s="497"/>
      <c r="M87" s="497"/>
      <c r="N87" s="497"/>
      <c r="O87" s="497"/>
      <c r="P87" s="497"/>
      <c r="Q87" s="497"/>
      <c r="R87" s="497"/>
      <c r="S87" s="497"/>
      <c r="T87" s="497" t="s">
        <v>55</v>
      </c>
      <c r="U87" s="497"/>
      <c r="V87" s="497" t="s">
        <v>56</v>
      </c>
      <c r="W87" s="497"/>
      <c r="X87" s="497"/>
      <c r="Y87" s="497" t="s">
        <v>51</v>
      </c>
      <c r="Z87" s="497"/>
      <c r="AA87" s="497"/>
      <c r="AB87" s="497"/>
      <c r="AC87" s="497"/>
      <c r="AD87" s="498"/>
      <c r="AF87" s="50"/>
    </row>
    <row r="88" spans="1:32" ht="30.75" customHeight="1">
      <c r="A88" s="484">
        <v>1</v>
      </c>
      <c r="B88" s="485"/>
      <c r="C88" s="499"/>
      <c r="D88" s="499"/>
      <c r="E88" s="499"/>
      <c r="F88" s="499"/>
      <c r="G88" s="499"/>
      <c r="H88" s="499"/>
      <c r="I88" s="499"/>
      <c r="J88" s="499"/>
      <c r="K88" s="499"/>
      <c r="L88" s="499"/>
      <c r="M88" s="499"/>
      <c r="N88" s="499"/>
      <c r="O88" s="499"/>
      <c r="P88" s="499"/>
      <c r="Q88" s="499"/>
      <c r="R88" s="499"/>
      <c r="S88" s="499"/>
      <c r="T88" s="499"/>
      <c r="U88" s="499"/>
      <c r="V88" s="500"/>
      <c r="W88" s="500"/>
      <c r="X88" s="500"/>
      <c r="Y88" s="501"/>
      <c r="Z88" s="501"/>
      <c r="AA88" s="501"/>
      <c r="AB88" s="501"/>
      <c r="AC88" s="501"/>
      <c r="AD88" s="502"/>
      <c r="AF88" s="50"/>
    </row>
    <row r="89" spans="1:32" ht="30.75" customHeight="1">
      <c r="A89" s="476">
        <v>2</v>
      </c>
      <c r="B89" s="477"/>
      <c r="C89" s="510"/>
      <c r="D89" s="510"/>
      <c r="E89" s="510"/>
      <c r="F89" s="510"/>
      <c r="G89" s="510"/>
      <c r="H89" s="510"/>
      <c r="I89" s="510"/>
      <c r="J89" s="510"/>
      <c r="K89" s="510"/>
      <c r="L89" s="510"/>
      <c r="M89" s="510"/>
      <c r="N89" s="510"/>
      <c r="O89" s="510"/>
      <c r="P89" s="510"/>
      <c r="Q89" s="510"/>
      <c r="R89" s="510"/>
      <c r="S89" s="510"/>
      <c r="T89" s="511"/>
      <c r="U89" s="511"/>
      <c r="V89" s="512"/>
      <c r="W89" s="512"/>
      <c r="X89" s="512"/>
      <c r="Y89" s="503"/>
      <c r="Z89" s="503"/>
      <c r="AA89" s="503"/>
      <c r="AB89" s="503"/>
      <c r="AC89" s="503"/>
      <c r="AD89" s="504"/>
      <c r="AF89" s="50"/>
    </row>
    <row r="90" spans="1:32" ht="30.75" customHeight="1" thickBot="1">
      <c r="A90" s="505">
        <v>3</v>
      </c>
      <c r="B90" s="506"/>
      <c r="C90" s="507"/>
      <c r="D90" s="507"/>
      <c r="E90" s="507"/>
      <c r="F90" s="507"/>
      <c r="G90" s="507"/>
      <c r="H90" s="507"/>
      <c r="I90" s="507"/>
      <c r="J90" s="507"/>
      <c r="K90" s="507"/>
      <c r="L90" s="507"/>
      <c r="M90" s="507"/>
      <c r="N90" s="507"/>
      <c r="O90" s="507"/>
      <c r="P90" s="507"/>
      <c r="Q90" s="507"/>
      <c r="R90" s="507"/>
      <c r="S90" s="507"/>
      <c r="T90" s="507"/>
      <c r="U90" s="507"/>
      <c r="V90" s="507"/>
      <c r="W90" s="507"/>
      <c r="X90" s="507"/>
      <c r="Y90" s="508"/>
      <c r="Z90" s="508"/>
      <c r="AA90" s="508"/>
      <c r="AB90" s="508"/>
      <c r="AC90" s="508"/>
      <c r="AD90" s="509"/>
      <c r="AF90" s="50"/>
    </row>
  </sheetData>
  <mergeCells count="232">
    <mergeCell ref="Y89:AD89"/>
    <mergeCell ref="A90:B90"/>
    <mergeCell ref="C90:D90"/>
    <mergeCell ref="E90:J90"/>
    <mergeCell ref="K90:S90"/>
    <mergeCell ref="T90:U90"/>
    <mergeCell ref="V90:X90"/>
    <mergeCell ref="Y90:AD90"/>
    <mergeCell ref="A89:B89"/>
    <mergeCell ref="C89:D89"/>
    <mergeCell ref="E89:J89"/>
    <mergeCell ref="K89:S89"/>
    <mergeCell ref="T89:U89"/>
    <mergeCell ref="V89:X89"/>
    <mergeCell ref="V87:X87"/>
    <mergeCell ref="Y87:AD87"/>
    <mergeCell ref="A88:B88"/>
    <mergeCell ref="C88:D88"/>
    <mergeCell ref="E88:J88"/>
    <mergeCell ref="K88:S88"/>
    <mergeCell ref="T88:U88"/>
    <mergeCell ref="V88:X88"/>
    <mergeCell ref="Y88:AD88"/>
    <mergeCell ref="A86:E86"/>
    <mergeCell ref="A87:B87"/>
    <mergeCell ref="C87:D87"/>
    <mergeCell ref="E87:J87"/>
    <mergeCell ref="K87:S87"/>
    <mergeCell ref="T87:U87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B76:AD76"/>
    <mergeCell ref="A77:E77"/>
    <mergeCell ref="A78:B78"/>
    <mergeCell ref="F78:J78"/>
    <mergeCell ref="K78:S78"/>
    <mergeCell ref="T78:U78"/>
    <mergeCell ref="V78:W78"/>
    <mergeCell ref="X78:AD78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R66:AA66"/>
    <mergeCell ref="AB66:AD66"/>
    <mergeCell ref="A67:B67"/>
    <mergeCell ref="F67:J67"/>
    <mergeCell ref="K67:L67"/>
    <mergeCell ref="N67:O67"/>
    <mergeCell ref="P67:Q67"/>
    <mergeCell ref="R67:AA67"/>
    <mergeCell ref="AB67:AD67"/>
    <mergeCell ref="A65:E65"/>
    <mergeCell ref="A66:B66"/>
    <mergeCell ref="F66:J66"/>
    <mergeCell ref="K66:L66"/>
    <mergeCell ref="N66:O66"/>
    <mergeCell ref="P66:Q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D4:AD5"/>
    <mergeCell ref="A25:H25"/>
    <mergeCell ref="A52:E52"/>
    <mergeCell ref="A53:M53"/>
    <mergeCell ref="N53:AD53"/>
    <mergeCell ref="A54:B54"/>
    <mergeCell ref="F54:M54"/>
    <mergeCell ref="P54:Q54"/>
    <mergeCell ref="R54:U54"/>
    <mergeCell ref="V54:AD54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0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B936-0355-4DB7-A784-344EA6F02217}">
  <dimension ref="A1:AF88"/>
  <sheetViews>
    <sheetView view="pageBreakPreview" zoomScale="70" zoomScaleNormal="72" zoomScaleSheetLayoutView="70" workbookViewId="0">
      <selection activeCell="AE9" sqref="AE9:AE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491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270" t="s">
        <v>17</v>
      </c>
      <c r="L5" s="270" t="s">
        <v>18</v>
      </c>
      <c r="M5" s="270" t="s">
        <v>19</v>
      </c>
      <c r="N5" s="27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180</v>
      </c>
      <c r="E6" s="53" t="s">
        <v>473</v>
      </c>
      <c r="F6" s="30" t="s">
        <v>156</v>
      </c>
      <c r="G6" s="12">
        <v>1</v>
      </c>
      <c r="H6" s="13">
        <v>24</v>
      </c>
      <c r="I6" s="31">
        <v>1000</v>
      </c>
      <c r="J6" s="5">
        <v>1534</v>
      </c>
      <c r="K6" s="15">
        <f>L6+2398</f>
        <v>3932</v>
      </c>
      <c r="L6" s="15">
        <v>1534</v>
      </c>
      <c r="M6" s="15">
        <f t="shared" ref="M6:M22" si="0">L6-N6</f>
        <v>1534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10</v>
      </c>
      <c r="Q6" s="40">
        <f t="shared" ref="Q6:Q22" si="3">SUM(R6:AA6)</f>
        <v>14</v>
      </c>
      <c r="R6" s="7"/>
      <c r="S6" s="6"/>
      <c r="T6" s="16"/>
      <c r="U6" s="16"/>
      <c r="V6" s="17"/>
      <c r="W6" s="5">
        <v>14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0.41666666666666669</v>
      </c>
      <c r="AD6" s="10">
        <f t="shared" ref="AD6:AD22" si="6">AC6*AB6*(1-O6)</f>
        <v>0.41666666666666669</v>
      </c>
      <c r="AE6" s="36">
        <f t="shared" ref="AE6:AE14" si="7">$AD$23</f>
        <v>0.55637254901960775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308</v>
      </c>
      <c r="F7" s="12" t="s">
        <v>131</v>
      </c>
      <c r="G7" s="12">
        <v>1</v>
      </c>
      <c r="H7" s="13">
        <v>24</v>
      </c>
      <c r="I7" s="31">
        <v>10000</v>
      </c>
      <c r="J7" s="14">
        <v>2208</v>
      </c>
      <c r="K7" s="15">
        <f>L7+3036+2875+6063+2208</f>
        <v>14182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0.55637254901960775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492</v>
      </c>
      <c r="F8" s="30" t="s">
        <v>132</v>
      </c>
      <c r="G8" s="33">
        <v>1</v>
      </c>
      <c r="H8" s="35">
        <v>24</v>
      </c>
      <c r="I8" s="7">
        <v>10000</v>
      </c>
      <c r="J8" s="14">
        <v>4254</v>
      </c>
      <c r="K8" s="15">
        <f>L8</f>
        <v>4254</v>
      </c>
      <c r="L8" s="15">
        <f>2433+1821</f>
        <v>4254</v>
      </c>
      <c r="M8" s="15">
        <f t="shared" si="0"/>
        <v>4254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0.55637254901960775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126</v>
      </c>
      <c r="E9" s="53">
        <v>3159001</v>
      </c>
      <c r="F9" s="30" t="s">
        <v>139</v>
      </c>
      <c r="G9" s="33">
        <v>1</v>
      </c>
      <c r="H9" s="35">
        <v>24</v>
      </c>
      <c r="I9" s="7">
        <v>1000</v>
      </c>
      <c r="J9" s="14">
        <v>1305</v>
      </c>
      <c r="K9" s="15">
        <f>L9</f>
        <v>1305</v>
      </c>
      <c r="L9" s="15">
        <f>662+643</f>
        <v>1305</v>
      </c>
      <c r="M9" s="15">
        <f t="shared" si="0"/>
        <v>1305</v>
      </c>
      <c r="N9" s="15">
        <v>0</v>
      </c>
      <c r="O9" s="58">
        <f t="shared" si="1"/>
        <v>0</v>
      </c>
      <c r="P9" s="39">
        <f t="shared" si="2"/>
        <v>7</v>
      </c>
      <c r="Q9" s="40">
        <f t="shared" si="3"/>
        <v>17</v>
      </c>
      <c r="R9" s="7"/>
      <c r="S9" s="6">
        <v>6</v>
      </c>
      <c r="T9" s="16">
        <v>11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0.29166666666666669</v>
      </c>
      <c r="AD9" s="10">
        <f t="shared" si="6"/>
        <v>0.29166666666666669</v>
      </c>
      <c r="AE9" s="36">
        <f t="shared" si="7"/>
        <v>0.55637254901960775</v>
      </c>
      <c r="AF9" s="84">
        <f t="shared" si="8"/>
        <v>4</v>
      </c>
    </row>
    <row r="10" spans="1:32" ht="27" customHeight="1">
      <c r="A10" s="96">
        <v>4</v>
      </c>
      <c r="B10" s="11" t="s">
        <v>57</v>
      </c>
      <c r="C10" s="11" t="s">
        <v>120</v>
      </c>
      <c r="D10" s="52" t="s">
        <v>126</v>
      </c>
      <c r="E10" s="53" t="s">
        <v>475</v>
      </c>
      <c r="F10" s="30" t="s">
        <v>138</v>
      </c>
      <c r="G10" s="33">
        <v>1</v>
      </c>
      <c r="H10" s="35">
        <v>24</v>
      </c>
      <c r="I10" s="7">
        <v>5000</v>
      </c>
      <c r="J10" s="14">
        <v>1932</v>
      </c>
      <c r="K10" s="15">
        <f>L10+3936</f>
        <v>5868</v>
      </c>
      <c r="L10" s="15">
        <f>1932</f>
        <v>1932</v>
      </c>
      <c r="M10" s="15">
        <f t="shared" si="0"/>
        <v>1932</v>
      </c>
      <c r="N10" s="15">
        <v>0</v>
      </c>
      <c r="O10" s="58">
        <f t="shared" si="1"/>
        <v>0</v>
      </c>
      <c r="P10" s="39">
        <f t="shared" si="2"/>
        <v>10</v>
      </c>
      <c r="Q10" s="40">
        <f t="shared" si="3"/>
        <v>14</v>
      </c>
      <c r="R10" s="7"/>
      <c r="S10" s="6"/>
      <c r="T10" s="16"/>
      <c r="U10" s="16"/>
      <c r="V10" s="17"/>
      <c r="W10" s="5">
        <v>14</v>
      </c>
      <c r="X10" s="16"/>
      <c r="Y10" s="16"/>
      <c r="Z10" s="16"/>
      <c r="AA10" s="18"/>
      <c r="AB10" s="8">
        <f t="shared" si="4"/>
        <v>1</v>
      </c>
      <c r="AC10" s="9">
        <f t="shared" si="5"/>
        <v>0.41666666666666669</v>
      </c>
      <c r="AD10" s="10">
        <f t="shared" si="6"/>
        <v>0.41666666666666669</v>
      </c>
      <c r="AE10" s="36">
        <f t="shared" si="7"/>
        <v>0.55637254901960775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34" t="s">
        <v>121</v>
      </c>
      <c r="D11" s="52" t="s">
        <v>476</v>
      </c>
      <c r="E11" s="53" t="s">
        <v>477</v>
      </c>
      <c r="F11" s="30" t="s">
        <v>478</v>
      </c>
      <c r="G11" s="33">
        <v>2</v>
      </c>
      <c r="H11" s="35">
        <v>24</v>
      </c>
      <c r="I11" s="7">
        <v>10000</v>
      </c>
      <c r="J11" s="5">
        <v>7828</v>
      </c>
      <c r="K11" s="15">
        <f>L11+4950</f>
        <v>12778</v>
      </c>
      <c r="L11" s="15">
        <f>1759*2+2155*2</f>
        <v>7828</v>
      </c>
      <c r="M11" s="15">
        <f t="shared" si="0"/>
        <v>7828</v>
      </c>
      <c r="N11" s="15">
        <v>0</v>
      </c>
      <c r="O11" s="58">
        <f t="shared" si="1"/>
        <v>0</v>
      </c>
      <c r="P11" s="39">
        <f t="shared" si="2"/>
        <v>21</v>
      </c>
      <c r="Q11" s="40">
        <f t="shared" si="3"/>
        <v>3</v>
      </c>
      <c r="R11" s="7"/>
      <c r="S11" s="6">
        <v>3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0.875</v>
      </c>
      <c r="AD11" s="10">
        <f>AC11*AB11*(1-O11)</f>
        <v>0.875</v>
      </c>
      <c r="AE11" s="36">
        <f t="shared" si="7"/>
        <v>0.55637254901960775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120</v>
      </c>
      <c r="D12" s="52" t="s">
        <v>361</v>
      </c>
      <c r="E12" s="53" t="s">
        <v>362</v>
      </c>
      <c r="F12" s="30" t="s">
        <v>385</v>
      </c>
      <c r="G12" s="33">
        <v>1</v>
      </c>
      <c r="H12" s="35">
        <v>24</v>
      </c>
      <c r="I12" s="7">
        <v>15000</v>
      </c>
      <c r="J12" s="14">
        <v>5025</v>
      </c>
      <c r="K12" s="15">
        <f>L12+2390+4867+5391+5203</f>
        <v>22876</v>
      </c>
      <c r="L12" s="15">
        <f>2514+2511</f>
        <v>5025</v>
      </c>
      <c r="M12" s="15">
        <f t="shared" si="0"/>
        <v>5025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ref="AD12:AD15" si="9">AC12*AB12*(1-O12)</f>
        <v>1</v>
      </c>
      <c r="AE12" s="36">
        <f t="shared" si="7"/>
        <v>0.55637254901960775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11" t="s">
        <v>121</v>
      </c>
      <c r="D13" s="52" t="s">
        <v>164</v>
      </c>
      <c r="E13" s="53" t="s">
        <v>165</v>
      </c>
      <c r="F13" s="30" t="s">
        <v>119</v>
      </c>
      <c r="G13" s="33">
        <v>1</v>
      </c>
      <c r="H13" s="35">
        <v>24</v>
      </c>
      <c r="I13" s="7">
        <v>69000</v>
      </c>
      <c r="J13" s="14">
        <v>4839</v>
      </c>
      <c r="K13" s="15">
        <f>L13+2872+5295+4231+5295+5295+5281+840+3474+4762+3115+2852+3656+4456+3648+5388+5312+1641+1569+4714+5197+4975</f>
        <v>88707</v>
      </c>
      <c r="L13" s="15">
        <f>2402+2437</f>
        <v>4839</v>
      </c>
      <c r="M13" s="15">
        <f t="shared" si="0"/>
        <v>4839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9"/>
        <v>1</v>
      </c>
      <c r="AE13" s="36">
        <f t="shared" si="7"/>
        <v>0.55637254901960775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34" t="s">
        <v>123</v>
      </c>
      <c r="D14" s="52"/>
      <c r="E14" s="53" t="s">
        <v>493</v>
      </c>
      <c r="F14" s="30" t="s">
        <v>124</v>
      </c>
      <c r="G14" s="33">
        <v>1</v>
      </c>
      <c r="H14" s="35">
        <v>24</v>
      </c>
      <c r="I14" s="7">
        <v>2300</v>
      </c>
      <c r="J14" s="5">
        <v>3547</v>
      </c>
      <c r="K14" s="15">
        <f>L14</f>
        <v>3547</v>
      </c>
      <c r="L14" s="15">
        <f>1274+2273</f>
        <v>3547</v>
      </c>
      <c r="M14" s="15">
        <f t="shared" si="0"/>
        <v>3547</v>
      </c>
      <c r="N14" s="15">
        <v>0</v>
      </c>
      <c r="O14" s="58">
        <f t="shared" si="1"/>
        <v>0</v>
      </c>
      <c r="P14" s="39">
        <f t="shared" si="2"/>
        <v>20</v>
      </c>
      <c r="Q14" s="40">
        <f t="shared" si="3"/>
        <v>4</v>
      </c>
      <c r="R14" s="7"/>
      <c r="S14" s="6"/>
      <c r="T14" s="16">
        <v>4</v>
      </c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0.83333333333333337</v>
      </c>
      <c r="AD14" s="10">
        <f>AC14*AB14*(1-O14)</f>
        <v>0.83333333333333337</v>
      </c>
      <c r="AE14" s="36">
        <f t="shared" si="7"/>
        <v>0.55637254901960775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174</v>
      </c>
      <c r="F15" s="30" t="s">
        <v>177</v>
      </c>
      <c r="G15" s="33">
        <v>1</v>
      </c>
      <c r="H15" s="35">
        <v>24</v>
      </c>
      <c r="I15" s="7">
        <v>300</v>
      </c>
      <c r="J15" s="5">
        <v>376</v>
      </c>
      <c r="K15" s="15">
        <f>L15+376</f>
        <v>376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ref="AE15:AE22" si="10">$AD$23</f>
        <v>0.55637254901960775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123</v>
      </c>
      <c r="D16" s="52"/>
      <c r="E16" s="53" t="s">
        <v>494</v>
      </c>
      <c r="F16" s="12" t="s">
        <v>152</v>
      </c>
      <c r="G16" s="12">
        <v>1</v>
      </c>
      <c r="H16" s="13">
        <v>24</v>
      </c>
      <c r="I16" s="31">
        <v>2300</v>
      </c>
      <c r="J16" s="14">
        <v>4412</v>
      </c>
      <c r="K16" s="15">
        <f>L16</f>
        <v>4412</v>
      </c>
      <c r="L16" s="15">
        <f>2184+2228</f>
        <v>4412</v>
      </c>
      <c r="M16" s="15">
        <f t="shared" si="0"/>
        <v>4412</v>
      </c>
      <c r="N16" s="15">
        <v>0</v>
      </c>
      <c r="O16" s="58">
        <f t="shared" si="1"/>
        <v>0</v>
      </c>
      <c r="P16" s="39">
        <f t="shared" si="2"/>
        <v>23</v>
      </c>
      <c r="Q16" s="40">
        <f t="shared" si="3"/>
        <v>1</v>
      </c>
      <c r="R16" s="7"/>
      <c r="S16" s="6"/>
      <c r="T16" s="16">
        <v>1</v>
      </c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0.95833333333333337</v>
      </c>
      <c r="AD16" s="10">
        <f t="shared" si="6"/>
        <v>0.95833333333333337</v>
      </c>
      <c r="AE16" s="36">
        <f t="shared" si="10"/>
        <v>0.55637254901960775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207</v>
      </c>
      <c r="E17" s="53" t="s">
        <v>204</v>
      </c>
      <c r="F17" s="30" t="s">
        <v>138</v>
      </c>
      <c r="G17" s="12">
        <v>2</v>
      </c>
      <c r="H17" s="13">
        <v>24</v>
      </c>
      <c r="I17" s="7">
        <v>300000</v>
      </c>
      <c r="J17" s="14">
        <v>1640</v>
      </c>
      <c r="K17" s="15">
        <f>L17+6564+12528+9524+11762+12146+1640</f>
        <v>54164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10"/>
        <v>0.55637254901960775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121</v>
      </c>
      <c r="D18" s="52" t="s">
        <v>126</v>
      </c>
      <c r="E18" s="53" t="s">
        <v>324</v>
      </c>
      <c r="F18" s="30" t="s">
        <v>325</v>
      </c>
      <c r="G18" s="12">
        <v>4</v>
      </c>
      <c r="H18" s="13">
        <v>24</v>
      </c>
      <c r="I18" s="7">
        <v>10000</v>
      </c>
      <c r="J18" s="14">
        <v>3136</v>
      </c>
      <c r="K18" s="15">
        <f>L18+5108+3136</f>
        <v>8244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10"/>
        <v>0.55637254901960775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457</v>
      </c>
      <c r="F19" s="30" t="s">
        <v>139</v>
      </c>
      <c r="G19" s="33">
        <v>1</v>
      </c>
      <c r="H19" s="35">
        <v>24</v>
      </c>
      <c r="I19" s="7">
        <v>10000</v>
      </c>
      <c r="J19" s="14">
        <v>5039</v>
      </c>
      <c r="K19" s="15">
        <f>L19+4492</f>
        <v>9531</v>
      </c>
      <c r="L19" s="15">
        <f>2516+2523</f>
        <v>5039</v>
      </c>
      <c r="M19" s="15">
        <f t="shared" si="0"/>
        <v>5039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10"/>
        <v>0.55637254901960775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120</v>
      </c>
      <c r="D20" s="52" t="s">
        <v>115</v>
      </c>
      <c r="E20" s="53" t="s">
        <v>458</v>
      </c>
      <c r="F20" s="30" t="s">
        <v>139</v>
      </c>
      <c r="G20" s="33">
        <v>1</v>
      </c>
      <c r="H20" s="35">
        <v>24</v>
      </c>
      <c r="I20" s="7">
        <v>5000</v>
      </c>
      <c r="J20" s="5">
        <v>4752</v>
      </c>
      <c r="K20" s="15">
        <f>L20+2603</f>
        <v>7355</v>
      </c>
      <c r="L20" s="15">
        <f>2405+2347</f>
        <v>4752</v>
      </c>
      <c r="M20" s="15">
        <f t="shared" si="0"/>
        <v>4752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>AC20*AB20*(1-O20)</f>
        <v>1</v>
      </c>
      <c r="AE20" s="36">
        <f t="shared" si="10"/>
        <v>0.55637254901960775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495</v>
      </c>
      <c r="E21" s="53" t="s">
        <v>496</v>
      </c>
      <c r="F21" s="30" t="s">
        <v>139</v>
      </c>
      <c r="G21" s="12">
        <v>1</v>
      </c>
      <c r="H21" s="13">
        <v>28</v>
      </c>
      <c r="I21" s="31">
        <v>1000</v>
      </c>
      <c r="J21" s="5">
        <v>3341</v>
      </c>
      <c r="K21" s="15">
        <f>L21</f>
        <v>3341</v>
      </c>
      <c r="L21" s="15">
        <f>2681+660</f>
        <v>3341</v>
      </c>
      <c r="M21" s="15">
        <f t="shared" si="0"/>
        <v>3341</v>
      </c>
      <c r="N21" s="15">
        <v>0</v>
      </c>
      <c r="O21" s="58">
        <f t="shared" si="1"/>
        <v>0</v>
      </c>
      <c r="P21" s="39">
        <f t="shared" si="2"/>
        <v>19</v>
      </c>
      <c r="Q21" s="40">
        <f t="shared" si="3"/>
        <v>5</v>
      </c>
      <c r="R21" s="7"/>
      <c r="S21" s="6">
        <v>5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0.79166666666666663</v>
      </c>
      <c r="AD21" s="10">
        <f t="shared" ref="AD21" si="11">AC21*AB21*(1-O21)</f>
        <v>0.79166666666666663</v>
      </c>
      <c r="AE21" s="36">
        <f t="shared" si="10"/>
        <v>0.55637254901960775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454</v>
      </c>
      <c r="F22" s="12" t="s">
        <v>114</v>
      </c>
      <c r="G22" s="12">
        <v>4</v>
      </c>
      <c r="H22" s="35">
        <v>20</v>
      </c>
      <c r="I22" s="7">
        <v>300000</v>
      </c>
      <c r="J22" s="14">
        <v>22788</v>
      </c>
      <c r="K22" s="15">
        <f>L22+26152+22788</f>
        <v>48940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10"/>
        <v>0.55637254901960775</v>
      </c>
      <c r="AF22" s="84">
        <f t="shared" si="8"/>
        <v>16</v>
      </c>
    </row>
    <row r="23" spans="1:32" ht="31.5" customHeight="1" thickBot="1">
      <c r="A23" s="405" t="s">
        <v>34</v>
      </c>
      <c r="B23" s="406"/>
      <c r="C23" s="406"/>
      <c r="D23" s="406"/>
      <c r="E23" s="406"/>
      <c r="F23" s="406"/>
      <c r="G23" s="406"/>
      <c r="H23" s="407"/>
      <c r="I23" s="22">
        <f t="shared" ref="I23:N23" si="12">SUM(I6:I22)</f>
        <v>751900</v>
      </c>
      <c r="J23" s="19">
        <f t="shared" si="12"/>
        <v>77956</v>
      </c>
      <c r="K23" s="20">
        <f t="shared" si="12"/>
        <v>293812</v>
      </c>
      <c r="L23" s="21">
        <f t="shared" si="12"/>
        <v>47808</v>
      </c>
      <c r="M23" s="20">
        <f t="shared" si="12"/>
        <v>47808</v>
      </c>
      <c r="N23" s="21">
        <f t="shared" si="12"/>
        <v>0</v>
      </c>
      <c r="O23" s="41">
        <f t="shared" si="1"/>
        <v>0</v>
      </c>
      <c r="P23" s="42">
        <f t="shared" ref="P23:AA23" si="13">SUM(P6:P22)</f>
        <v>227</v>
      </c>
      <c r="Q23" s="43">
        <f t="shared" si="13"/>
        <v>181</v>
      </c>
      <c r="R23" s="23">
        <f t="shared" si="13"/>
        <v>24</v>
      </c>
      <c r="S23" s="24">
        <f t="shared" si="13"/>
        <v>17</v>
      </c>
      <c r="T23" s="24">
        <f t="shared" si="13"/>
        <v>16</v>
      </c>
      <c r="U23" s="24">
        <f t="shared" si="13"/>
        <v>0</v>
      </c>
      <c r="V23" s="25">
        <f t="shared" si="13"/>
        <v>24</v>
      </c>
      <c r="W23" s="26">
        <f t="shared" si="13"/>
        <v>52</v>
      </c>
      <c r="X23" s="27">
        <f t="shared" si="13"/>
        <v>0</v>
      </c>
      <c r="Y23" s="27">
        <f t="shared" si="13"/>
        <v>0</v>
      </c>
      <c r="Z23" s="27">
        <f t="shared" si="13"/>
        <v>0</v>
      </c>
      <c r="AA23" s="27">
        <f t="shared" si="13"/>
        <v>48</v>
      </c>
      <c r="AB23" s="28">
        <f>AVERAGE(AB6:AB22)</f>
        <v>0.70588235294117652</v>
      </c>
      <c r="AC23" s="4">
        <f>AVERAGE(AC6:AC22)</f>
        <v>0.55637254901960775</v>
      </c>
      <c r="AD23" s="4">
        <f>AVERAGE(AD6:AD22)</f>
        <v>0.55637254901960775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08" t="s">
        <v>45</v>
      </c>
      <c r="B50" s="408"/>
      <c r="C50" s="408"/>
      <c r="D50" s="408"/>
      <c r="E50" s="40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09" t="s">
        <v>497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1"/>
      <c r="N51" s="412" t="s">
        <v>501</v>
      </c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4"/>
    </row>
    <row r="52" spans="1:32" ht="27" customHeight="1">
      <c r="A52" s="415" t="s">
        <v>2</v>
      </c>
      <c r="B52" s="416"/>
      <c r="C52" s="271" t="s">
        <v>46</v>
      </c>
      <c r="D52" s="271" t="s">
        <v>47</v>
      </c>
      <c r="E52" s="271" t="s">
        <v>107</v>
      </c>
      <c r="F52" s="417" t="s">
        <v>106</v>
      </c>
      <c r="G52" s="418"/>
      <c r="H52" s="418"/>
      <c r="I52" s="418"/>
      <c r="J52" s="418"/>
      <c r="K52" s="418"/>
      <c r="L52" s="418"/>
      <c r="M52" s="419"/>
      <c r="N52" s="67" t="s">
        <v>110</v>
      </c>
      <c r="O52" s="271" t="s">
        <v>46</v>
      </c>
      <c r="P52" s="417" t="s">
        <v>47</v>
      </c>
      <c r="Q52" s="420"/>
      <c r="R52" s="417" t="s">
        <v>38</v>
      </c>
      <c r="S52" s="418"/>
      <c r="T52" s="418"/>
      <c r="U52" s="420"/>
      <c r="V52" s="417" t="s">
        <v>48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31" t="s">
        <v>120</v>
      </c>
      <c r="B53" s="432"/>
      <c r="C53" s="273" t="s">
        <v>217</v>
      </c>
      <c r="D53" s="273" t="s">
        <v>294</v>
      </c>
      <c r="E53" s="273" t="s">
        <v>492</v>
      </c>
      <c r="F53" s="433" t="s">
        <v>319</v>
      </c>
      <c r="G53" s="434"/>
      <c r="H53" s="434"/>
      <c r="I53" s="434"/>
      <c r="J53" s="434"/>
      <c r="K53" s="434"/>
      <c r="L53" s="434"/>
      <c r="M53" s="435"/>
      <c r="N53" s="272" t="s">
        <v>123</v>
      </c>
      <c r="O53" s="278" t="s">
        <v>189</v>
      </c>
      <c r="P53" s="436"/>
      <c r="Q53" s="437"/>
      <c r="R53" s="436" t="s">
        <v>481</v>
      </c>
      <c r="S53" s="438"/>
      <c r="T53" s="438"/>
      <c r="U53" s="437"/>
      <c r="V53" s="439" t="s">
        <v>133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120</v>
      </c>
      <c r="B54" s="432"/>
      <c r="C54" s="273" t="s">
        <v>190</v>
      </c>
      <c r="D54" s="273" t="s">
        <v>126</v>
      </c>
      <c r="E54" s="273" t="s">
        <v>498</v>
      </c>
      <c r="F54" s="433" t="s">
        <v>118</v>
      </c>
      <c r="G54" s="434"/>
      <c r="H54" s="434"/>
      <c r="I54" s="434"/>
      <c r="J54" s="434"/>
      <c r="K54" s="434"/>
      <c r="L54" s="434"/>
      <c r="M54" s="435"/>
      <c r="N54" s="272" t="s">
        <v>120</v>
      </c>
      <c r="O54" s="278" t="s">
        <v>217</v>
      </c>
      <c r="P54" s="436" t="s">
        <v>294</v>
      </c>
      <c r="Q54" s="437"/>
      <c r="R54" s="436" t="s">
        <v>482</v>
      </c>
      <c r="S54" s="438"/>
      <c r="T54" s="438"/>
      <c r="U54" s="437"/>
      <c r="V54" s="439" t="s">
        <v>133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123</v>
      </c>
      <c r="B55" s="432"/>
      <c r="C55" s="273" t="s">
        <v>189</v>
      </c>
      <c r="D55" s="273"/>
      <c r="E55" s="273" t="s">
        <v>481</v>
      </c>
      <c r="F55" s="433" t="s">
        <v>499</v>
      </c>
      <c r="G55" s="434"/>
      <c r="H55" s="434"/>
      <c r="I55" s="434"/>
      <c r="J55" s="434"/>
      <c r="K55" s="434"/>
      <c r="L55" s="434"/>
      <c r="M55" s="435"/>
      <c r="N55" s="272" t="s">
        <v>120</v>
      </c>
      <c r="O55" s="278" t="s">
        <v>127</v>
      </c>
      <c r="P55" s="436" t="s">
        <v>135</v>
      </c>
      <c r="Q55" s="437"/>
      <c r="R55" s="436" t="s">
        <v>502</v>
      </c>
      <c r="S55" s="438"/>
      <c r="T55" s="438"/>
      <c r="U55" s="437"/>
      <c r="V55" s="439" t="s">
        <v>118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123</v>
      </c>
      <c r="B56" s="432"/>
      <c r="C56" s="273" t="s">
        <v>189</v>
      </c>
      <c r="D56" s="273"/>
      <c r="E56" s="273" t="s">
        <v>493</v>
      </c>
      <c r="F56" s="433" t="s">
        <v>118</v>
      </c>
      <c r="G56" s="434"/>
      <c r="H56" s="434"/>
      <c r="I56" s="434"/>
      <c r="J56" s="434"/>
      <c r="K56" s="434"/>
      <c r="L56" s="434"/>
      <c r="M56" s="435"/>
      <c r="N56" s="272" t="s">
        <v>112</v>
      </c>
      <c r="O56" s="278" t="s">
        <v>223</v>
      </c>
      <c r="P56" s="436" t="s">
        <v>141</v>
      </c>
      <c r="Q56" s="437"/>
      <c r="R56" s="436" t="s">
        <v>503</v>
      </c>
      <c r="S56" s="438"/>
      <c r="T56" s="438"/>
      <c r="U56" s="437"/>
      <c r="V56" s="439" t="s">
        <v>118</v>
      </c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121</v>
      </c>
      <c r="B57" s="432"/>
      <c r="C57" s="273" t="s">
        <v>219</v>
      </c>
      <c r="D57" s="273" t="s">
        <v>476</v>
      </c>
      <c r="E57" s="273" t="s">
        <v>477</v>
      </c>
      <c r="F57" s="433" t="s">
        <v>500</v>
      </c>
      <c r="G57" s="434"/>
      <c r="H57" s="434"/>
      <c r="I57" s="434"/>
      <c r="J57" s="434"/>
      <c r="K57" s="434"/>
      <c r="L57" s="434"/>
      <c r="M57" s="435"/>
      <c r="N57" s="272"/>
      <c r="O57" s="278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120</v>
      </c>
      <c r="B58" s="432"/>
      <c r="C58" s="273" t="s">
        <v>148</v>
      </c>
      <c r="D58" s="273"/>
      <c r="E58" s="273" t="s">
        <v>496</v>
      </c>
      <c r="F58" s="433" t="s">
        <v>118</v>
      </c>
      <c r="G58" s="434"/>
      <c r="H58" s="434"/>
      <c r="I58" s="434"/>
      <c r="J58" s="434"/>
      <c r="K58" s="434"/>
      <c r="L58" s="434"/>
      <c r="M58" s="435"/>
      <c r="N58" s="272"/>
      <c r="O58" s="278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273"/>
      <c r="D59" s="273"/>
      <c r="E59" s="273"/>
      <c r="F59" s="433"/>
      <c r="G59" s="434"/>
      <c r="H59" s="434"/>
      <c r="I59" s="434"/>
      <c r="J59" s="434"/>
      <c r="K59" s="434"/>
      <c r="L59" s="434"/>
      <c r="M59" s="435"/>
      <c r="N59" s="272"/>
      <c r="O59" s="278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273"/>
      <c r="D60" s="273"/>
      <c r="E60" s="273"/>
      <c r="F60" s="433"/>
      <c r="G60" s="434"/>
      <c r="H60" s="434"/>
      <c r="I60" s="434"/>
      <c r="J60" s="434"/>
      <c r="K60" s="434"/>
      <c r="L60" s="434"/>
      <c r="M60" s="435"/>
      <c r="N60" s="272"/>
      <c r="O60" s="278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273"/>
      <c r="D61" s="273"/>
      <c r="E61" s="273"/>
      <c r="F61" s="433"/>
      <c r="G61" s="434"/>
      <c r="H61" s="434"/>
      <c r="I61" s="434"/>
      <c r="J61" s="434"/>
      <c r="K61" s="434"/>
      <c r="L61" s="434"/>
      <c r="M61" s="435"/>
      <c r="N61" s="272"/>
      <c r="O61" s="278"/>
      <c r="P61" s="432"/>
      <c r="Q61" s="432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  <c r="AF61" s="84">
        <f>8*3000</f>
        <v>24000</v>
      </c>
    </row>
    <row r="62" spans="1:32" ht="27" customHeight="1" thickBot="1">
      <c r="A62" s="441"/>
      <c r="B62" s="442"/>
      <c r="C62" s="274"/>
      <c r="D62" s="275"/>
      <c r="E62" s="275"/>
      <c r="F62" s="443"/>
      <c r="G62" s="444"/>
      <c r="H62" s="444"/>
      <c r="I62" s="444"/>
      <c r="J62" s="444"/>
      <c r="K62" s="444"/>
      <c r="L62" s="444"/>
      <c r="M62" s="445"/>
      <c r="N62" s="112"/>
      <c r="O62" s="103"/>
      <c r="P62" s="446"/>
      <c r="Q62" s="446"/>
      <c r="R62" s="446"/>
      <c r="S62" s="446"/>
      <c r="T62" s="446"/>
      <c r="U62" s="446"/>
      <c r="V62" s="447"/>
      <c r="W62" s="447"/>
      <c r="X62" s="447"/>
      <c r="Y62" s="447"/>
      <c r="Z62" s="447"/>
      <c r="AA62" s="447"/>
      <c r="AB62" s="447"/>
      <c r="AC62" s="447"/>
      <c r="AD62" s="448"/>
      <c r="AF62" s="84">
        <f>16*3000</f>
        <v>48000</v>
      </c>
    </row>
    <row r="63" spans="1:32" ht="27.75" thickBot="1">
      <c r="A63" s="449" t="s">
        <v>504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0" t="s">
        <v>111</v>
      </c>
      <c r="B64" s="451"/>
      <c r="C64" s="276" t="s">
        <v>2</v>
      </c>
      <c r="D64" s="276" t="s">
        <v>37</v>
      </c>
      <c r="E64" s="276" t="s">
        <v>3</v>
      </c>
      <c r="F64" s="451" t="s">
        <v>109</v>
      </c>
      <c r="G64" s="451"/>
      <c r="H64" s="451"/>
      <c r="I64" s="451"/>
      <c r="J64" s="451"/>
      <c r="K64" s="451" t="s">
        <v>39</v>
      </c>
      <c r="L64" s="451"/>
      <c r="M64" s="276" t="s">
        <v>40</v>
      </c>
      <c r="N64" s="451" t="s">
        <v>41</v>
      </c>
      <c r="O64" s="451"/>
      <c r="P64" s="452" t="s">
        <v>42</v>
      </c>
      <c r="Q64" s="453"/>
      <c r="R64" s="452" t="s">
        <v>43</v>
      </c>
      <c r="S64" s="454"/>
      <c r="T64" s="454"/>
      <c r="U64" s="454"/>
      <c r="V64" s="454"/>
      <c r="W64" s="454"/>
      <c r="X64" s="454"/>
      <c r="Y64" s="454"/>
      <c r="Z64" s="454"/>
      <c r="AA64" s="453"/>
      <c r="AB64" s="451" t="s">
        <v>44</v>
      </c>
      <c r="AC64" s="451"/>
      <c r="AD64" s="455"/>
      <c r="AF64" s="84">
        <f>SUM(AF61:AF63)</f>
        <v>96000</v>
      </c>
    </row>
    <row r="65" spans="1:32" ht="25.5" customHeight="1">
      <c r="A65" s="456">
        <v>1</v>
      </c>
      <c r="B65" s="457"/>
      <c r="C65" s="105" t="s">
        <v>121</v>
      </c>
      <c r="D65" s="280"/>
      <c r="E65" s="277" t="s">
        <v>191</v>
      </c>
      <c r="F65" s="458" t="s">
        <v>468</v>
      </c>
      <c r="G65" s="459"/>
      <c r="H65" s="459"/>
      <c r="I65" s="459"/>
      <c r="J65" s="460"/>
      <c r="K65" s="461" t="s">
        <v>325</v>
      </c>
      <c r="L65" s="461"/>
      <c r="M65" s="51" t="s">
        <v>239</v>
      </c>
      <c r="N65" s="462" t="s">
        <v>233</v>
      </c>
      <c r="O65" s="462"/>
      <c r="P65" s="463">
        <v>100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4"/>
      <c r="AC65" s="465"/>
      <c r="AD65" s="466"/>
      <c r="AF65" s="50"/>
    </row>
    <row r="66" spans="1:32" ht="25.5" customHeight="1">
      <c r="A66" s="456">
        <v>2</v>
      </c>
      <c r="B66" s="457"/>
      <c r="C66" s="105" t="s">
        <v>121</v>
      </c>
      <c r="D66" s="280"/>
      <c r="E66" s="277" t="s">
        <v>161</v>
      </c>
      <c r="F66" s="458" t="s">
        <v>505</v>
      </c>
      <c r="G66" s="459"/>
      <c r="H66" s="459"/>
      <c r="I66" s="459"/>
      <c r="J66" s="460"/>
      <c r="K66" s="461" t="s">
        <v>125</v>
      </c>
      <c r="L66" s="461"/>
      <c r="M66" s="51" t="s">
        <v>239</v>
      </c>
      <c r="N66" s="462" t="s">
        <v>148</v>
      </c>
      <c r="O66" s="462"/>
      <c r="P66" s="463">
        <v>100</v>
      </c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3</v>
      </c>
      <c r="B67" s="457"/>
      <c r="C67" s="105"/>
      <c r="D67" s="280"/>
      <c r="E67" s="277"/>
      <c r="F67" s="458"/>
      <c r="G67" s="459"/>
      <c r="H67" s="459"/>
      <c r="I67" s="459"/>
      <c r="J67" s="460"/>
      <c r="K67" s="461"/>
      <c r="L67" s="461"/>
      <c r="M67" s="51"/>
      <c r="N67" s="462"/>
      <c r="O67" s="462"/>
      <c r="P67" s="463"/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4</v>
      </c>
      <c r="B68" s="457"/>
      <c r="C68" s="105"/>
      <c r="D68" s="280"/>
      <c r="E68" s="277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5</v>
      </c>
      <c r="B69" s="457"/>
      <c r="C69" s="105"/>
      <c r="D69" s="280"/>
      <c r="E69" s="277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6</v>
      </c>
      <c r="B70" s="457"/>
      <c r="C70" s="105"/>
      <c r="D70" s="280"/>
      <c r="E70" s="277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7</v>
      </c>
      <c r="B71" s="457"/>
      <c r="C71" s="105"/>
      <c r="D71" s="280"/>
      <c r="E71" s="277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8</v>
      </c>
      <c r="B72" s="457"/>
      <c r="C72" s="105"/>
      <c r="D72" s="280"/>
      <c r="E72" s="277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9</v>
      </c>
      <c r="B73" s="457"/>
      <c r="C73" s="105"/>
      <c r="D73" s="280"/>
      <c r="E73" s="277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10</v>
      </c>
      <c r="B74" s="457"/>
      <c r="C74" s="105"/>
      <c r="D74" s="280"/>
      <c r="E74" s="277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6.25" customHeight="1" thickBot="1">
      <c r="A75" s="469" t="s">
        <v>506</v>
      </c>
      <c r="B75" s="469"/>
      <c r="C75" s="469"/>
      <c r="D75" s="469"/>
      <c r="E75" s="46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0" t="s">
        <v>111</v>
      </c>
      <c r="B76" s="471"/>
      <c r="C76" s="279" t="s">
        <v>2</v>
      </c>
      <c r="D76" s="279" t="s">
        <v>37</v>
      </c>
      <c r="E76" s="279" t="s">
        <v>3</v>
      </c>
      <c r="F76" s="471" t="s">
        <v>38</v>
      </c>
      <c r="G76" s="471"/>
      <c r="H76" s="471"/>
      <c r="I76" s="471"/>
      <c r="J76" s="471"/>
      <c r="K76" s="472" t="s">
        <v>58</v>
      </c>
      <c r="L76" s="473"/>
      <c r="M76" s="473"/>
      <c r="N76" s="473"/>
      <c r="O76" s="473"/>
      <c r="P76" s="473"/>
      <c r="Q76" s="473"/>
      <c r="R76" s="473"/>
      <c r="S76" s="474"/>
      <c r="T76" s="471" t="s">
        <v>49</v>
      </c>
      <c r="U76" s="471"/>
      <c r="V76" s="472" t="s">
        <v>50</v>
      </c>
      <c r="W76" s="474"/>
      <c r="X76" s="473" t="s">
        <v>51</v>
      </c>
      <c r="Y76" s="473"/>
      <c r="Z76" s="473"/>
      <c r="AA76" s="473"/>
      <c r="AB76" s="473"/>
      <c r="AC76" s="473"/>
      <c r="AD76" s="475"/>
      <c r="AF76" s="50"/>
    </row>
    <row r="77" spans="1:32" ht="33.75" customHeight="1">
      <c r="A77" s="484">
        <v>1</v>
      </c>
      <c r="B77" s="485"/>
      <c r="C77" s="281" t="s">
        <v>112</v>
      </c>
      <c r="D77" s="281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76">
        <f>A77+1</f>
        <v>2</v>
      </c>
      <c r="B78" s="477"/>
      <c r="C78" s="280"/>
      <c r="D78" s="280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ref="A79:A83" si="14">A78+1</f>
        <v>3</v>
      </c>
      <c r="B79" s="477"/>
      <c r="C79" s="280"/>
      <c r="D79" s="280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14"/>
        <v>4</v>
      </c>
      <c r="B80" s="477"/>
      <c r="C80" s="280"/>
      <c r="D80" s="280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14"/>
        <v>5</v>
      </c>
      <c r="B81" s="477"/>
      <c r="C81" s="280"/>
      <c r="D81" s="280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14"/>
        <v>6</v>
      </c>
      <c r="B82" s="477"/>
      <c r="C82" s="280"/>
      <c r="D82" s="280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14"/>
        <v>7</v>
      </c>
      <c r="B83" s="477"/>
      <c r="C83" s="280"/>
      <c r="D83" s="280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6" thickBot="1">
      <c r="A84" s="469" t="s">
        <v>507</v>
      </c>
      <c r="B84" s="469"/>
      <c r="C84" s="469"/>
      <c r="D84" s="469"/>
      <c r="E84" s="46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0" t="s">
        <v>111</v>
      </c>
      <c r="B85" s="471"/>
      <c r="C85" s="497" t="s">
        <v>52</v>
      </c>
      <c r="D85" s="497"/>
      <c r="E85" s="497" t="s">
        <v>53</v>
      </c>
      <c r="F85" s="497"/>
      <c r="G85" s="497"/>
      <c r="H85" s="497"/>
      <c r="I85" s="497"/>
      <c r="J85" s="497"/>
      <c r="K85" s="497" t="s">
        <v>54</v>
      </c>
      <c r="L85" s="497"/>
      <c r="M85" s="497"/>
      <c r="N85" s="497"/>
      <c r="O85" s="497"/>
      <c r="P85" s="497"/>
      <c r="Q85" s="497"/>
      <c r="R85" s="497"/>
      <c r="S85" s="497"/>
      <c r="T85" s="497" t="s">
        <v>55</v>
      </c>
      <c r="U85" s="497"/>
      <c r="V85" s="497" t="s">
        <v>56</v>
      </c>
      <c r="W85" s="497"/>
      <c r="X85" s="497"/>
      <c r="Y85" s="497" t="s">
        <v>51</v>
      </c>
      <c r="Z85" s="497"/>
      <c r="AA85" s="497"/>
      <c r="AB85" s="497"/>
      <c r="AC85" s="497"/>
      <c r="AD85" s="498"/>
      <c r="AF85" s="50"/>
    </row>
    <row r="86" spans="1:32" ht="30.75" customHeight="1">
      <c r="A86" s="484">
        <v>1</v>
      </c>
      <c r="B86" s="485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500"/>
      <c r="W86" s="500"/>
      <c r="X86" s="500"/>
      <c r="Y86" s="501"/>
      <c r="Z86" s="501"/>
      <c r="AA86" s="501"/>
      <c r="AB86" s="501"/>
      <c r="AC86" s="501"/>
      <c r="AD86" s="502"/>
      <c r="AF86" s="50"/>
    </row>
    <row r="87" spans="1:32" ht="30.75" customHeight="1">
      <c r="A87" s="476">
        <v>2</v>
      </c>
      <c r="B87" s="477"/>
      <c r="C87" s="510"/>
      <c r="D87" s="510"/>
      <c r="E87" s="510"/>
      <c r="F87" s="510"/>
      <c r="G87" s="510"/>
      <c r="H87" s="510"/>
      <c r="I87" s="510"/>
      <c r="J87" s="510"/>
      <c r="K87" s="510"/>
      <c r="L87" s="510"/>
      <c r="M87" s="510"/>
      <c r="N87" s="510"/>
      <c r="O87" s="510"/>
      <c r="P87" s="510"/>
      <c r="Q87" s="510"/>
      <c r="R87" s="510"/>
      <c r="S87" s="510"/>
      <c r="T87" s="511"/>
      <c r="U87" s="511"/>
      <c r="V87" s="512"/>
      <c r="W87" s="512"/>
      <c r="X87" s="512"/>
      <c r="Y87" s="503"/>
      <c r="Z87" s="503"/>
      <c r="AA87" s="503"/>
      <c r="AB87" s="503"/>
      <c r="AC87" s="503"/>
      <c r="AD87" s="504"/>
      <c r="AF87" s="50"/>
    </row>
    <row r="88" spans="1:32" ht="30.75" customHeight="1" thickBot="1">
      <c r="A88" s="505">
        <v>3</v>
      </c>
      <c r="B88" s="506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07"/>
      <c r="X88" s="507"/>
      <c r="Y88" s="508"/>
      <c r="Z88" s="508"/>
      <c r="AA88" s="508"/>
      <c r="AB88" s="508"/>
      <c r="AC88" s="508"/>
      <c r="AD88" s="509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9F2D-B4B4-4153-B759-386F073DE1DF}">
  <dimension ref="A1:AF87"/>
  <sheetViews>
    <sheetView view="pageBreakPreview" zoomScale="70" zoomScaleNormal="72" zoomScaleSheetLayoutView="70" workbookViewId="0">
      <selection activeCell="AE9" sqref="AE9:AE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508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135</v>
      </c>
      <c r="E6" s="53" t="s">
        <v>434</v>
      </c>
      <c r="F6" s="30" t="s">
        <v>131</v>
      </c>
      <c r="G6" s="12">
        <v>1</v>
      </c>
      <c r="H6" s="13">
        <v>24</v>
      </c>
      <c r="I6" s="31">
        <v>600</v>
      </c>
      <c r="J6" s="5">
        <v>733</v>
      </c>
      <c r="K6" s="15">
        <f>L6</f>
        <v>733</v>
      </c>
      <c r="L6" s="15">
        <f>733</f>
        <v>733</v>
      </c>
      <c r="M6" s="15">
        <f t="shared" ref="M6:M21" si="0">L6-N6</f>
        <v>733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4</v>
      </c>
      <c r="Q6" s="40">
        <f t="shared" ref="Q6:Q21" si="3">SUM(R6:AA6)</f>
        <v>20</v>
      </c>
      <c r="R6" s="7"/>
      <c r="S6" s="6"/>
      <c r="T6" s="16"/>
      <c r="U6" s="16"/>
      <c r="V6" s="17"/>
      <c r="W6" s="5">
        <v>20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0.16666666666666666</v>
      </c>
      <c r="AD6" s="10">
        <f t="shared" ref="AD6:AD21" si="6">AC6*AB6*(1-O6)</f>
        <v>0.16666666666666666</v>
      </c>
      <c r="AE6" s="36">
        <f>$AD$22</f>
        <v>0.39062500000000006</v>
      </c>
      <c r="AF6" s="84">
        <f t="shared" ref="AF6:AF21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502</v>
      </c>
      <c r="F7" s="12" t="s">
        <v>509</v>
      </c>
      <c r="G7" s="12">
        <v>1</v>
      </c>
      <c r="H7" s="13">
        <v>24</v>
      </c>
      <c r="I7" s="31">
        <v>4000</v>
      </c>
      <c r="J7" s="14">
        <v>5261</v>
      </c>
      <c r="K7" s="15">
        <f>L7</f>
        <v>5261</v>
      </c>
      <c r="L7" s="15">
        <f>2203+3058</f>
        <v>5261</v>
      </c>
      <c r="M7" s="15">
        <f t="shared" si="0"/>
        <v>5261</v>
      </c>
      <c r="N7" s="15">
        <v>0</v>
      </c>
      <c r="O7" s="58">
        <f t="shared" si="1"/>
        <v>0</v>
      </c>
      <c r="P7" s="39">
        <f t="shared" si="2"/>
        <v>23</v>
      </c>
      <c r="Q7" s="40">
        <f t="shared" si="3"/>
        <v>1</v>
      </c>
      <c r="R7" s="7"/>
      <c r="S7" s="6"/>
      <c r="T7" s="16">
        <v>1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0.95833333333333337</v>
      </c>
      <c r="AD7" s="10">
        <f t="shared" si="6"/>
        <v>0.95833333333333337</v>
      </c>
      <c r="AE7" s="36">
        <f>$AD$22</f>
        <v>0.39062500000000006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492</v>
      </c>
      <c r="F8" s="30" t="s">
        <v>132</v>
      </c>
      <c r="G8" s="33">
        <v>1</v>
      </c>
      <c r="H8" s="35">
        <v>24</v>
      </c>
      <c r="I8" s="7">
        <v>10000</v>
      </c>
      <c r="J8" s="14">
        <v>1756</v>
      </c>
      <c r="K8" s="15">
        <f>L8+4254</f>
        <v>6010</v>
      </c>
      <c r="L8" s="15">
        <f>1451+305</f>
        <v>1756</v>
      </c>
      <c r="M8" s="15">
        <f t="shared" si="0"/>
        <v>1756</v>
      </c>
      <c r="N8" s="15">
        <v>0</v>
      </c>
      <c r="O8" s="58">
        <f t="shared" si="1"/>
        <v>0</v>
      </c>
      <c r="P8" s="39">
        <f t="shared" si="2"/>
        <v>9</v>
      </c>
      <c r="Q8" s="40">
        <f t="shared" si="3"/>
        <v>15</v>
      </c>
      <c r="R8" s="7"/>
      <c r="S8" s="6">
        <v>15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0.375</v>
      </c>
      <c r="AD8" s="10">
        <f t="shared" si="6"/>
        <v>0.375</v>
      </c>
      <c r="AE8" s="36">
        <f>$AD$22</f>
        <v>0.39062500000000006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161</v>
      </c>
      <c r="E9" s="53" t="s">
        <v>510</v>
      </c>
      <c r="F9" s="30" t="s">
        <v>139</v>
      </c>
      <c r="G9" s="33">
        <v>1</v>
      </c>
      <c r="H9" s="35">
        <v>24</v>
      </c>
      <c r="I9" s="7">
        <v>2100</v>
      </c>
      <c r="J9" s="14">
        <v>2158</v>
      </c>
      <c r="K9" s="15">
        <f>L9</f>
        <v>2158</v>
      </c>
      <c r="L9" s="15">
        <v>2158</v>
      </c>
      <c r="M9" s="15">
        <f t="shared" si="0"/>
        <v>2158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/>
      <c r="T9" s="16"/>
      <c r="U9" s="16"/>
      <c r="V9" s="17"/>
      <c r="W9" s="5">
        <v>14</v>
      </c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6">
        <f>$AD$22</f>
        <v>0.39062500000000006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476</v>
      </c>
      <c r="E10" s="53" t="s">
        <v>477</v>
      </c>
      <c r="F10" s="30" t="s">
        <v>478</v>
      </c>
      <c r="G10" s="33">
        <v>2</v>
      </c>
      <c r="H10" s="35">
        <v>24</v>
      </c>
      <c r="I10" s="7">
        <v>10000</v>
      </c>
      <c r="J10" s="5">
        <v>8384</v>
      </c>
      <c r="K10" s="15">
        <f>L10+4950+7828</f>
        <v>21162</v>
      </c>
      <c r="L10" s="15">
        <f>2275*2+1917*2</f>
        <v>8384</v>
      </c>
      <c r="M10" s="15">
        <f t="shared" si="0"/>
        <v>8384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ref="AE10:AE13" si="8">$AD$22</f>
        <v>0.39062500000000006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511</v>
      </c>
      <c r="E11" s="53" t="s">
        <v>512</v>
      </c>
      <c r="F11" s="30" t="s">
        <v>513</v>
      </c>
      <c r="G11" s="33">
        <v>1</v>
      </c>
      <c r="H11" s="35">
        <v>24</v>
      </c>
      <c r="I11" s="7">
        <v>100000</v>
      </c>
      <c r="J11" s="14">
        <v>5025</v>
      </c>
      <c r="K11" s="15">
        <f>L11</f>
        <v>0</v>
      </c>
      <c r="L11" s="15">
        <f>0</f>
        <v>0</v>
      </c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8"/>
        <v>0.39062500000000006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141</v>
      </c>
      <c r="E12" s="53" t="s">
        <v>433</v>
      </c>
      <c r="F12" s="30" t="s">
        <v>138</v>
      </c>
      <c r="G12" s="33">
        <v>1</v>
      </c>
      <c r="H12" s="35">
        <v>24</v>
      </c>
      <c r="I12" s="7">
        <v>300</v>
      </c>
      <c r="J12" s="14">
        <v>328</v>
      </c>
      <c r="K12" s="15">
        <f>L12</f>
        <v>328</v>
      </c>
      <c r="L12" s="15">
        <v>328</v>
      </c>
      <c r="M12" s="15">
        <f t="shared" si="0"/>
        <v>328</v>
      </c>
      <c r="N12" s="15">
        <v>0</v>
      </c>
      <c r="O12" s="58">
        <f t="shared" si="1"/>
        <v>0</v>
      </c>
      <c r="P12" s="39">
        <f t="shared" si="2"/>
        <v>4</v>
      </c>
      <c r="Q12" s="40">
        <f t="shared" si="3"/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si="4"/>
        <v>1</v>
      </c>
      <c r="AC12" s="9">
        <f t="shared" si="5"/>
        <v>0.16666666666666666</v>
      </c>
      <c r="AD12" s="10">
        <f t="shared" si="9"/>
        <v>0.16666666666666666</v>
      </c>
      <c r="AE12" s="36">
        <f t="shared" si="8"/>
        <v>0.39062500000000006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123</v>
      </c>
      <c r="D13" s="52"/>
      <c r="E13" s="53" t="s">
        <v>481</v>
      </c>
      <c r="F13" s="30" t="s">
        <v>514</v>
      </c>
      <c r="G13" s="33">
        <v>1</v>
      </c>
      <c r="H13" s="35">
        <v>24</v>
      </c>
      <c r="I13" s="7">
        <v>2300</v>
      </c>
      <c r="J13" s="5">
        <v>4275</v>
      </c>
      <c r="K13" s="15">
        <f>L13</f>
        <v>4275</v>
      </c>
      <c r="L13" s="15">
        <f>1893+2382</f>
        <v>4275</v>
      </c>
      <c r="M13" s="15">
        <f t="shared" si="0"/>
        <v>4275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>AC13*AB13*(1-O13)</f>
        <v>0.875</v>
      </c>
      <c r="AE13" s="36">
        <f t="shared" si="8"/>
        <v>0.39062500000000006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174</v>
      </c>
      <c r="F14" s="30" t="s">
        <v>177</v>
      </c>
      <c r="G14" s="33">
        <v>1</v>
      </c>
      <c r="H14" s="35">
        <v>24</v>
      </c>
      <c r="I14" s="7">
        <v>300</v>
      </c>
      <c r="J14" s="5">
        <v>376</v>
      </c>
      <c r="K14" s="15">
        <f>L14+376</f>
        <v>376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ref="AE14:AE21" si="10">$AD$22</f>
        <v>0.39062500000000006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494</v>
      </c>
      <c r="F15" s="12" t="s">
        <v>152</v>
      </c>
      <c r="G15" s="12">
        <v>1</v>
      </c>
      <c r="H15" s="13">
        <v>24</v>
      </c>
      <c r="I15" s="31">
        <v>2300</v>
      </c>
      <c r="J15" s="14">
        <v>4412</v>
      </c>
      <c r="K15" s="15">
        <f>L15+4412</f>
        <v>4412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10"/>
        <v>0.39062500000000006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L16+6564+12528+9524+11762+12146+1640</f>
        <v>54164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10"/>
        <v>0.39062500000000006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126</v>
      </c>
      <c r="E17" s="53" t="s">
        <v>324</v>
      </c>
      <c r="F17" s="30" t="s">
        <v>325</v>
      </c>
      <c r="G17" s="12">
        <v>4</v>
      </c>
      <c r="H17" s="13">
        <v>24</v>
      </c>
      <c r="I17" s="7">
        <v>10000</v>
      </c>
      <c r="J17" s="14">
        <v>3136</v>
      </c>
      <c r="K17" s="15">
        <f>L17+5108+3136</f>
        <v>8244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10"/>
        <v>0.39062500000000006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457</v>
      </c>
      <c r="F18" s="30" t="s">
        <v>139</v>
      </c>
      <c r="G18" s="33">
        <v>1</v>
      </c>
      <c r="H18" s="35">
        <v>24</v>
      </c>
      <c r="I18" s="7">
        <v>10000</v>
      </c>
      <c r="J18" s="14">
        <v>3173</v>
      </c>
      <c r="K18" s="15">
        <f>L18+4492+5039</f>
        <v>12704</v>
      </c>
      <c r="L18" s="15">
        <f>2540+633</f>
        <v>3173</v>
      </c>
      <c r="M18" s="15">
        <f t="shared" si="0"/>
        <v>3173</v>
      </c>
      <c r="N18" s="15">
        <v>0</v>
      </c>
      <c r="O18" s="58">
        <f t="shared" si="1"/>
        <v>0</v>
      </c>
      <c r="P18" s="39">
        <f t="shared" si="2"/>
        <v>18</v>
      </c>
      <c r="Q18" s="40">
        <f t="shared" si="3"/>
        <v>6</v>
      </c>
      <c r="R18" s="7"/>
      <c r="S18" s="6">
        <v>6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0.75</v>
      </c>
      <c r="AD18" s="10">
        <f t="shared" si="6"/>
        <v>0.75</v>
      </c>
      <c r="AE18" s="36">
        <f t="shared" si="10"/>
        <v>0.39062500000000006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141</v>
      </c>
      <c r="E19" s="53" t="s">
        <v>503</v>
      </c>
      <c r="F19" s="30" t="s">
        <v>195</v>
      </c>
      <c r="G19" s="33">
        <v>1</v>
      </c>
      <c r="H19" s="35">
        <v>24</v>
      </c>
      <c r="I19" s="7">
        <v>500</v>
      </c>
      <c r="J19" s="5">
        <v>1334</v>
      </c>
      <c r="K19" s="15">
        <f>L19</f>
        <v>1334</v>
      </c>
      <c r="L19" s="15">
        <v>1334</v>
      </c>
      <c r="M19" s="15">
        <f t="shared" si="0"/>
        <v>1334</v>
      </c>
      <c r="N19" s="15">
        <v>0</v>
      </c>
      <c r="O19" s="58">
        <f t="shared" si="1"/>
        <v>0</v>
      </c>
      <c r="P19" s="39">
        <f t="shared" si="2"/>
        <v>9</v>
      </c>
      <c r="Q19" s="40">
        <f t="shared" si="3"/>
        <v>15</v>
      </c>
      <c r="R19" s="7"/>
      <c r="S19" s="6"/>
      <c r="T19" s="16"/>
      <c r="U19" s="16"/>
      <c r="V19" s="17"/>
      <c r="W19" s="5">
        <v>15</v>
      </c>
      <c r="X19" s="16"/>
      <c r="Y19" s="16"/>
      <c r="Z19" s="16"/>
      <c r="AA19" s="18"/>
      <c r="AB19" s="8">
        <f t="shared" si="4"/>
        <v>1</v>
      </c>
      <c r="AC19" s="9">
        <f t="shared" si="5"/>
        <v>0.375</v>
      </c>
      <c r="AD19" s="10">
        <f>AC19*AB19*(1-O19)</f>
        <v>0.375</v>
      </c>
      <c r="AE19" s="36">
        <f t="shared" si="10"/>
        <v>0.39062500000000006</v>
      </c>
      <c r="AF19" s="84">
        <f t="shared" si="7"/>
        <v>14</v>
      </c>
    </row>
    <row r="20" spans="1:32" ht="27" customHeight="1">
      <c r="A20" s="113">
        <v>15</v>
      </c>
      <c r="B20" s="11" t="s">
        <v>57</v>
      </c>
      <c r="C20" s="34" t="s">
        <v>112</v>
      </c>
      <c r="D20" s="52" t="s">
        <v>115</v>
      </c>
      <c r="E20" s="53" t="s">
        <v>435</v>
      </c>
      <c r="F20" s="30" t="s">
        <v>139</v>
      </c>
      <c r="G20" s="12">
        <v>1</v>
      </c>
      <c r="H20" s="13">
        <v>28</v>
      </c>
      <c r="I20" s="31">
        <v>300</v>
      </c>
      <c r="J20" s="5">
        <v>343</v>
      </c>
      <c r="K20" s="15">
        <f>L20</f>
        <v>343</v>
      </c>
      <c r="L20" s="15">
        <f>343</f>
        <v>343</v>
      </c>
      <c r="M20" s="15">
        <f t="shared" si="0"/>
        <v>343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ref="AD20" si="11">AC20*AB20*(1-O20)</f>
        <v>0.16666666666666666</v>
      </c>
      <c r="AE20" s="36">
        <f t="shared" si="10"/>
        <v>0.39062500000000006</v>
      </c>
      <c r="AF20" s="84">
        <f t="shared" si="7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454</v>
      </c>
      <c r="F21" s="12" t="s">
        <v>114</v>
      </c>
      <c r="G21" s="12">
        <v>4</v>
      </c>
      <c r="H21" s="35">
        <v>20</v>
      </c>
      <c r="I21" s="7">
        <v>300000</v>
      </c>
      <c r="J21" s="14">
        <v>52844</v>
      </c>
      <c r="K21" s="15">
        <f>L21+26152+22788</f>
        <v>101784</v>
      </c>
      <c r="L21" s="15">
        <f>6649*4+6562*4</f>
        <v>52844</v>
      </c>
      <c r="M21" s="15">
        <f t="shared" si="0"/>
        <v>52844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10"/>
        <v>0.39062500000000006</v>
      </c>
      <c r="AF21" s="84">
        <f t="shared" si="7"/>
        <v>16</v>
      </c>
    </row>
    <row r="22" spans="1:32" ht="31.5" customHeight="1" thickBot="1">
      <c r="A22" s="405" t="s">
        <v>34</v>
      </c>
      <c r="B22" s="406"/>
      <c r="C22" s="406"/>
      <c r="D22" s="406"/>
      <c r="E22" s="406"/>
      <c r="F22" s="406"/>
      <c r="G22" s="406"/>
      <c r="H22" s="407"/>
      <c r="I22" s="22">
        <f t="shared" ref="I22:N22" si="12">SUM(I6:I21)</f>
        <v>752700</v>
      </c>
      <c r="J22" s="19">
        <f t="shared" si="12"/>
        <v>95178</v>
      </c>
      <c r="K22" s="20">
        <f t="shared" si="12"/>
        <v>223288</v>
      </c>
      <c r="L22" s="21">
        <f t="shared" si="12"/>
        <v>80589</v>
      </c>
      <c r="M22" s="20">
        <f t="shared" si="12"/>
        <v>80589</v>
      </c>
      <c r="N22" s="21">
        <f t="shared" si="12"/>
        <v>0</v>
      </c>
      <c r="O22" s="41">
        <f t="shared" si="1"/>
        <v>0</v>
      </c>
      <c r="P22" s="42">
        <f t="shared" ref="P22:AA22" si="13">SUM(P6:P21)</f>
        <v>150</v>
      </c>
      <c r="Q22" s="43">
        <f t="shared" si="13"/>
        <v>234</v>
      </c>
      <c r="R22" s="23">
        <f t="shared" si="13"/>
        <v>24</v>
      </c>
      <c r="S22" s="24">
        <f t="shared" si="13"/>
        <v>48</v>
      </c>
      <c r="T22" s="24">
        <f t="shared" si="13"/>
        <v>1</v>
      </c>
      <c r="U22" s="24">
        <f t="shared" si="13"/>
        <v>0</v>
      </c>
      <c r="V22" s="25">
        <f t="shared" si="13"/>
        <v>0</v>
      </c>
      <c r="W22" s="26">
        <f t="shared" si="13"/>
        <v>137</v>
      </c>
      <c r="X22" s="27">
        <f t="shared" si="13"/>
        <v>0</v>
      </c>
      <c r="Y22" s="27">
        <f t="shared" si="13"/>
        <v>0</v>
      </c>
      <c r="Z22" s="27">
        <f t="shared" si="13"/>
        <v>0</v>
      </c>
      <c r="AA22" s="27">
        <f t="shared" si="13"/>
        <v>24</v>
      </c>
      <c r="AB22" s="28">
        <f>AVERAGE(AB6:AB21)</f>
        <v>0.6875</v>
      </c>
      <c r="AC22" s="4">
        <f>AVERAGE(AC6:AC21)</f>
        <v>0.39062500000000006</v>
      </c>
      <c r="AD22" s="4">
        <f>AVERAGE(AD6:AD21)</f>
        <v>0.39062500000000006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08" t="s">
        <v>45</v>
      </c>
      <c r="B49" s="408"/>
      <c r="C49" s="408"/>
      <c r="D49" s="408"/>
      <c r="E49" s="40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09" t="s">
        <v>515</v>
      </c>
      <c r="B50" s="410"/>
      <c r="C50" s="410"/>
      <c r="D50" s="410"/>
      <c r="E50" s="410"/>
      <c r="F50" s="410"/>
      <c r="G50" s="410"/>
      <c r="H50" s="410"/>
      <c r="I50" s="410"/>
      <c r="J50" s="410"/>
      <c r="K50" s="410"/>
      <c r="L50" s="410"/>
      <c r="M50" s="411"/>
      <c r="N50" s="412" t="s">
        <v>518</v>
      </c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3"/>
      <c r="AA50" s="413"/>
      <c r="AB50" s="413"/>
      <c r="AC50" s="413"/>
      <c r="AD50" s="414"/>
    </row>
    <row r="51" spans="1:32" ht="27" customHeight="1">
      <c r="A51" s="415" t="s">
        <v>2</v>
      </c>
      <c r="B51" s="416"/>
      <c r="C51" s="292" t="s">
        <v>46</v>
      </c>
      <c r="D51" s="292" t="s">
        <v>47</v>
      </c>
      <c r="E51" s="292" t="s">
        <v>107</v>
      </c>
      <c r="F51" s="417" t="s">
        <v>106</v>
      </c>
      <c r="G51" s="418"/>
      <c r="H51" s="418"/>
      <c r="I51" s="418"/>
      <c r="J51" s="418"/>
      <c r="K51" s="418"/>
      <c r="L51" s="418"/>
      <c r="M51" s="419"/>
      <c r="N51" s="67" t="s">
        <v>110</v>
      </c>
      <c r="O51" s="292" t="s">
        <v>46</v>
      </c>
      <c r="P51" s="417" t="s">
        <v>47</v>
      </c>
      <c r="Q51" s="420"/>
      <c r="R51" s="417" t="s">
        <v>38</v>
      </c>
      <c r="S51" s="418"/>
      <c r="T51" s="418"/>
      <c r="U51" s="420"/>
      <c r="V51" s="417" t="s">
        <v>48</v>
      </c>
      <c r="W51" s="418"/>
      <c r="X51" s="418"/>
      <c r="Y51" s="418"/>
      <c r="Z51" s="418"/>
      <c r="AA51" s="418"/>
      <c r="AB51" s="418"/>
      <c r="AC51" s="418"/>
      <c r="AD51" s="419"/>
    </row>
    <row r="52" spans="1:32" ht="27" customHeight="1">
      <c r="A52" s="431" t="s">
        <v>120</v>
      </c>
      <c r="B52" s="432"/>
      <c r="C52" s="289" t="s">
        <v>217</v>
      </c>
      <c r="D52" s="289" t="s">
        <v>294</v>
      </c>
      <c r="E52" s="289" t="s">
        <v>492</v>
      </c>
      <c r="F52" s="433" t="s">
        <v>286</v>
      </c>
      <c r="G52" s="434"/>
      <c r="H52" s="434"/>
      <c r="I52" s="434"/>
      <c r="J52" s="434"/>
      <c r="K52" s="434"/>
      <c r="L52" s="434"/>
      <c r="M52" s="435"/>
      <c r="N52" s="288" t="s">
        <v>520</v>
      </c>
      <c r="O52" s="286" t="s">
        <v>223</v>
      </c>
      <c r="P52" s="436"/>
      <c r="Q52" s="437"/>
      <c r="R52" s="436" t="s">
        <v>519</v>
      </c>
      <c r="S52" s="438"/>
      <c r="T52" s="438"/>
      <c r="U52" s="437"/>
      <c r="V52" s="439" t="s">
        <v>118</v>
      </c>
      <c r="W52" s="439"/>
      <c r="X52" s="439"/>
      <c r="Y52" s="439"/>
      <c r="Z52" s="439"/>
      <c r="AA52" s="439"/>
      <c r="AB52" s="439"/>
      <c r="AC52" s="439"/>
      <c r="AD52" s="440"/>
    </row>
    <row r="53" spans="1:32" ht="27" customHeight="1">
      <c r="A53" s="431" t="s">
        <v>120</v>
      </c>
      <c r="B53" s="432"/>
      <c r="C53" s="289" t="s">
        <v>190</v>
      </c>
      <c r="D53" s="289" t="s">
        <v>161</v>
      </c>
      <c r="E53" s="289" t="s">
        <v>510</v>
      </c>
      <c r="F53" s="433" t="s">
        <v>516</v>
      </c>
      <c r="G53" s="434"/>
      <c r="H53" s="434"/>
      <c r="I53" s="434"/>
      <c r="J53" s="434"/>
      <c r="K53" s="434"/>
      <c r="L53" s="434"/>
      <c r="M53" s="435"/>
      <c r="N53" s="288" t="s">
        <v>120</v>
      </c>
      <c r="O53" s="286" t="s">
        <v>217</v>
      </c>
      <c r="P53" s="436" t="s">
        <v>294</v>
      </c>
      <c r="Q53" s="437"/>
      <c r="R53" s="436" t="s">
        <v>482</v>
      </c>
      <c r="S53" s="438"/>
      <c r="T53" s="438"/>
      <c r="U53" s="437"/>
      <c r="V53" s="439" t="s">
        <v>133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123</v>
      </c>
      <c r="B54" s="432"/>
      <c r="C54" s="289" t="s">
        <v>189</v>
      </c>
      <c r="D54" s="289"/>
      <c r="E54" s="289" t="s">
        <v>481</v>
      </c>
      <c r="F54" s="433" t="s">
        <v>133</v>
      </c>
      <c r="G54" s="434"/>
      <c r="H54" s="434"/>
      <c r="I54" s="434"/>
      <c r="J54" s="434"/>
      <c r="K54" s="434"/>
      <c r="L54" s="434"/>
      <c r="M54" s="435"/>
      <c r="N54" s="288" t="s">
        <v>121</v>
      </c>
      <c r="O54" s="286" t="s">
        <v>189</v>
      </c>
      <c r="P54" s="436" t="s">
        <v>115</v>
      </c>
      <c r="Q54" s="437"/>
      <c r="R54" s="436" t="s">
        <v>287</v>
      </c>
      <c r="S54" s="438"/>
      <c r="T54" s="438"/>
      <c r="U54" s="437"/>
      <c r="V54" s="439" t="s">
        <v>118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120</v>
      </c>
      <c r="B55" s="432"/>
      <c r="C55" s="289" t="s">
        <v>127</v>
      </c>
      <c r="D55" s="289" t="s">
        <v>135</v>
      </c>
      <c r="E55" s="289" t="s">
        <v>502</v>
      </c>
      <c r="F55" s="433" t="s">
        <v>118</v>
      </c>
      <c r="G55" s="434"/>
      <c r="H55" s="434"/>
      <c r="I55" s="434"/>
      <c r="J55" s="434"/>
      <c r="K55" s="434"/>
      <c r="L55" s="434"/>
      <c r="M55" s="435"/>
      <c r="N55" s="288" t="s">
        <v>120</v>
      </c>
      <c r="O55" s="286" t="s">
        <v>142</v>
      </c>
      <c r="P55" s="436" t="s">
        <v>511</v>
      </c>
      <c r="Q55" s="437"/>
      <c r="R55" s="436" t="s">
        <v>512</v>
      </c>
      <c r="S55" s="438"/>
      <c r="T55" s="438"/>
      <c r="U55" s="437"/>
      <c r="V55" s="439" t="s">
        <v>118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112</v>
      </c>
      <c r="B56" s="432"/>
      <c r="C56" s="289" t="s">
        <v>136</v>
      </c>
      <c r="D56" s="289" t="s">
        <v>135</v>
      </c>
      <c r="E56" s="289" t="s">
        <v>434</v>
      </c>
      <c r="F56" s="433" t="s">
        <v>516</v>
      </c>
      <c r="G56" s="434"/>
      <c r="H56" s="434"/>
      <c r="I56" s="434"/>
      <c r="J56" s="434"/>
      <c r="K56" s="434"/>
      <c r="L56" s="434"/>
      <c r="M56" s="435"/>
      <c r="N56" s="288" t="s">
        <v>120</v>
      </c>
      <c r="O56" s="286" t="s">
        <v>140</v>
      </c>
      <c r="P56" s="436" t="s">
        <v>115</v>
      </c>
      <c r="Q56" s="437"/>
      <c r="R56" s="436" t="s">
        <v>166</v>
      </c>
      <c r="S56" s="438"/>
      <c r="T56" s="438"/>
      <c r="U56" s="437"/>
      <c r="V56" s="439" t="s">
        <v>118</v>
      </c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112</v>
      </c>
      <c r="B57" s="432"/>
      <c r="C57" s="289" t="s">
        <v>140</v>
      </c>
      <c r="D57" s="289" t="s">
        <v>141</v>
      </c>
      <c r="E57" s="289" t="s">
        <v>433</v>
      </c>
      <c r="F57" s="433" t="s">
        <v>517</v>
      </c>
      <c r="G57" s="434"/>
      <c r="H57" s="434"/>
      <c r="I57" s="434"/>
      <c r="J57" s="434"/>
      <c r="K57" s="434"/>
      <c r="L57" s="434"/>
      <c r="M57" s="435"/>
      <c r="N57" s="288"/>
      <c r="O57" s="286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112</v>
      </c>
      <c r="B58" s="432"/>
      <c r="C58" s="289" t="s">
        <v>148</v>
      </c>
      <c r="D58" s="289" t="s">
        <v>115</v>
      </c>
      <c r="E58" s="289" t="s">
        <v>435</v>
      </c>
      <c r="F58" s="433" t="s">
        <v>517</v>
      </c>
      <c r="G58" s="434"/>
      <c r="H58" s="434"/>
      <c r="I58" s="434"/>
      <c r="J58" s="434"/>
      <c r="K58" s="434"/>
      <c r="L58" s="434"/>
      <c r="M58" s="435"/>
      <c r="N58" s="288"/>
      <c r="O58" s="286"/>
      <c r="P58" s="436"/>
      <c r="Q58" s="437"/>
      <c r="R58" s="432"/>
      <c r="S58" s="432"/>
      <c r="T58" s="432"/>
      <c r="U58" s="432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 t="s">
        <v>112</v>
      </c>
      <c r="B59" s="432"/>
      <c r="C59" s="289" t="s">
        <v>223</v>
      </c>
      <c r="D59" s="289" t="s">
        <v>141</v>
      </c>
      <c r="E59" s="289" t="s">
        <v>503</v>
      </c>
      <c r="F59" s="433" t="s">
        <v>118</v>
      </c>
      <c r="G59" s="434"/>
      <c r="H59" s="434"/>
      <c r="I59" s="434"/>
      <c r="J59" s="434"/>
      <c r="K59" s="434"/>
      <c r="L59" s="434"/>
      <c r="M59" s="435"/>
      <c r="N59" s="288"/>
      <c r="O59" s="286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289"/>
      <c r="D60" s="289"/>
      <c r="E60" s="289"/>
      <c r="F60" s="433"/>
      <c r="G60" s="434"/>
      <c r="H60" s="434"/>
      <c r="I60" s="434"/>
      <c r="J60" s="434"/>
      <c r="K60" s="434"/>
      <c r="L60" s="434"/>
      <c r="M60" s="435"/>
      <c r="N60" s="288"/>
      <c r="O60" s="286"/>
      <c r="P60" s="432"/>
      <c r="Q60" s="432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  <c r="AF60" s="84">
        <f>8*3000</f>
        <v>24000</v>
      </c>
    </row>
    <row r="61" spans="1:32" ht="27" customHeight="1" thickBot="1">
      <c r="A61" s="441"/>
      <c r="B61" s="442"/>
      <c r="C61" s="290"/>
      <c r="D61" s="291"/>
      <c r="E61" s="291"/>
      <c r="F61" s="443"/>
      <c r="G61" s="444"/>
      <c r="H61" s="444"/>
      <c r="I61" s="444"/>
      <c r="J61" s="444"/>
      <c r="K61" s="444"/>
      <c r="L61" s="444"/>
      <c r="M61" s="445"/>
      <c r="N61" s="112"/>
      <c r="O61" s="103"/>
      <c r="P61" s="446"/>
      <c r="Q61" s="446"/>
      <c r="R61" s="446"/>
      <c r="S61" s="446"/>
      <c r="T61" s="446"/>
      <c r="U61" s="446"/>
      <c r="V61" s="447"/>
      <c r="W61" s="447"/>
      <c r="X61" s="447"/>
      <c r="Y61" s="447"/>
      <c r="Z61" s="447"/>
      <c r="AA61" s="447"/>
      <c r="AB61" s="447"/>
      <c r="AC61" s="447"/>
      <c r="AD61" s="448"/>
      <c r="AF61" s="84">
        <f>16*3000</f>
        <v>48000</v>
      </c>
    </row>
    <row r="62" spans="1:32" ht="27.75" thickBot="1">
      <c r="A62" s="449" t="s">
        <v>521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0" t="s">
        <v>111</v>
      </c>
      <c r="B63" s="451"/>
      <c r="C63" s="287" t="s">
        <v>2</v>
      </c>
      <c r="D63" s="287" t="s">
        <v>37</v>
      </c>
      <c r="E63" s="287" t="s">
        <v>3</v>
      </c>
      <c r="F63" s="451" t="s">
        <v>109</v>
      </c>
      <c r="G63" s="451"/>
      <c r="H63" s="451"/>
      <c r="I63" s="451"/>
      <c r="J63" s="451"/>
      <c r="K63" s="451" t="s">
        <v>39</v>
      </c>
      <c r="L63" s="451"/>
      <c r="M63" s="287" t="s">
        <v>40</v>
      </c>
      <c r="N63" s="451" t="s">
        <v>41</v>
      </c>
      <c r="O63" s="451"/>
      <c r="P63" s="452" t="s">
        <v>42</v>
      </c>
      <c r="Q63" s="453"/>
      <c r="R63" s="452" t="s">
        <v>43</v>
      </c>
      <c r="S63" s="454"/>
      <c r="T63" s="454"/>
      <c r="U63" s="454"/>
      <c r="V63" s="454"/>
      <c r="W63" s="454"/>
      <c r="X63" s="454"/>
      <c r="Y63" s="454"/>
      <c r="Z63" s="454"/>
      <c r="AA63" s="453"/>
      <c r="AB63" s="451" t="s">
        <v>44</v>
      </c>
      <c r="AC63" s="451"/>
      <c r="AD63" s="455"/>
      <c r="AF63" s="84">
        <f>SUM(AF60:AF62)</f>
        <v>96000</v>
      </c>
    </row>
    <row r="64" spans="1:32" ht="25.5" customHeight="1">
      <c r="A64" s="456">
        <v>1</v>
      </c>
      <c r="B64" s="457"/>
      <c r="C64" s="105" t="s">
        <v>121</v>
      </c>
      <c r="D64" s="282"/>
      <c r="E64" s="285" t="s">
        <v>294</v>
      </c>
      <c r="F64" s="458" t="s">
        <v>522</v>
      </c>
      <c r="G64" s="459"/>
      <c r="H64" s="459"/>
      <c r="I64" s="459"/>
      <c r="J64" s="460"/>
      <c r="K64" s="461" t="s">
        <v>125</v>
      </c>
      <c r="L64" s="461"/>
      <c r="M64" s="51" t="s">
        <v>239</v>
      </c>
      <c r="N64" s="462" t="s">
        <v>190</v>
      </c>
      <c r="O64" s="462"/>
      <c r="P64" s="463">
        <v>100</v>
      </c>
      <c r="Q64" s="463"/>
      <c r="R64" s="439"/>
      <c r="S64" s="439"/>
      <c r="T64" s="439"/>
      <c r="U64" s="439"/>
      <c r="V64" s="439"/>
      <c r="W64" s="439"/>
      <c r="X64" s="439"/>
      <c r="Y64" s="439"/>
      <c r="Z64" s="439"/>
      <c r="AA64" s="439"/>
      <c r="AB64" s="464"/>
      <c r="AC64" s="465"/>
      <c r="AD64" s="466"/>
      <c r="AF64" s="50"/>
    </row>
    <row r="65" spans="1:32" ht="25.5" customHeight="1">
      <c r="A65" s="456">
        <v>2</v>
      </c>
      <c r="B65" s="457"/>
      <c r="C65" s="105" t="s">
        <v>121</v>
      </c>
      <c r="D65" s="282"/>
      <c r="E65" s="285" t="s">
        <v>161</v>
      </c>
      <c r="F65" s="458" t="s">
        <v>523</v>
      </c>
      <c r="G65" s="459"/>
      <c r="H65" s="459"/>
      <c r="I65" s="459"/>
      <c r="J65" s="460"/>
      <c r="K65" s="461" t="s">
        <v>125</v>
      </c>
      <c r="L65" s="461"/>
      <c r="M65" s="51" t="s">
        <v>239</v>
      </c>
      <c r="N65" s="462" t="s">
        <v>140</v>
      </c>
      <c r="O65" s="462"/>
      <c r="P65" s="463">
        <v>100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1"/>
      <c r="AC65" s="461"/>
      <c r="AD65" s="467"/>
      <c r="AF65" s="50"/>
    </row>
    <row r="66" spans="1:32" ht="25.5" customHeight="1">
      <c r="A66" s="456">
        <v>3</v>
      </c>
      <c r="B66" s="457"/>
      <c r="C66" s="105" t="s">
        <v>121</v>
      </c>
      <c r="D66" s="282"/>
      <c r="E66" s="285" t="s">
        <v>115</v>
      </c>
      <c r="F66" s="458" t="s">
        <v>524</v>
      </c>
      <c r="G66" s="459"/>
      <c r="H66" s="459"/>
      <c r="I66" s="459"/>
      <c r="J66" s="460"/>
      <c r="K66" s="461" t="s">
        <v>125</v>
      </c>
      <c r="L66" s="461"/>
      <c r="M66" s="51" t="s">
        <v>239</v>
      </c>
      <c r="N66" s="462" t="s">
        <v>140</v>
      </c>
      <c r="O66" s="462"/>
      <c r="P66" s="463">
        <v>100</v>
      </c>
      <c r="Q66" s="463"/>
      <c r="R66" s="439" t="s">
        <v>525</v>
      </c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4</v>
      </c>
      <c r="B67" s="457"/>
      <c r="C67" s="105"/>
      <c r="D67" s="282"/>
      <c r="E67" s="285"/>
      <c r="F67" s="458"/>
      <c r="G67" s="459"/>
      <c r="H67" s="459"/>
      <c r="I67" s="459"/>
      <c r="J67" s="460"/>
      <c r="K67" s="461"/>
      <c r="L67" s="461"/>
      <c r="M67" s="51"/>
      <c r="N67" s="462"/>
      <c r="O67" s="462"/>
      <c r="P67" s="463"/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5</v>
      </c>
      <c r="B68" s="457"/>
      <c r="C68" s="105"/>
      <c r="D68" s="282"/>
      <c r="E68" s="285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6</v>
      </c>
      <c r="B69" s="457"/>
      <c r="C69" s="105"/>
      <c r="D69" s="282"/>
      <c r="E69" s="285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7</v>
      </c>
      <c r="B70" s="457"/>
      <c r="C70" s="105"/>
      <c r="D70" s="282"/>
      <c r="E70" s="285"/>
      <c r="F70" s="468"/>
      <c r="G70" s="461"/>
      <c r="H70" s="461"/>
      <c r="I70" s="461"/>
      <c r="J70" s="461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8</v>
      </c>
      <c r="B71" s="457"/>
      <c r="C71" s="105"/>
      <c r="D71" s="282"/>
      <c r="E71" s="285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9</v>
      </c>
      <c r="B72" s="457"/>
      <c r="C72" s="105"/>
      <c r="D72" s="282"/>
      <c r="E72" s="285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10</v>
      </c>
      <c r="B73" s="457"/>
      <c r="C73" s="105"/>
      <c r="D73" s="282"/>
      <c r="E73" s="285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6.25" customHeight="1" thickBot="1">
      <c r="A74" s="469" t="s">
        <v>526</v>
      </c>
      <c r="B74" s="469"/>
      <c r="C74" s="469"/>
      <c r="D74" s="469"/>
      <c r="E74" s="46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0" t="s">
        <v>111</v>
      </c>
      <c r="B75" s="471"/>
      <c r="C75" s="284" t="s">
        <v>2</v>
      </c>
      <c r="D75" s="284" t="s">
        <v>37</v>
      </c>
      <c r="E75" s="284" t="s">
        <v>3</v>
      </c>
      <c r="F75" s="471" t="s">
        <v>38</v>
      </c>
      <c r="G75" s="471"/>
      <c r="H75" s="471"/>
      <c r="I75" s="471"/>
      <c r="J75" s="471"/>
      <c r="K75" s="472" t="s">
        <v>58</v>
      </c>
      <c r="L75" s="473"/>
      <c r="M75" s="473"/>
      <c r="N75" s="473"/>
      <c r="O75" s="473"/>
      <c r="P75" s="473"/>
      <c r="Q75" s="473"/>
      <c r="R75" s="473"/>
      <c r="S75" s="474"/>
      <c r="T75" s="471" t="s">
        <v>49</v>
      </c>
      <c r="U75" s="471"/>
      <c r="V75" s="472" t="s">
        <v>50</v>
      </c>
      <c r="W75" s="474"/>
      <c r="X75" s="473" t="s">
        <v>51</v>
      </c>
      <c r="Y75" s="473"/>
      <c r="Z75" s="473"/>
      <c r="AA75" s="473"/>
      <c r="AB75" s="473"/>
      <c r="AC75" s="473"/>
      <c r="AD75" s="475"/>
      <c r="AF75" s="50"/>
    </row>
    <row r="76" spans="1:32" ht="33.75" customHeight="1">
      <c r="A76" s="484">
        <v>1</v>
      </c>
      <c r="B76" s="485"/>
      <c r="C76" s="283" t="s">
        <v>112</v>
      </c>
      <c r="D76" s="283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76">
        <f>A76+1</f>
        <v>2</v>
      </c>
      <c r="B77" s="477"/>
      <c r="C77" s="282"/>
      <c r="D77" s="282"/>
      <c r="E77" s="32"/>
      <c r="F77" s="477"/>
      <c r="G77" s="477"/>
      <c r="H77" s="477"/>
      <c r="I77" s="477"/>
      <c r="J77" s="477"/>
      <c r="K77" s="478"/>
      <c r="L77" s="479"/>
      <c r="M77" s="479"/>
      <c r="N77" s="479"/>
      <c r="O77" s="479"/>
      <c r="P77" s="479"/>
      <c r="Q77" s="479"/>
      <c r="R77" s="479"/>
      <c r="S77" s="480"/>
      <c r="T77" s="481"/>
      <c r="U77" s="481"/>
      <c r="V77" s="481"/>
      <c r="W77" s="481"/>
      <c r="X77" s="482"/>
      <c r="Y77" s="482"/>
      <c r="Z77" s="482"/>
      <c r="AA77" s="482"/>
      <c r="AB77" s="482"/>
      <c r="AC77" s="482"/>
      <c r="AD77" s="483"/>
      <c r="AF77" s="50"/>
    </row>
    <row r="78" spans="1:32" ht="30" customHeight="1">
      <c r="A78" s="476">
        <f t="shared" ref="A78:A82" si="14">A77+1</f>
        <v>3</v>
      </c>
      <c r="B78" s="477"/>
      <c r="C78" s="282"/>
      <c r="D78" s="282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si="14"/>
        <v>4</v>
      </c>
      <c r="B79" s="477"/>
      <c r="C79" s="282"/>
      <c r="D79" s="282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14"/>
        <v>5</v>
      </c>
      <c r="B80" s="477"/>
      <c r="C80" s="282"/>
      <c r="D80" s="282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14"/>
        <v>6</v>
      </c>
      <c r="B81" s="477"/>
      <c r="C81" s="282"/>
      <c r="D81" s="282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14"/>
        <v>7</v>
      </c>
      <c r="B82" s="477"/>
      <c r="C82" s="282"/>
      <c r="D82" s="282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6" thickBot="1">
      <c r="A83" s="469" t="s">
        <v>527</v>
      </c>
      <c r="B83" s="469"/>
      <c r="C83" s="469"/>
      <c r="D83" s="469"/>
      <c r="E83" s="46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0" t="s">
        <v>111</v>
      </c>
      <c r="B84" s="471"/>
      <c r="C84" s="497" t="s">
        <v>52</v>
      </c>
      <c r="D84" s="497"/>
      <c r="E84" s="497" t="s">
        <v>53</v>
      </c>
      <c r="F84" s="497"/>
      <c r="G84" s="497"/>
      <c r="H84" s="497"/>
      <c r="I84" s="497"/>
      <c r="J84" s="497"/>
      <c r="K84" s="497" t="s">
        <v>54</v>
      </c>
      <c r="L84" s="497"/>
      <c r="M84" s="497"/>
      <c r="N84" s="497"/>
      <c r="O84" s="497"/>
      <c r="P84" s="497"/>
      <c r="Q84" s="497"/>
      <c r="R84" s="497"/>
      <c r="S84" s="497"/>
      <c r="T84" s="497" t="s">
        <v>55</v>
      </c>
      <c r="U84" s="497"/>
      <c r="V84" s="497" t="s">
        <v>56</v>
      </c>
      <c r="W84" s="497"/>
      <c r="X84" s="497"/>
      <c r="Y84" s="497" t="s">
        <v>51</v>
      </c>
      <c r="Z84" s="497"/>
      <c r="AA84" s="497"/>
      <c r="AB84" s="497"/>
      <c r="AC84" s="497"/>
      <c r="AD84" s="498"/>
      <c r="AF84" s="50"/>
    </row>
    <row r="85" spans="1:32" ht="30.75" customHeight="1">
      <c r="A85" s="484">
        <v>1</v>
      </c>
      <c r="B85" s="485"/>
      <c r="C85" s="499"/>
      <c r="D85" s="499"/>
      <c r="E85" s="499"/>
      <c r="F85" s="499"/>
      <c r="G85" s="499"/>
      <c r="H85" s="499"/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500"/>
      <c r="W85" s="500"/>
      <c r="X85" s="500"/>
      <c r="Y85" s="501"/>
      <c r="Z85" s="501"/>
      <c r="AA85" s="501"/>
      <c r="AB85" s="501"/>
      <c r="AC85" s="501"/>
      <c r="AD85" s="502"/>
      <c r="AF85" s="50"/>
    </row>
    <row r="86" spans="1:32" ht="30.75" customHeight="1">
      <c r="A86" s="476">
        <v>2</v>
      </c>
      <c r="B86" s="477"/>
      <c r="C86" s="510"/>
      <c r="D86" s="510"/>
      <c r="E86" s="510"/>
      <c r="F86" s="510"/>
      <c r="G86" s="510"/>
      <c r="H86" s="510"/>
      <c r="I86" s="510"/>
      <c r="J86" s="510"/>
      <c r="K86" s="510"/>
      <c r="L86" s="510"/>
      <c r="M86" s="510"/>
      <c r="N86" s="510"/>
      <c r="O86" s="510"/>
      <c r="P86" s="510"/>
      <c r="Q86" s="510"/>
      <c r="R86" s="510"/>
      <c r="S86" s="510"/>
      <c r="T86" s="511"/>
      <c r="U86" s="511"/>
      <c r="V86" s="512"/>
      <c r="W86" s="512"/>
      <c r="X86" s="512"/>
      <c r="Y86" s="503"/>
      <c r="Z86" s="503"/>
      <c r="AA86" s="503"/>
      <c r="AB86" s="503"/>
      <c r="AC86" s="503"/>
      <c r="AD86" s="504"/>
      <c r="AF86" s="50"/>
    </row>
    <row r="87" spans="1:32" ht="30.75" customHeight="1" thickBot="1">
      <c r="A87" s="505">
        <v>3</v>
      </c>
      <c r="B87" s="506"/>
      <c r="C87" s="507"/>
      <c r="D87" s="507"/>
      <c r="E87" s="507"/>
      <c r="F87" s="507"/>
      <c r="G87" s="507"/>
      <c r="H87" s="507"/>
      <c r="I87" s="507"/>
      <c r="J87" s="507"/>
      <c r="K87" s="507"/>
      <c r="L87" s="507"/>
      <c r="M87" s="507"/>
      <c r="N87" s="507"/>
      <c r="O87" s="507"/>
      <c r="P87" s="507"/>
      <c r="Q87" s="507"/>
      <c r="R87" s="507"/>
      <c r="S87" s="507"/>
      <c r="T87" s="507"/>
      <c r="U87" s="507"/>
      <c r="V87" s="507"/>
      <c r="W87" s="507"/>
      <c r="X87" s="507"/>
      <c r="Y87" s="508"/>
      <c r="Z87" s="508"/>
      <c r="AA87" s="508"/>
      <c r="AB87" s="508"/>
      <c r="AC87" s="508"/>
      <c r="AD87" s="509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6C3D-7268-45E4-B123-76392FF27BF0}">
  <dimension ref="A1:AF88"/>
  <sheetViews>
    <sheetView view="pageBreakPreview" topLeftCell="A7" zoomScale="70" zoomScaleNormal="72" zoomScaleSheetLayoutView="70" workbookViewId="0">
      <selection activeCell="AE9" sqref="AE9:AE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528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294" t="s">
        <v>17</v>
      </c>
      <c r="L5" s="294" t="s">
        <v>18</v>
      </c>
      <c r="M5" s="294" t="s">
        <v>19</v>
      </c>
      <c r="N5" s="29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135</v>
      </c>
      <c r="E6" s="53" t="s">
        <v>434</v>
      </c>
      <c r="F6" s="30" t="s">
        <v>131</v>
      </c>
      <c r="G6" s="12">
        <v>1</v>
      </c>
      <c r="H6" s="13">
        <v>24</v>
      </c>
      <c r="I6" s="31">
        <v>600</v>
      </c>
      <c r="J6" s="5">
        <v>733</v>
      </c>
      <c r="K6" s="15">
        <f>L6+733</f>
        <v>733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>$AD$23</f>
        <v>0.37990196078431376</v>
      </c>
      <c r="AF6" s="84">
        <f t="shared" ref="AF6:AF22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502</v>
      </c>
      <c r="F7" s="12" t="s">
        <v>509</v>
      </c>
      <c r="G7" s="12">
        <v>1</v>
      </c>
      <c r="H7" s="13">
        <v>24</v>
      </c>
      <c r="I7" s="31">
        <v>4000</v>
      </c>
      <c r="J7" s="14">
        <v>3227</v>
      </c>
      <c r="K7" s="15">
        <f>L7+5261</f>
        <v>8488</v>
      </c>
      <c r="L7" s="15">
        <f>2684+543</f>
        <v>3227</v>
      </c>
      <c r="M7" s="15">
        <f t="shared" si="0"/>
        <v>3227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>
        <v>10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6">
        <f>$AD$23</f>
        <v>0.37990196078431376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492</v>
      </c>
      <c r="F8" s="30" t="s">
        <v>132</v>
      </c>
      <c r="G8" s="33">
        <v>1</v>
      </c>
      <c r="H8" s="35">
        <v>24</v>
      </c>
      <c r="I8" s="7">
        <v>10000</v>
      </c>
      <c r="J8" s="14">
        <v>3035</v>
      </c>
      <c r="K8" s="15">
        <f>L8+4254+1756</f>
        <v>9045</v>
      </c>
      <c r="L8" s="15">
        <f>1169+1866</f>
        <v>3035</v>
      </c>
      <c r="M8" s="15">
        <f t="shared" si="0"/>
        <v>3035</v>
      </c>
      <c r="N8" s="15">
        <v>0</v>
      </c>
      <c r="O8" s="58">
        <f t="shared" si="1"/>
        <v>0</v>
      </c>
      <c r="P8" s="39">
        <f t="shared" si="2"/>
        <v>18</v>
      </c>
      <c r="Q8" s="40">
        <f t="shared" si="3"/>
        <v>6</v>
      </c>
      <c r="R8" s="7"/>
      <c r="S8" s="6">
        <v>6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0.75</v>
      </c>
      <c r="AD8" s="10">
        <f t="shared" si="6"/>
        <v>0.75</v>
      </c>
      <c r="AE8" s="36">
        <f>$AD$23</f>
        <v>0.37990196078431376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161</v>
      </c>
      <c r="E9" s="53" t="s">
        <v>510</v>
      </c>
      <c r="F9" s="30" t="s">
        <v>139</v>
      </c>
      <c r="G9" s="33">
        <v>1</v>
      </c>
      <c r="H9" s="35">
        <v>24</v>
      </c>
      <c r="I9" s="7">
        <v>2100</v>
      </c>
      <c r="J9" s="14">
        <v>2158</v>
      </c>
      <c r="K9" s="15">
        <f>L9+2158</f>
        <v>2158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>$AD$23</f>
        <v>0.37990196078431376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476</v>
      </c>
      <c r="E10" s="53" t="s">
        <v>477</v>
      </c>
      <c r="F10" s="30" t="s">
        <v>478</v>
      </c>
      <c r="G10" s="33">
        <v>2</v>
      </c>
      <c r="H10" s="35">
        <v>24</v>
      </c>
      <c r="I10" s="7">
        <v>10000</v>
      </c>
      <c r="J10" s="5">
        <v>8688</v>
      </c>
      <c r="K10" s="15">
        <f>L10+4950+7828+8384</f>
        <v>29850</v>
      </c>
      <c r="L10" s="15">
        <f>2282*2+2062*2</f>
        <v>8688</v>
      </c>
      <c r="M10" s="15">
        <f t="shared" si="0"/>
        <v>8688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ref="AE10:AE13" si="8">$AD$23</f>
        <v>0.37990196078431376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511</v>
      </c>
      <c r="E11" s="53" t="s">
        <v>512</v>
      </c>
      <c r="F11" s="30" t="s">
        <v>513</v>
      </c>
      <c r="G11" s="33">
        <v>1</v>
      </c>
      <c r="H11" s="35">
        <v>24</v>
      </c>
      <c r="I11" s="7">
        <v>100000</v>
      </c>
      <c r="J11" s="14">
        <v>23772</v>
      </c>
      <c r="K11" s="15">
        <f>L11</f>
        <v>23772</v>
      </c>
      <c r="L11" s="15">
        <f>3286*6+676*6</f>
        <v>23772</v>
      </c>
      <c r="M11" s="15">
        <f t="shared" si="0"/>
        <v>23772</v>
      </c>
      <c r="N11" s="15">
        <v>0</v>
      </c>
      <c r="O11" s="58">
        <f t="shared" si="1"/>
        <v>0</v>
      </c>
      <c r="P11" s="39">
        <f t="shared" si="2"/>
        <v>16</v>
      </c>
      <c r="Q11" s="40">
        <f t="shared" si="3"/>
        <v>8</v>
      </c>
      <c r="R11" s="7"/>
      <c r="S11" s="6">
        <v>8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0.66666666666666663</v>
      </c>
      <c r="AD11" s="10">
        <f t="shared" ref="AD11:AD15" si="9">AC11*AB11*(1-O11)</f>
        <v>0.66666666666666663</v>
      </c>
      <c r="AE11" s="36">
        <f t="shared" si="8"/>
        <v>0.37990196078431376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115</v>
      </c>
      <c r="E12" s="53" t="s">
        <v>166</v>
      </c>
      <c r="F12" s="30" t="s">
        <v>119</v>
      </c>
      <c r="G12" s="33">
        <v>1</v>
      </c>
      <c r="H12" s="35">
        <v>24</v>
      </c>
      <c r="I12" s="7">
        <v>10000</v>
      </c>
      <c r="J12" s="14">
        <v>2147</v>
      </c>
      <c r="K12" s="15">
        <f>L12</f>
        <v>2147</v>
      </c>
      <c r="L12" s="15">
        <f>2147</f>
        <v>2147</v>
      </c>
      <c r="M12" s="15">
        <f t="shared" si="0"/>
        <v>2147</v>
      </c>
      <c r="N12" s="15">
        <v>0</v>
      </c>
      <c r="O12" s="58">
        <f t="shared" si="1"/>
        <v>0</v>
      </c>
      <c r="P12" s="39">
        <f t="shared" si="2"/>
        <v>12</v>
      </c>
      <c r="Q12" s="40">
        <f t="shared" si="3"/>
        <v>12</v>
      </c>
      <c r="R12" s="7"/>
      <c r="S12" s="6">
        <v>12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</v>
      </c>
      <c r="AD12" s="10">
        <f t="shared" si="9"/>
        <v>0.5</v>
      </c>
      <c r="AE12" s="36">
        <f t="shared" si="8"/>
        <v>0.37990196078431376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123</v>
      </c>
      <c r="D13" s="52"/>
      <c r="E13" s="53" t="s">
        <v>481</v>
      </c>
      <c r="F13" s="30" t="s">
        <v>514</v>
      </c>
      <c r="G13" s="33">
        <v>1</v>
      </c>
      <c r="H13" s="35">
        <v>24</v>
      </c>
      <c r="I13" s="7">
        <v>2300</v>
      </c>
      <c r="J13" s="5">
        <v>1757</v>
      </c>
      <c r="K13" s="15">
        <f>L13+4275</f>
        <v>6032</v>
      </c>
      <c r="L13" s="15">
        <v>1757</v>
      </c>
      <c r="M13" s="15">
        <f t="shared" si="0"/>
        <v>1757</v>
      </c>
      <c r="N13" s="15">
        <v>0</v>
      </c>
      <c r="O13" s="58">
        <f t="shared" si="1"/>
        <v>0</v>
      </c>
      <c r="P13" s="39">
        <f t="shared" si="2"/>
        <v>8</v>
      </c>
      <c r="Q13" s="40">
        <f t="shared" si="3"/>
        <v>16</v>
      </c>
      <c r="R13" s="7"/>
      <c r="S13" s="6"/>
      <c r="T13" s="16"/>
      <c r="U13" s="16"/>
      <c r="V13" s="17"/>
      <c r="W13" s="5">
        <v>16</v>
      </c>
      <c r="X13" s="16"/>
      <c r="Y13" s="16"/>
      <c r="Z13" s="16"/>
      <c r="AA13" s="18"/>
      <c r="AB13" s="8">
        <f t="shared" si="4"/>
        <v>1</v>
      </c>
      <c r="AC13" s="9">
        <f t="shared" si="5"/>
        <v>0.33333333333333331</v>
      </c>
      <c r="AD13" s="10">
        <f>AC13*AB13*(1-O13)</f>
        <v>0.33333333333333331</v>
      </c>
      <c r="AE13" s="36">
        <f t="shared" si="8"/>
        <v>0.37990196078431376</v>
      </c>
      <c r="AF13" s="84">
        <f t="shared" si="7"/>
        <v>8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143</v>
      </c>
      <c r="F14" s="30" t="s">
        <v>125</v>
      </c>
      <c r="G14" s="33">
        <v>1</v>
      </c>
      <c r="H14" s="35">
        <v>24</v>
      </c>
      <c r="I14" s="7">
        <v>50000</v>
      </c>
      <c r="J14" s="5">
        <v>9354</v>
      </c>
      <c r="K14" s="15">
        <f>L14</f>
        <v>9354</v>
      </c>
      <c r="L14" s="15">
        <f>2670*3+448*3</f>
        <v>9354</v>
      </c>
      <c r="M14" s="15">
        <f t="shared" si="0"/>
        <v>9354</v>
      </c>
      <c r="N14" s="15">
        <v>0</v>
      </c>
      <c r="O14" s="58">
        <f t="shared" si="1"/>
        <v>0</v>
      </c>
      <c r="P14" s="39">
        <f t="shared" si="2"/>
        <v>15</v>
      </c>
      <c r="Q14" s="40">
        <f t="shared" si="3"/>
        <v>9</v>
      </c>
      <c r="R14" s="7"/>
      <c r="S14" s="6"/>
      <c r="T14" s="16">
        <v>9</v>
      </c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0.625</v>
      </c>
      <c r="AD14" s="10">
        <f>AC14*AB14*(1-O14)</f>
        <v>0.625</v>
      </c>
      <c r="AE14" s="36">
        <f t="shared" ref="AE14:AE22" si="10">$AD$23</f>
        <v>0.37990196078431376</v>
      </c>
      <c r="AF14" s="84">
        <f t="shared" si="7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174</v>
      </c>
      <c r="F15" s="30" t="s">
        <v>177</v>
      </c>
      <c r="G15" s="33">
        <v>1</v>
      </c>
      <c r="H15" s="35">
        <v>24</v>
      </c>
      <c r="I15" s="7">
        <v>300</v>
      </c>
      <c r="J15" s="5">
        <v>376</v>
      </c>
      <c r="K15" s="15">
        <f>L15+376</f>
        <v>376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10"/>
        <v>0.37990196078431376</v>
      </c>
      <c r="AF15" s="84">
        <f t="shared" si="7"/>
        <v>9</v>
      </c>
    </row>
    <row r="16" spans="1:32" ht="27" customHeight="1">
      <c r="A16" s="95">
        <v>10</v>
      </c>
      <c r="B16" s="11" t="s">
        <v>57</v>
      </c>
      <c r="C16" s="34" t="s">
        <v>123</v>
      </c>
      <c r="D16" s="52"/>
      <c r="E16" s="53" t="s">
        <v>494</v>
      </c>
      <c r="F16" s="12" t="s">
        <v>152</v>
      </c>
      <c r="G16" s="12">
        <v>1</v>
      </c>
      <c r="H16" s="13">
        <v>24</v>
      </c>
      <c r="I16" s="31">
        <v>2300</v>
      </c>
      <c r="J16" s="14">
        <v>4412</v>
      </c>
      <c r="K16" s="15">
        <f>L16+4412</f>
        <v>4412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10"/>
        <v>0.37990196078431376</v>
      </c>
      <c r="AF16" s="84">
        <f t="shared" si="7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207</v>
      </c>
      <c r="E17" s="53" t="s">
        <v>204</v>
      </c>
      <c r="F17" s="30" t="s">
        <v>138</v>
      </c>
      <c r="G17" s="12">
        <v>2</v>
      </c>
      <c r="H17" s="13">
        <v>24</v>
      </c>
      <c r="I17" s="7">
        <v>300000</v>
      </c>
      <c r="J17" s="14">
        <v>1640</v>
      </c>
      <c r="K17" s="15">
        <f>L17+6564+12528+9524+11762+12146+1640</f>
        <v>54164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10"/>
        <v>0.37990196078431376</v>
      </c>
      <c r="AF17" s="84">
        <f t="shared" si="7"/>
        <v>11</v>
      </c>
    </row>
    <row r="18" spans="1:32" ht="30" customHeight="1">
      <c r="A18" s="95">
        <v>12</v>
      </c>
      <c r="B18" s="11" t="s">
        <v>57</v>
      </c>
      <c r="C18" s="34" t="s">
        <v>121</v>
      </c>
      <c r="D18" s="52" t="s">
        <v>126</v>
      </c>
      <c r="E18" s="53" t="s">
        <v>324</v>
      </c>
      <c r="F18" s="30" t="s">
        <v>325</v>
      </c>
      <c r="G18" s="12">
        <v>4</v>
      </c>
      <c r="H18" s="13">
        <v>24</v>
      </c>
      <c r="I18" s="7">
        <v>10000</v>
      </c>
      <c r="J18" s="14">
        <v>3136</v>
      </c>
      <c r="K18" s="15">
        <f>L18+5108+3136</f>
        <v>8244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10"/>
        <v>0.37990196078431376</v>
      </c>
      <c r="AF18" s="84">
        <f t="shared" si="7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211</v>
      </c>
      <c r="F19" s="30" t="s">
        <v>139</v>
      </c>
      <c r="G19" s="33">
        <v>1</v>
      </c>
      <c r="H19" s="35">
        <v>24</v>
      </c>
      <c r="I19" s="7">
        <v>10000</v>
      </c>
      <c r="J19" s="14">
        <v>3143</v>
      </c>
      <c r="K19" s="15">
        <f>L19</f>
        <v>3143</v>
      </c>
      <c r="L19" s="15">
        <f>375+2768</f>
        <v>3143</v>
      </c>
      <c r="M19" s="15">
        <f t="shared" si="0"/>
        <v>3143</v>
      </c>
      <c r="N19" s="15">
        <v>0</v>
      </c>
      <c r="O19" s="58">
        <f t="shared" si="1"/>
        <v>0</v>
      </c>
      <c r="P19" s="39">
        <f t="shared" si="2"/>
        <v>14</v>
      </c>
      <c r="Q19" s="40">
        <f t="shared" si="3"/>
        <v>10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10</v>
      </c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6">
        <f t="shared" si="10"/>
        <v>0.37990196078431376</v>
      </c>
      <c r="AF19" s="84">
        <f t="shared" si="7"/>
        <v>13</v>
      </c>
    </row>
    <row r="20" spans="1:32" ht="27" customHeight="1">
      <c r="A20" s="96">
        <v>14</v>
      </c>
      <c r="B20" s="11" t="s">
        <v>57</v>
      </c>
      <c r="C20" s="34" t="s">
        <v>340</v>
      </c>
      <c r="D20" s="52"/>
      <c r="E20" s="53" t="s">
        <v>519</v>
      </c>
      <c r="F20" s="30" t="s">
        <v>139</v>
      </c>
      <c r="G20" s="33" t="s">
        <v>157</v>
      </c>
      <c r="H20" s="35">
        <v>24</v>
      </c>
      <c r="I20" s="7">
        <v>3000</v>
      </c>
      <c r="J20" s="5">
        <v>5589</v>
      </c>
      <c r="K20" s="15">
        <f>L20</f>
        <v>5589</v>
      </c>
      <c r="L20" s="15">
        <f>2475+3114</f>
        <v>5589</v>
      </c>
      <c r="M20" s="15">
        <f t="shared" si="0"/>
        <v>5589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>AC20*AB20*(1-O20)</f>
        <v>1</v>
      </c>
      <c r="AE20" s="36">
        <f t="shared" si="10"/>
        <v>0.37990196078431376</v>
      </c>
      <c r="AF20" s="84">
        <f t="shared" si="7"/>
        <v>14</v>
      </c>
    </row>
    <row r="21" spans="1:32" ht="27" customHeight="1">
      <c r="A21" s="113">
        <v>15</v>
      </c>
      <c r="B21" s="11" t="s">
        <v>57</v>
      </c>
      <c r="C21" s="34" t="s">
        <v>112</v>
      </c>
      <c r="D21" s="52" t="s">
        <v>115</v>
      </c>
      <c r="E21" s="53" t="s">
        <v>435</v>
      </c>
      <c r="F21" s="30" t="s">
        <v>139</v>
      </c>
      <c r="G21" s="12">
        <v>1</v>
      </c>
      <c r="H21" s="13">
        <v>28</v>
      </c>
      <c r="I21" s="31">
        <v>300</v>
      </c>
      <c r="J21" s="5">
        <v>343</v>
      </c>
      <c r="K21" s="15">
        <f>L21+343</f>
        <v>343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ref="AD21" si="11">AC21*AB21*(1-O21)</f>
        <v>0</v>
      </c>
      <c r="AE21" s="36">
        <f t="shared" si="10"/>
        <v>0.37990196078431376</v>
      </c>
      <c r="AF21" s="84">
        <f t="shared" si="7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454</v>
      </c>
      <c r="F22" s="12" t="s">
        <v>114</v>
      </c>
      <c r="G22" s="12">
        <v>4</v>
      </c>
      <c r="H22" s="35">
        <v>20</v>
      </c>
      <c r="I22" s="7">
        <v>300000</v>
      </c>
      <c r="J22" s="14">
        <v>20000</v>
      </c>
      <c r="K22" s="15">
        <f>L22+26152+22788+52844</f>
        <v>121784</v>
      </c>
      <c r="L22" s="15">
        <f>5000*4</f>
        <v>20000</v>
      </c>
      <c r="M22" s="15">
        <f t="shared" si="0"/>
        <v>20000</v>
      </c>
      <c r="N22" s="15">
        <v>0</v>
      </c>
      <c r="O22" s="58">
        <f t="shared" si="1"/>
        <v>0</v>
      </c>
      <c r="P22" s="39">
        <f t="shared" si="2"/>
        <v>10</v>
      </c>
      <c r="Q22" s="40">
        <f t="shared" si="3"/>
        <v>14</v>
      </c>
      <c r="R22" s="7"/>
      <c r="S22" s="6"/>
      <c r="T22" s="16"/>
      <c r="U22" s="16"/>
      <c r="V22" s="17">
        <v>14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0.41666666666666669</v>
      </c>
      <c r="AD22" s="10">
        <f t="shared" si="6"/>
        <v>0.41666666666666669</v>
      </c>
      <c r="AE22" s="36">
        <f t="shared" si="10"/>
        <v>0.37990196078431376</v>
      </c>
      <c r="AF22" s="84">
        <f t="shared" si="7"/>
        <v>16</v>
      </c>
    </row>
    <row r="23" spans="1:32" ht="31.5" customHeight="1" thickBot="1">
      <c r="A23" s="405" t="s">
        <v>34</v>
      </c>
      <c r="B23" s="406"/>
      <c r="C23" s="406"/>
      <c r="D23" s="406"/>
      <c r="E23" s="406"/>
      <c r="F23" s="406"/>
      <c r="G23" s="406"/>
      <c r="H23" s="407"/>
      <c r="I23" s="22">
        <f t="shared" ref="I23:N23" si="12">SUM(I6:I22)</f>
        <v>814900</v>
      </c>
      <c r="J23" s="19">
        <f t="shared" si="12"/>
        <v>93510</v>
      </c>
      <c r="K23" s="20">
        <f t="shared" si="12"/>
        <v>289634</v>
      </c>
      <c r="L23" s="21">
        <f t="shared" si="12"/>
        <v>80712</v>
      </c>
      <c r="M23" s="20">
        <f t="shared" si="12"/>
        <v>80712</v>
      </c>
      <c r="N23" s="21">
        <f t="shared" si="12"/>
        <v>0</v>
      </c>
      <c r="O23" s="41">
        <f t="shared" si="1"/>
        <v>0</v>
      </c>
      <c r="P23" s="42">
        <f t="shared" ref="P23:AA23" si="13">SUM(P6:P22)</f>
        <v>155</v>
      </c>
      <c r="Q23" s="43">
        <f t="shared" si="13"/>
        <v>253</v>
      </c>
      <c r="R23" s="23">
        <f t="shared" si="13"/>
        <v>24</v>
      </c>
      <c r="S23" s="24">
        <f t="shared" si="13"/>
        <v>36</v>
      </c>
      <c r="T23" s="24">
        <f t="shared" si="13"/>
        <v>9</v>
      </c>
      <c r="U23" s="24">
        <f t="shared" si="13"/>
        <v>0</v>
      </c>
      <c r="V23" s="25">
        <f t="shared" si="13"/>
        <v>14</v>
      </c>
      <c r="W23" s="26">
        <f t="shared" si="13"/>
        <v>136</v>
      </c>
      <c r="X23" s="27">
        <f t="shared" si="13"/>
        <v>0</v>
      </c>
      <c r="Y23" s="27">
        <f t="shared" si="13"/>
        <v>0</v>
      </c>
      <c r="Z23" s="27">
        <f t="shared" si="13"/>
        <v>0</v>
      </c>
      <c r="AA23" s="27">
        <f t="shared" si="13"/>
        <v>34</v>
      </c>
      <c r="AB23" s="28">
        <f>AVERAGE(AB6:AB22)</f>
        <v>0.58823529411764708</v>
      </c>
      <c r="AC23" s="4">
        <f>AVERAGE(AC6:AC22)</f>
        <v>0.37990196078431376</v>
      </c>
      <c r="AD23" s="4">
        <f>AVERAGE(AD6:AD22)</f>
        <v>0.37990196078431376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08" t="s">
        <v>45</v>
      </c>
      <c r="B50" s="408"/>
      <c r="C50" s="408"/>
      <c r="D50" s="408"/>
      <c r="E50" s="40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09" t="s">
        <v>529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1"/>
      <c r="N51" s="412" t="s">
        <v>534</v>
      </c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4"/>
    </row>
    <row r="52" spans="1:32" ht="27" customHeight="1">
      <c r="A52" s="415" t="s">
        <v>2</v>
      </c>
      <c r="B52" s="416"/>
      <c r="C52" s="295" t="s">
        <v>46</v>
      </c>
      <c r="D52" s="295" t="s">
        <v>47</v>
      </c>
      <c r="E52" s="295" t="s">
        <v>107</v>
      </c>
      <c r="F52" s="417" t="s">
        <v>106</v>
      </c>
      <c r="G52" s="418"/>
      <c r="H52" s="418"/>
      <c r="I52" s="418"/>
      <c r="J52" s="418"/>
      <c r="K52" s="418"/>
      <c r="L52" s="418"/>
      <c r="M52" s="419"/>
      <c r="N52" s="67" t="s">
        <v>110</v>
      </c>
      <c r="O52" s="295" t="s">
        <v>46</v>
      </c>
      <c r="P52" s="417" t="s">
        <v>47</v>
      </c>
      <c r="Q52" s="420"/>
      <c r="R52" s="417" t="s">
        <v>38</v>
      </c>
      <c r="S52" s="418"/>
      <c r="T52" s="418"/>
      <c r="U52" s="420"/>
      <c r="V52" s="417" t="s">
        <v>48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31" t="s">
        <v>120</v>
      </c>
      <c r="B53" s="432"/>
      <c r="C53" s="297" t="s">
        <v>217</v>
      </c>
      <c r="D53" s="297" t="s">
        <v>294</v>
      </c>
      <c r="E53" s="297" t="s">
        <v>492</v>
      </c>
      <c r="F53" s="433" t="s">
        <v>133</v>
      </c>
      <c r="G53" s="434"/>
      <c r="H53" s="434"/>
      <c r="I53" s="434"/>
      <c r="J53" s="434"/>
      <c r="K53" s="434"/>
      <c r="L53" s="434"/>
      <c r="M53" s="435"/>
      <c r="N53" s="296" t="s">
        <v>120</v>
      </c>
      <c r="O53" s="302" t="s">
        <v>142</v>
      </c>
      <c r="P53" s="436" t="s">
        <v>511</v>
      </c>
      <c r="Q53" s="437"/>
      <c r="R53" s="436" t="s">
        <v>535</v>
      </c>
      <c r="S53" s="438"/>
      <c r="T53" s="438"/>
      <c r="U53" s="437"/>
      <c r="V53" s="439" t="s">
        <v>118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121</v>
      </c>
      <c r="B54" s="432"/>
      <c r="C54" s="297" t="s">
        <v>189</v>
      </c>
      <c r="D54" s="297" t="s">
        <v>115</v>
      </c>
      <c r="E54" s="297" t="s">
        <v>143</v>
      </c>
      <c r="F54" s="433" t="s">
        <v>118</v>
      </c>
      <c r="G54" s="434"/>
      <c r="H54" s="434"/>
      <c r="I54" s="434"/>
      <c r="J54" s="434"/>
      <c r="K54" s="434"/>
      <c r="L54" s="434"/>
      <c r="M54" s="435"/>
      <c r="N54" s="296" t="s">
        <v>120</v>
      </c>
      <c r="O54" s="302" t="s">
        <v>254</v>
      </c>
      <c r="P54" s="436" t="s">
        <v>135</v>
      </c>
      <c r="Q54" s="437"/>
      <c r="R54" s="436" t="s">
        <v>502</v>
      </c>
      <c r="S54" s="438"/>
      <c r="T54" s="438"/>
      <c r="U54" s="437"/>
      <c r="V54" s="439" t="s">
        <v>536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120</v>
      </c>
      <c r="B55" s="432"/>
      <c r="C55" s="297" t="s">
        <v>127</v>
      </c>
      <c r="D55" s="297" t="s">
        <v>135</v>
      </c>
      <c r="E55" s="297" t="s">
        <v>502</v>
      </c>
      <c r="F55" s="433" t="s">
        <v>530</v>
      </c>
      <c r="G55" s="434"/>
      <c r="H55" s="434"/>
      <c r="I55" s="434"/>
      <c r="J55" s="434"/>
      <c r="K55" s="434"/>
      <c r="L55" s="434"/>
      <c r="M55" s="435"/>
      <c r="N55" s="296"/>
      <c r="O55" s="302"/>
      <c r="P55" s="436"/>
      <c r="Q55" s="437"/>
      <c r="R55" s="436"/>
      <c r="S55" s="438"/>
      <c r="T55" s="438"/>
      <c r="U55" s="437"/>
      <c r="V55" s="439"/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120</v>
      </c>
      <c r="B56" s="432"/>
      <c r="C56" s="297" t="s">
        <v>140</v>
      </c>
      <c r="D56" s="297" t="s">
        <v>115</v>
      </c>
      <c r="E56" s="297" t="s">
        <v>531</v>
      </c>
      <c r="F56" s="433" t="s">
        <v>532</v>
      </c>
      <c r="G56" s="434"/>
      <c r="H56" s="434"/>
      <c r="I56" s="434"/>
      <c r="J56" s="434"/>
      <c r="K56" s="434"/>
      <c r="L56" s="434"/>
      <c r="M56" s="435"/>
      <c r="N56" s="296"/>
      <c r="O56" s="302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340</v>
      </c>
      <c r="B57" s="432"/>
      <c r="C57" s="297" t="s">
        <v>187</v>
      </c>
      <c r="D57" s="297"/>
      <c r="E57" s="297" t="s">
        <v>533</v>
      </c>
      <c r="F57" s="433" t="s">
        <v>118</v>
      </c>
      <c r="G57" s="434"/>
      <c r="H57" s="434"/>
      <c r="I57" s="434"/>
      <c r="J57" s="434"/>
      <c r="K57" s="434"/>
      <c r="L57" s="434"/>
      <c r="M57" s="435"/>
      <c r="N57" s="296"/>
      <c r="O57" s="302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/>
      <c r="B58" s="432"/>
      <c r="C58" s="297"/>
      <c r="D58" s="297"/>
      <c r="E58" s="297"/>
      <c r="F58" s="433"/>
      <c r="G58" s="434"/>
      <c r="H58" s="434"/>
      <c r="I58" s="434"/>
      <c r="J58" s="434"/>
      <c r="K58" s="434"/>
      <c r="L58" s="434"/>
      <c r="M58" s="435"/>
      <c r="N58" s="296"/>
      <c r="O58" s="302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297"/>
      <c r="D59" s="297"/>
      <c r="E59" s="297"/>
      <c r="F59" s="433"/>
      <c r="G59" s="434"/>
      <c r="H59" s="434"/>
      <c r="I59" s="434"/>
      <c r="J59" s="434"/>
      <c r="K59" s="434"/>
      <c r="L59" s="434"/>
      <c r="M59" s="435"/>
      <c r="N59" s="296"/>
      <c r="O59" s="302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297"/>
      <c r="D60" s="297"/>
      <c r="E60" s="297"/>
      <c r="F60" s="433"/>
      <c r="G60" s="434"/>
      <c r="H60" s="434"/>
      <c r="I60" s="434"/>
      <c r="J60" s="434"/>
      <c r="K60" s="434"/>
      <c r="L60" s="434"/>
      <c r="M60" s="435"/>
      <c r="N60" s="296"/>
      <c r="O60" s="302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297"/>
      <c r="D61" s="297"/>
      <c r="E61" s="297"/>
      <c r="F61" s="433"/>
      <c r="G61" s="434"/>
      <c r="H61" s="434"/>
      <c r="I61" s="434"/>
      <c r="J61" s="434"/>
      <c r="K61" s="434"/>
      <c r="L61" s="434"/>
      <c r="M61" s="435"/>
      <c r="N61" s="296"/>
      <c r="O61" s="302"/>
      <c r="P61" s="432"/>
      <c r="Q61" s="432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  <c r="AF61" s="84">
        <f>8*3000</f>
        <v>24000</v>
      </c>
    </row>
    <row r="62" spans="1:32" ht="27" customHeight="1" thickBot="1">
      <c r="A62" s="441"/>
      <c r="B62" s="442"/>
      <c r="C62" s="298"/>
      <c r="D62" s="299"/>
      <c r="E62" s="299"/>
      <c r="F62" s="443"/>
      <c r="G62" s="444"/>
      <c r="H62" s="444"/>
      <c r="I62" s="444"/>
      <c r="J62" s="444"/>
      <c r="K62" s="444"/>
      <c r="L62" s="444"/>
      <c r="M62" s="445"/>
      <c r="N62" s="112"/>
      <c r="O62" s="103"/>
      <c r="P62" s="446"/>
      <c r="Q62" s="446"/>
      <c r="R62" s="446"/>
      <c r="S62" s="446"/>
      <c r="T62" s="446"/>
      <c r="U62" s="446"/>
      <c r="V62" s="447"/>
      <c r="W62" s="447"/>
      <c r="X62" s="447"/>
      <c r="Y62" s="447"/>
      <c r="Z62" s="447"/>
      <c r="AA62" s="447"/>
      <c r="AB62" s="447"/>
      <c r="AC62" s="447"/>
      <c r="AD62" s="448"/>
      <c r="AF62" s="84">
        <f>16*3000</f>
        <v>48000</v>
      </c>
    </row>
    <row r="63" spans="1:32" ht="27.75" thickBot="1">
      <c r="A63" s="449" t="s">
        <v>537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0" t="s">
        <v>111</v>
      </c>
      <c r="B64" s="451"/>
      <c r="C64" s="300" t="s">
        <v>2</v>
      </c>
      <c r="D64" s="300" t="s">
        <v>37</v>
      </c>
      <c r="E64" s="300" t="s">
        <v>3</v>
      </c>
      <c r="F64" s="451" t="s">
        <v>109</v>
      </c>
      <c r="G64" s="451"/>
      <c r="H64" s="451"/>
      <c r="I64" s="451"/>
      <c r="J64" s="451"/>
      <c r="K64" s="451" t="s">
        <v>39</v>
      </c>
      <c r="L64" s="451"/>
      <c r="M64" s="300" t="s">
        <v>40</v>
      </c>
      <c r="N64" s="451" t="s">
        <v>41</v>
      </c>
      <c r="O64" s="451"/>
      <c r="P64" s="452" t="s">
        <v>42</v>
      </c>
      <c r="Q64" s="453"/>
      <c r="R64" s="452" t="s">
        <v>43</v>
      </c>
      <c r="S64" s="454"/>
      <c r="T64" s="454"/>
      <c r="U64" s="454"/>
      <c r="V64" s="454"/>
      <c r="W64" s="454"/>
      <c r="X64" s="454"/>
      <c r="Y64" s="454"/>
      <c r="Z64" s="454"/>
      <c r="AA64" s="453"/>
      <c r="AB64" s="451" t="s">
        <v>44</v>
      </c>
      <c r="AC64" s="451"/>
      <c r="AD64" s="455"/>
      <c r="AF64" s="84">
        <f>SUM(AF61:AF63)</f>
        <v>96000</v>
      </c>
    </row>
    <row r="65" spans="1:32" ht="25.5" customHeight="1">
      <c r="A65" s="456">
        <v>1</v>
      </c>
      <c r="B65" s="457"/>
      <c r="C65" s="105" t="s">
        <v>120</v>
      </c>
      <c r="D65" s="304"/>
      <c r="E65" s="301" t="s">
        <v>161</v>
      </c>
      <c r="F65" s="458" t="s">
        <v>539</v>
      </c>
      <c r="G65" s="459"/>
      <c r="H65" s="459"/>
      <c r="I65" s="459"/>
      <c r="J65" s="460"/>
      <c r="K65" s="461" t="s">
        <v>124</v>
      </c>
      <c r="L65" s="461"/>
      <c r="M65" s="51" t="s">
        <v>237</v>
      </c>
      <c r="N65" s="462" t="s">
        <v>148</v>
      </c>
      <c r="O65" s="462"/>
      <c r="P65" s="463">
        <v>200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4"/>
      <c r="AC65" s="465"/>
      <c r="AD65" s="466"/>
      <c r="AF65" s="50"/>
    </row>
    <row r="66" spans="1:32" ht="25.5" customHeight="1">
      <c r="A66" s="456">
        <v>2</v>
      </c>
      <c r="B66" s="457"/>
      <c r="C66" s="105" t="s">
        <v>120</v>
      </c>
      <c r="D66" s="304"/>
      <c r="E66" s="301" t="s">
        <v>161</v>
      </c>
      <c r="F66" s="458" t="s">
        <v>540</v>
      </c>
      <c r="G66" s="459"/>
      <c r="H66" s="459"/>
      <c r="I66" s="459"/>
      <c r="J66" s="460"/>
      <c r="K66" s="461" t="s">
        <v>119</v>
      </c>
      <c r="L66" s="461"/>
      <c r="M66" s="51" t="s">
        <v>237</v>
      </c>
      <c r="N66" s="462" t="s">
        <v>148</v>
      </c>
      <c r="O66" s="462"/>
      <c r="P66" s="463"/>
      <c r="Q66" s="463"/>
      <c r="R66" s="439" t="s">
        <v>541</v>
      </c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3</v>
      </c>
      <c r="B67" s="457"/>
      <c r="C67" s="105" t="s">
        <v>123</v>
      </c>
      <c r="D67" s="304"/>
      <c r="E67" s="301"/>
      <c r="F67" s="458" t="s">
        <v>538</v>
      </c>
      <c r="G67" s="459"/>
      <c r="H67" s="459"/>
      <c r="I67" s="459"/>
      <c r="J67" s="460"/>
      <c r="K67" s="461" t="s">
        <v>153</v>
      </c>
      <c r="L67" s="461"/>
      <c r="M67" s="51" t="s">
        <v>237</v>
      </c>
      <c r="N67" s="462" t="s">
        <v>187</v>
      </c>
      <c r="O67" s="462"/>
      <c r="P67" s="463">
        <v>50</v>
      </c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4</v>
      </c>
      <c r="B68" s="457"/>
      <c r="C68" s="105"/>
      <c r="D68" s="304"/>
      <c r="E68" s="301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5</v>
      </c>
      <c r="B69" s="457"/>
      <c r="C69" s="105"/>
      <c r="D69" s="304"/>
      <c r="E69" s="301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6</v>
      </c>
      <c r="B70" s="457"/>
      <c r="C70" s="105"/>
      <c r="D70" s="304"/>
      <c r="E70" s="301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7</v>
      </c>
      <c r="B71" s="457"/>
      <c r="C71" s="105"/>
      <c r="D71" s="304"/>
      <c r="E71" s="301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8</v>
      </c>
      <c r="B72" s="457"/>
      <c r="C72" s="105"/>
      <c r="D72" s="304"/>
      <c r="E72" s="301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9</v>
      </c>
      <c r="B73" s="457"/>
      <c r="C73" s="105"/>
      <c r="D73" s="304"/>
      <c r="E73" s="301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10</v>
      </c>
      <c r="B74" s="457"/>
      <c r="C74" s="105"/>
      <c r="D74" s="304"/>
      <c r="E74" s="301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6.25" customHeight="1" thickBot="1">
      <c r="A75" s="469" t="s">
        <v>542</v>
      </c>
      <c r="B75" s="469"/>
      <c r="C75" s="469"/>
      <c r="D75" s="469"/>
      <c r="E75" s="46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0" t="s">
        <v>111</v>
      </c>
      <c r="B76" s="471"/>
      <c r="C76" s="303" t="s">
        <v>2</v>
      </c>
      <c r="D76" s="303" t="s">
        <v>37</v>
      </c>
      <c r="E76" s="303" t="s">
        <v>3</v>
      </c>
      <c r="F76" s="471" t="s">
        <v>38</v>
      </c>
      <c r="G76" s="471"/>
      <c r="H76" s="471"/>
      <c r="I76" s="471"/>
      <c r="J76" s="471"/>
      <c r="K76" s="472" t="s">
        <v>58</v>
      </c>
      <c r="L76" s="473"/>
      <c r="M76" s="473"/>
      <c r="N76" s="473"/>
      <c r="O76" s="473"/>
      <c r="P76" s="473"/>
      <c r="Q76" s="473"/>
      <c r="R76" s="473"/>
      <c r="S76" s="474"/>
      <c r="T76" s="471" t="s">
        <v>49</v>
      </c>
      <c r="U76" s="471"/>
      <c r="V76" s="472" t="s">
        <v>50</v>
      </c>
      <c r="W76" s="474"/>
      <c r="X76" s="473" t="s">
        <v>51</v>
      </c>
      <c r="Y76" s="473"/>
      <c r="Z76" s="473"/>
      <c r="AA76" s="473"/>
      <c r="AB76" s="473"/>
      <c r="AC76" s="473"/>
      <c r="AD76" s="475"/>
      <c r="AF76" s="50"/>
    </row>
    <row r="77" spans="1:32" ht="33.75" customHeight="1">
      <c r="A77" s="484">
        <v>1</v>
      </c>
      <c r="B77" s="485"/>
      <c r="C77" s="305" t="s">
        <v>112</v>
      </c>
      <c r="D77" s="305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76">
        <f>A77+1</f>
        <v>2</v>
      </c>
      <c r="B78" s="477"/>
      <c r="C78" s="304"/>
      <c r="D78" s="304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ref="A79:A83" si="14">A78+1</f>
        <v>3</v>
      </c>
      <c r="B79" s="477"/>
      <c r="C79" s="304"/>
      <c r="D79" s="304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14"/>
        <v>4</v>
      </c>
      <c r="B80" s="477"/>
      <c r="C80" s="304"/>
      <c r="D80" s="304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14"/>
        <v>5</v>
      </c>
      <c r="B81" s="477"/>
      <c r="C81" s="304"/>
      <c r="D81" s="304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14"/>
        <v>6</v>
      </c>
      <c r="B82" s="477"/>
      <c r="C82" s="304"/>
      <c r="D82" s="304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14"/>
        <v>7</v>
      </c>
      <c r="B83" s="477"/>
      <c r="C83" s="304"/>
      <c r="D83" s="304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6" thickBot="1">
      <c r="A84" s="469" t="s">
        <v>543</v>
      </c>
      <c r="B84" s="469"/>
      <c r="C84" s="469"/>
      <c r="D84" s="469"/>
      <c r="E84" s="46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0" t="s">
        <v>111</v>
      </c>
      <c r="B85" s="471"/>
      <c r="C85" s="497" t="s">
        <v>52</v>
      </c>
      <c r="D85" s="497"/>
      <c r="E85" s="497" t="s">
        <v>53</v>
      </c>
      <c r="F85" s="497"/>
      <c r="G85" s="497"/>
      <c r="H85" s="497"/>
      <c r="I85" s="497"/>
      <c r="J85" s="497"/>
      <c r="K85" s="497" t="s">
        <v>54</v>
      </c>
      <c r="L85" s="497"/>
      <c r="M85" s="497"/>
      <c r="N85" s="497"/>
      <c r="O85" s="497"/>
      <c r="P85" s="497"/>
      <c r="Q85" s="497"/>
      <c r="R85" s="497"/>
      <c r="S85" s="497"/>
      <c r="T85" s="497" t="s">
        <v>55</v>
      </c>
      <c r="U85" s="497"/>
      <c r="V85" s="497" t="s">
        <v>56</v>
      </c>
      <c r="W85" s="497"/>
      <c r="X85" s="497"/>
      <c r="Y85" s="497" t="s">
        <v>51</v>
      </c>
      <c r="Z85" s="497"/>
      <c r="AA85" s="497"/>
      <c r="AB85" s="497"/>
      <c r="AC85" s="497"/>
      <c r="AD85" s="498"/>
      <c r="AF85" s="50"/>
    </row>
    <row r="86" spans="1:32" ht="30.75" customHeight="1">
      <c r="A86" s="484">
        <v>1</v>
      </c>
      <c r="B86" s="485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500"/>
      <c r="W86" s="500"/>
      <c r="X86" s="500"/>
      <c r="Y86" s="501"/>
      <c r="Z86" s="501"/>
      <c r="AA86" s="501"/>
      <c r="AB86" s="501"/>
      <c r="AC86" s="501"/>
      <c r="AD86" s="502"/>
      <c r="AF86" s="50"/>
    </row>
    <row r="87" spans="1:32" ht="30.75" customHeight="1">
      <c r="A87" s="476">
        <v>2</v>
      </c>
      <c r="B87" s="477"/>
      <c r="C87" s="510"/>
      <c r="D87" s="510"/>
      <c r="E87" s="510"/>
      <c r="F87" s="510"/>
      <c r="G87" s="510"/>
      <c r="H87" s="510"/>
      <c r="I87" s="510"/>
      <c r="J87" s="510"/>
      <c r="K87" s="510"/>
      <c r="L87" s="510"/>
      <c r="M87" s="510"/>
      <c r="N87" s="510"/>
      <c r="O87" s="510"/>
      <c r="P87" s="510"/>
      <c r="Q87" s="510"/>
      <c r="R87" s="510"/>
      <c r="S87" s="510"/>
      <c r="T87" s="511"/>
      <c r="U87" s="511"/>
      <c r="V87" s="512"/>
      <c r="W87" s="512"/>
      <c r="X87" s="512"/>
      <c r="Y87" s="503"/>
      <c r="Z87" s="503"/>
      <c r="AA87" s="503"/>
      <c r="AB87" s="503"/>
      <c r="AC87" s="503"/>
      <c r="AD87" s="504"/>
      <c r="AF87" s="50"/>
    </row>
    <row r="88" spans="1:32" ht="30.75" customHeight="1" thickBot="1">
      <c r="A88" s="505">
        <v>3</v>
      </c>
      <c r="B88" s="506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07"/>
      <c r="X88" s="507"/>
      <c r="Y88" s="508"/>
      <c r="Z88" s="508"/>
      <c r="AA88" s="508"/>
      <c r="AB88" s="508"/>
      <c r="AC88" s="508"/>
      <c r="AD88" s="509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FCE9-6970-4E6B-BF2B-5942127E3D6B}">
  <dimension ref="A1:AF87"/>
  <sheetViews>
    <sheetView view="pageBreakPreview" zoomScale="70" zoomScaleNormal="72" zoomScaleSheetLayoutView="70" workbookViewId="0">
      <selection activeCell="AE9" sqref="AE9:AE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544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317" t="s">
        <v>17</v>
      </c>
      <c r="L5" s="317" t="s">
        <v>18</v>
      </c>
      <c r="M5" s="317" t="s">
        <v>19</v>
      </c>
      <c r="N5" s="31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135</v>
      </c>
      <c r="E6" s="53" t="s">
        <v>434</v>
      </c>
      <c r="F6" s="30" t="s">
        <v>131</v>
      </c>
      <c r="G6" s="12">
        <v>1</v>
      </c>
      <c r="H6" s="13">
        <v>24</v>
      </c>
      <c r="I6" s="31">
        <v>600</v>
      </c>
      <c r="J6" s="5">
        <v>733</v>
      </c>
      <c r="K6" s="15">
        <f>L6+733</f>
        <v>733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>$AD$22</f>
        <v>0.46875000000000006</v>
      </c>
      <c r="AF6" s="84">
        <f t="shared" ref="AF6:AF21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502</v>
      </c>
      <c r="F7" s="12" t="s">
        <v>509</v>
      </c>
      <c r="G7" s="12">
        <v>1</v>
      </c>
      <c r="H7" s="13">
        <v>24</v>
      </c>
      <c r="I7" s="31">
        <v>4000</v>
      </c>
      <c r="J7" s="14">
        <v>3227</v>
      </c>
      <c r="K7" s="15">
        <f>L7+5261+3227</f>
        <v>8488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>$AD$22</f>
        <v>0.46875000000000006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492</v>
      </c>
      <c r="F8" s="30" t="s">
        <v>132</v>
      </c>
      <c r="G8" s="33">
        <v>1</v>
      </c>
      <c r="H8" s="35">
        <v>24</v>
      </c>
      <c r="I8" s="7">
        <v>10000</v>
      </c>
      <c r="J8" s="14">
        <v>3563</v>
      </c>
      <c r="K8" s="15">
        <f>L8+4254+1756+3035</f>
        <v>12608</v>
      </c>
      <c r="L8" s="15">
        <f>2007+1556</f>
        <v>3563</v>
      </c>
      <c r="M8" s="15">
        <f t="shared" si="0"/>
        <v>3563</v>
      </c>
      <c r="N8" s="15">
        <v>0</v>
      </c>
      <c r="O8" s="58">
        <f t="shared" si="1"/>
        <v>0</v>
      </c>
      <c r="P8" s="39">
        <f t="shared" si="2"/>
        <v>20</v>
      </c>
      <c r="Q8" s="40">
        <f t="shared" si="3"/>
        <v>4</v>
      </c>
      <c r="R8" s="7"/>
      <c r="S8" s="6">
        <v>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0.83333333333333337</v>
      </c>
      <c r="AD8" s="10">
        <f t="shared" si="6"/>
        <v>0.83333333333333337</v>
      </c>
      <c r="AE8" s="36">
        <f>$AD$22</f>
        <v>0.46875000000000006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161</v>
      </c>
      <c r="E9" s="53" t="s">
        <v>510</v>
      </c>
      <c r="F9" s="30" t="s">
        <v>139</v>
      </c>
      <c r="G9" s="33">
        <v>1</v>
      </c>
      <c r="H9" s="35">
        <v>24</v>
      </c>
      <c r="I9" s="7">
        <v>2100</v>
      </c>
      <c r="J9" s="14">
        <v>2158</v>
      </c>
      <c r="K9" s="15">
        <f>L9+2158</f>
        <v>2158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>$AD$22</f>
        <v>0.46875000000000006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476</v>
      </c>
      <c r="E10" s="53" t="s">
        <v>477</v>
      </c>
      <c r="F10" s="30" t="s">
        <v>478</v>
      </c>
      <c r="G10" s="33">
        <v>2</v>
      </c>
      <c r="H10" s="35">
        <v>24</v>
      </c>
      <c r="I10" s="7">
        <v>10000</v>
      </c>
      <c r="J10" s="5">
        <v>8842</v>
      </c>
      <c r="K10" s="15">
        <f>L10+4950+7828+8384+8688</f>
        <v>38692</v>
      </c>
      <c r="L10" s="15">
        <f>2293*2+2128*2</f>
        <v>8842</v>
      </c>
      <c r="M10" s="15">
        <f t="shared" si="0"/>
        <v>8842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ref="AE10:AE14" si="8">$AD$22</f>
        <v>0.46875000000000006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511</v>
      </c>
      <c r="E11" s="53" t="s">
        <v>535</v>
      </c>
      <c r="F11" s="30" t="s">
        <v>513</v>
      </c>
      <c r="G11" s="33">
        <v>16</v>
      </c>
      <c r="H11" s="35">
        <v>24</v>
      </c>
      <c r="I11" s="7">
        <v>300000</v>
      </c>
      <c r="J11" s="14">
        <v>36740</v>
      </c>
      <c r="K11" s="15">
        <f>L11</f>
        <v>36740</v>
      </c>
      <c r="L11" s="15">
        <f>545*10+3129*10</f>
        <v>36740</v>
      </c>
      <c r="M11" s="15">
        <f t="shared" si="0"/>
        <v>36740</v>
      </c>
      <c r="N11" s="15">
        <v>0</v>
      </c>
      <c r="O11" s="58">
        <f t="shared" si="1"/>
        <v>0</v>
      </c>
      <c r="P11" s="39">
        <f t="shared" si="2"/>
        <v>18</v>
      </c>
      <c r="Q11" s="40">
        <f t="shared" si="3"/>
        <v>6</v>
      </c>
      <c r="R11" s="7"/>
      <c r="S11" s="6"/>
      <c r="T11" s="16">
        <v>6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0.75</v>
      </c>
      <c r="AD11" s="10">
        <f t="shared" ref="AD11:AD14" si="9">AC11*AB11*(1-O11)</f>
        <v>0.75</v>
      </c>
      <c r="AE11" s="36">
        <f t="shared" si="8"/>
        <v>0.46875000000000006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115</v>
      </c>
      <c r="E12" s="53" t="s">
        <v>166</v>
      </c>
      <c r="F12" s="30" t="s">
        <v>119</v>
      </c>
      <c r="G12" s="33">
        <v>1</v>
      </c>
      <c r="H12" s="35">
        <v>24</v>
      </c>
      <c r="I12" s="7">
        <v>10000</v>
      </c>
      <c r="J12" s="14">
        <v>4027</v>
      </c>
      <c r="K12" s="15">
        <f>L12+2147</f>
        <v>6174</v>
      </c>
      <c r="L12" s="15">
        <f>2307+1720</f>
        <v>4027</v>
      </c>
      <c r="M12" s="15">
        <f t="shared" si="0"/>
        <v>4027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8"/>
        <v>0.46875000000000006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143</v>
      </c>
      <c r="F13" s="30" t="s">
        <v>125</v>
      </c>
      <c r="G13" s="33">
        <v>1</v>
      </c>
      <c r="H13" s="35">
        <v>24</v>
      </c>
      <c r="I13" s="7">
        <v>50000</v>
      </c>
      <c r="J13" s="5">
        <v>15468</v>
      </c>
      <c r="K13" s="15">
        <f>L13+9354</f>
        <v>24822</v>
      </c>
      <c r="L13" s="15">
        <f>2673*3+2483*3</f>
        <v>15468</v>
      </c>
      <c r="M13" s="15">
        <f t="shared" si="0"/>
        <v>15468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8"/>
        <v>0.46875000000000006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174</v>
      </c>
      <c r="F14" s="30" t="s">
        <v>177</v>
      </c>
      <c r="G14" s="33">
        <v>1</v>
      </c>
      <c r="H14" s="35">
        <v>24</v>
      </c>
      <c r="I14" s="7">
        <v>300</v>
      </c>
      <c r="J14" s="5">
        <v>376</v>
      </c>
      <c r="K14" s="15">
        <f>L14+376</f>
        <v>376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8"/>
        <v>0.46875000000000006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494</v>
      </c>
      <c r="F15" s="12" t="s">
        <v>152</v>
      </c>
      <c r="G15" s="12">
        <v>1</v>
      </c>
      <c r="H15" s="13">
        <v>24</v>
      </c>
      <c r="I15" s="31">
        <v>2300</v>
      </c>
      <c r="J15" s="14">
        <v>4412</v>
      </c>
      <c r="K15" s="15">
        <f>L15+4412</f>
        <v>4412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ref="AE15:AE21" si="10">$AD$22</f>
        <v>0.46875000000000006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L16+6564+12528+9524+11762+12146+1640</f>
        <v>54164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10"/>
        <v>0.46875000000000006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126</v>
      </c>
      <c r="E17" s="53" t="s">
        <v>324</v>
      </c>
      <c r="F17" s="30" t="s">
        <v>325</v>
      </c>
      <c r="G17" s="12">
        <v>4</v>
      </c>
      <c r="H17" s="13">
        <v>24</v>
      </c>
      <c r="I17" s="7">
        <v>10000</v>
      </c>
      <c r="J17" s="14">
        <v>3136</v>
      </c>
      <c r="K17" s="15">
        <f>L17+5108+3136</f>
        <v>8244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10"/>
        <v>0.46875000000000006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211</v>
      </c>
      <c r="F18" s="30" t="s">
        <v>139</v>
      </c>
      <c r="G18" s="33">
        <v>1</v>
      </c>
      <c r="H18" s="35">
        <v>24</v>
      </c>
      <c r="I18" s="7">
        <v>10000</v>
      </c>
      <c r="J18" s="14">
        <v>5226</v>
      </c>
      <c r="K18" s="15">
        <f>L18+3143</f>
        <v>8369</v>
      </c>
      <c r="L18" s="15">
        <f>2701+2525</f>
        <v>5226</v>
      </c>
      <c r="M18" s="15">
        <f t="shared" si="0"/>
        <v>5226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10"/>
        <v>0.46875000000000006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340</v>
      </c>
      <c r="D19" s="52"/>
      <c r="E19" s="53" t="s">
        <v>519</v>
      </c>
      <c r="F19" s="30" t="s">
        <v>139</v>
      </c>
      <c r="G19" s="33" t="s">
        <v>157</v>
      </c>
      <c r="H19" s="35">
        <v>24</v>
      </c>
      <c r="I19" s="7">
        <v>3000</v>
      </c>
      <c r="J19" s="5">
        <v>5531</v>
      </c>
      <c r="K19" s="15">
        <f>L19+5589</f>
        <v>11120</v>
      </c>
      <c r="L19" s="15">
        <f>2788+2743</f>
        <v>5531</v>
      </c>
      <c r="M19" s="15">
        <f t="shared" si="0"/>
        <v>5531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 t="shared" si="10"/>
        <v>0.46875000000000006</v>
      </c>
      <c r="AF19" s="84">
        <f t="shared" si="7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126</v>
      </c>
      <c r="E20" s="53">
        <v>3160001</v>
      </c>
      <c r="F20" s="30" t="s">
        <v>139</v>
      </c>
      <c r="G20" s="12">
        <v>1</v>
      </c>
      <c r="H20" s="13">
        <v>28</v>
      </c>
      <c r="I20" s="31">
        <v>1000</v>
      </c>
      <c r="J20" s="5">
        <v>2370</v>
      </c>
      <c r="K20" s="15">
        <f>L20</f>
        <v>2370</v>
      </c>
      <c r="L20" s="15">
        <f>1270+1100</f>
        <v>2370</v>
      </c>
      <c r="M20" s="15">
        <f t="shared" si="0"/>
        <v>2370</v>
      </c>
      <c r="N20" s="15">
        <v>0</v>
      </c>
      <c r="O20" s="58">
        <f t="shared" si="1"/>
        <v>0</v>
      </c>
      <c r="P20" s="39">
        <f t="shared" si="2"/>
        <v>12</v>
      </c>
      <c r="Q20" s="40">
        <f t="shared" si="3"/>
        <v>12</v>
      </c>
      <c r="R20" s="7"/>
      <c r="S20" s="6"/>
      <c r="T20" s="16">
        <v>12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</v>
      </c>
      <c r="AD20" s="10">
        <f t="shared" ref="AD20" si="11">AC20*AB20*(1-O20)</f>
        <v>0.5</v>
      </c>
      <c r="AE20" s="36">
        <f t="shared" si="10"/>
        <v>0.46875000000000006</v>
      </c>
      <c r="AF20" s="84">
        <f t="shared" si="7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454</v>
      </c>
      <c r="F21" s="12" t="s">
        <v>114</v>
      </c>
      <c r="G21" s="12">
        <v>4</v>
      </c>
      <c r="H21" s="35">
        <v>20</v>
      </c>
      <c r="I21" s="7">
        <v>300000</v>
      </c>
      <c r="J21" s="14">
        <v>23892</v>
      </c>
      <c r="K21" s="15">
        <f>L21+26152+22788+52844+20000</f>
        <v>145676</v>
      </c>
      <c r="L21" s="15">
        <f>5973*4</f>
        <v>23892</v>
      </c>
      <c r="M21" s="15">
        <f t="shared" si="0"/>
        <v>23892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10"/>
        <v>0.46875000000000006</v>
      </c>
      <c r="AF21" s="84">
        <f t="shared" si="7"/>
        <v>16</v>
      </c>
    </row>
    <row r="22" spans="1:32" ht="31.5" customHeight="1" thickBot="1">
      <c r="A22" s="405" t="s">
        <v>34</v>
      </c>
      <c r="B22" s="406"/>
      <c r="C22" s="406"/>
      <c r="D22" s="406"/>
      <c r="E22" s="406"/>
      <c r="F22" s="406"/>
      <c r="G22" s="406"/>
      <c r="H22" s="407"/>
      <c r="I22" s="22">
        <f t="shared" ref="I22:N22" si="12">SUM(I6:I21)</f>
        <v>1013300</v>
      </c>
      <c r="J22" s="19">
        <f t="shared" si="12"/>
        <v>121341</v>
      </c>
      <c r="K22" s="20">
        <f t="shared" si="12"/>
        <v>365146</v>
      </c>
      <c r="L22" s="21">
        <f t="shared" si="12"/>
        <v>105659</v>
      </c>
      <c r="M22" s="20">
        <f t="shared" si="12"/>
        <v>105659</v>
      </c>
      <c r="N22" s="21">
        <f t="shared" si="12"/>
        <v>0</v>
      </c>
      <c r="O22" s="41">
        <f t="shared" si="1"/>
        <v>0</v>
      </c>
      <c r="P22" s="42">
        <f t="shared" ref="P22:AA22" si="13">SUM(P6:P21)</f>
        <v>180</v>
      </c>
      <c r="Q22" s="43">
        <f t="shared" si="13"/>
        <v>204</v>
      </c>
      <c r="R22" s="23">
        <f t="shared" si="13"/>
        <v>24</v>
      </c>
      <c r="S22" s="24">
        <f t="shared" si="13"/>
        <v>28</v>
      </c>
      <c r="T22" s="24">
        <f t="shared" si="13"/>
        <v>18</v>
      </c>
      <c r="U22" s="24">
        <f t="shared" si="13"/>
        <v>0</v>
      </c>
      <c r="V22" s="25">
        <f t="shared" si="13"/>
        <v>14</v>
      </c>
      <c r="W22" s="26">
        <f t="shared" si="13"/>
        <v>96</v>
      </c>
      <c r="X22" s="27">
        <f t="shared" si="13"/>
        <v>0</v>
      </c>
      <c r="Y22" s="27">
        <f t="shared" si="13"/>
        <v>0</v>
      </c>
      <c r="Z22" s="27">
        <f t="shared" si="13"/>
        <v>0</v>
      </c>
      <c r="AA22" s="27">
        <f t="shared" si="13"/>
        <v>24</v>
      </c>
      <c r="AB22" s="28">
        <f>AVERAGE(AB6:AB21)</f>
        <v>0.5625</v>
      </c>
      <c r="AC22" s="4">
        <f>AVERAGE(AC6:AC21)</f>
        <v>0.46875000000000006</v>
      </c>
      <c r="AD22" s="4">
        <f>AVERAGE(AD6:AD21)</f>
        <v>0.46875000000000006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08" t="s">
        <v>45</v>
      </c>
      <c r="B49" s="408"/>
      <c r="C49" s="408"/>
      <c r="D49" s="408"/>
      <c r="E49" s="40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09" t="s">
        <v>545</v>
      </c>
      <c r="B50" s="410"/>
      <c r="C50" s="410"/>
      <c r="D50" s="410"/>
      <c r="E50" s="410"/>
      <c r="F50" s="410"/>
      <c r="G50" s="410"/>
      <c r="H50" s="410"/>
      <c r="I50" s="410"/>
      <c r="J50" s="410"/>
      <c r="K50" s="410"/>
      <c r="L50" s="410"/>
      <c r="M50" s="411"/>
      <c r="N50" s="412" t="s">
        <v>554</v>
      </c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3"/>
      <c r="AA50" s="413"/>
      <c r="AB50" s="413"/>
      <c r="AC50" s="413"/>
      <c r="AD50" s="414"/>
    </row>
    <row r="51" spans="1:32" ht="27" customHeight="1">
      <c r="A51" s="415" t="s">
        <v>2</v>
      </c>
      <c r="B51" s="416"/>
      <c r="C51" s="316" t="s">
        <v>46</v>
      </c>
      <c r="D51" s="316" t="s">
        <v>47</v>
      </c>
      <c r="E51" s="316" t="s">
        <v>107</v>
      </c>
      <c r="F51" s="417" t="s">
        <v>106</v>
      </c>
      <c r="G51" s="418"/>
      <c r="H51" s="418"/>
      <c r="I51" s="418"/>
      <c r="J51" s="418"/>
      <c r="K51" s="418"/>
      <c r="L51" s="418"/>
      <c r="M51" s="419"/>
      <c r="N51" s="67" t="s">
        <v>110</v>
      </c>
      <c r="O51" s="316" t="s">
        <v>46</v>
      </c>
      <c r="P51" s="417" t="s">
        <v>47</v>
      </c>
      <c r="Q51" s="420"/>
      <c r="R51" s="417" t="s">
        <v>38</v>
      </c>
      <c r="S51" s="418"/>
      <c r="T51" s="418"/>
      <c r="U51" s="420"/>
      <c r="V51" s="417" t="s">
        <v>48</v>
      </c>
      <c r="W51" s="418"/>
      <c r="X51" s="418"/>
      <c r="Y51" s="418"/>
      <c r="Z51" s="418"/>
      <c r="AA51" s="418"/>
      <c r="AB51" s="418"/>
      <c r="AC51" s="418"/>
      <c r="AD51" s="419"/>
    </row>
    <row r="52" spans="1:32" ht="27" customHeight="1">
      <c r="A52" s="431" t="s">
        <v>120</v>
      </c>
      <c r="B52" s="432"/>
      <c r="C52" s="313" t="s">
        <v>217</v>
      </c>
      <c r="D52" s="313" t="s">
        <v>294</v>
      </c>
      <c r="E52" s="313" t="s">
        <v>492</v>
      </c>
      <c r="F52" s="433" t="s">
        <v>546</v>
      </c>
      <c r="G52" s="434"/>
      <c r="H52" s="434"/>
      <c r="I52" s="434"/>
      <c r="J52" s="434"/>
      <c r="K52" s="434"/>
      <c r="L52" s="434"/>
      <c r="M52" s="435"/>
      <c r="N52" s="312" t="s">
        <v>113</v>
      </c>
      <c r="O52" s="310" t="s">
        <v>226</v>
      </c>
      <c r="P52" s="436"/>
      <c r="Q52" s="437"/>
      <c r="R52" s="436" t="s">
        <v>224</v>
      </c>
      <c r="S52" s="438"/>
      <c r="T52" s="438"/>
      <c r="U52" s="437"/>
      <c r="V52" s="439" t="s">
        <v>118</v>
      </c>
      <c r="W52" s="439"/>
      <c r="X52" s="439"/>
      <c r="Y52" s="439"/>
      <c r="Z52" s="439"/>
      <c r="AA52" s="439"/>
      <c r="AB52" s="439"/>
      <c r="AC52" s="439"/>
      <c r="AD52" s="440"/>
    </row>
    <row r="53" spans="1:32" ht="27" customHeight="1">
      <c r="A53" s="431" t="s">
        <v>120</v>
      </c>
      <c r="B53" s="432"/>
      <c r="C53" s="313" t="s">
        <v>548</v>
      </c>
      <c r="D53" s="313" t="s">
        <v>549</v>
      </c>
      <c r="E53" s="313" t="s">
        <v>547</v>
      </c>
      <c r="F53" s="433" t="s">
        <v>118</v>
      </c>
      <c r="G53" s="434"/>
      <c r="H53" s="434"/>
      <c r="I53" s="434"/>
      <c r="J53" s="434"/>
      <c r="K53" s="434"/>
      <c r="L53" s="434"/>
      <c r="M53" s="435"/>
      <c r="N53" s="312" t="s">
        <v>112</v>
      </c>
      <c r="O53" s="310" t="s">
        <v>223</v>
      </c>
      <c r="P53" s="436" t="s">
        <v>294</v>
      </c>
      <c r="Q53" s="437"/>
      <c r="R53" s="436" t="s">
        <v>555</v>
      </c>
      <c r="S53" s="438"/>
      <c r="T53" s="438"/>
      <c r="U53" s="437"/>
      <c r="V53" s="439" t="s">
        <v>118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120</v>
      </c>
      <c r="B54" s="432"/>
      <c r="C54" s="313" t="s">
        <v>551</v>
      </c>
      <c r="D54" s="313" t="s">
        <v>552</v>
      </c>
      <c r="E54" s="313" t="s">
        <v>550</v>
      </c>
      <c r="F54" s="433" t="s">
        <v>553</v>
      </c>
      <c r="G54" s="434"/>
      <c r="H54" s="434"/>
      <c r="I54" s="434"/>
      <c r="J54" s="434"/>
      <c r="K54" s="434"/>
      <c r="L54" s="434"/>
      <c r="M54" s="435"/>
      <c r="N54" s="312" t="s">
        <v>112</v>
      </c>
      <c r="O54" s="310" t="s">
        <v>557</v>
      </c>
      <c r="P54" s="436" t="s">
        <v>558</v>
      </c>
      <c r="Q54" s="437"/>
      <c r="R54" s="436" t="s">
        <v>556</v>
      </c>
      <c r="S54" s="438"/>
      <c r="T54" s="438"/>
      <c r="U54" s="437"/>
      <c r="V54" s="439" t="s">
        <v>118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120</v>
      </c>
      <c r="B55" s="432"/>
      <c r="C55" s="313" t="s">
        <v>140</v>
      </c>
      <c r="D55" s="313" t="s">
        <v>115</v>
      </c>
      <c r="E55" s="313" t="s">
        <v>531</v>
      </c>
      <c r="F55" s="433" t="s">
        <v>200</v>
      </c>
      <c r="G55" s="434"/>
      <c r="H55" s="434"/>
      <c r="I55" s="434"/>
      <c r="J55" s="434"/>
      <c r="K55" s="434"/>
      <c r="L55" s="434"/>
      <c r="M55" s="435"/>
      <c r="N55" s="312" t="s">
        <v>561</v>
      </c>
      <c r="O55" s="310" t="s">
        <v>562</v>
      </c>
      <c r="P55" s="436" t="s">
        <v>294</v>
      </c>
      <c r="Q55" s="437"/>
      <c r="R55" s="436" t="s">
        <v>559</v>
      </c>
      <c r="S55" s="438"/>
      <c r="T55" s="438"/>
      <c r="U55" s="437"/>
      <c r="V55" s="439" t="s">
        <v>560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/>
      <c r="B56" s="432"/>
      <c r="C56" s="313"/>
      <c r="D56" s="313"/>
      <c r="E56" s="313"/>
      <c r="F56" s="433"/>
      <c r="G56" s="434"/>
      <c r="H56" s="434"/>
      <c r="I56" s="434"/>
      <c r="J56" s="434"/>
      <c r="K56" s="434"/>
      <c r="L56" s="434"/>
      <c r="M56" s="435"/>
      <c r="N56" s="312"/>
      <c r="O56" s="310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/>
      <c r="B57" s="432"/>
      <c r="C57" s="313"/>
      <c r="D57" s="313"/>
      <c r="E57" s="313"/>
      <c r="F57" s="433"/>
      <c r="G57" s="434"/>
      <c r="H57" s="434"/>
      <c r="I57" s="434"/>
      <c r="J57" s="434"/>
      <c r="K57" s="434"/>
      <c r="L57" s="434"/>
      <c r="M57" s="435"/>
      <c r="N57" s="312"/>
      <c r="O57" s="310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/>
      <c r="B58" s="432"/>
      <c r="C58" s="313"/>
      <c r="D58" s="313"/>
      <c r="E58" s="313"/>
      <c r="F58" s="433"/>
      <c r="G58" s="434"/>
      <c r="H58" s="434"/>
      <c r="I58" s="434"/>
      <c r="J58" s="434"/>
      <c r="K58" s="434"/>
      <c r="L58" s="434"/>
      <c r="M58" s="435"/>
      <c r="N58" s="312"/>
      <c r="O58" s="310"/>
      <c r="P58" s="436"/>
      <c r="Q58" s="437"/>
      <c r="R58" s="432"/>
      <c r="S58" s="432"/>
      <c r="T58" s="432"/>
      <c r="U58" s="432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313"/>
      <c r="D59" s="313"/>
      <c r="E59" s="313"/>
      <c r="F59" s="433"/>
      <c r="G59" s="434"/>
      <c r="H59" s="434"/>
      <c r="I59" s="434"/>
      <c r="J59" s="434"/>
      <c r="K59" s="434"/>
      <c r="L59" s="434"/>
      <c r="M59" s="435"/>
      <c r="N59" s="312"/>
      <c r="O59" s="310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313"/>
      <c r="D60" s="313"/>
      <c r="E60" s="313"/>
      <c r="F60" s="433"/>
      <c r="G60" s="434"/>
      <c r="H60" s="434"/>
      <c r="I60" s="434"/>
      <c r="J60" s="434"/>
      <c r="K60" s="434"/>
      <c r="L60" s="434"/>
      <c r="M60" s="435"/>
      <c r="N60" s="312"/>
      <c r="O60" s="310"/>
      <c r="P60" s="432"/>
      <c r="Q60" s="432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  <c r="AF60" s="84">
        <f>8*3000</f>
        <v>24000</v>
      </c>
    </row>
    <row r="61" spans="1:32" ht="27" customHeight="1" thickBot="1">
      <c r="A61" s="441"/>
      <c r="B61" s="442"/>
      <c r="C61" s="314"/>
      <c r="D61" s="315"/>
      <c r="E61" s="315"/>
      <c r="F61" s="443"/>
      <c r="G61" s="444"/>
      <c r="H61" s="444"/>
      <c r="I61" s="444"/>
      <c r="J61" s="444"/>
      <c r="K61" s="444"/>
      <c r="L61" s="444"/>
      <c r="M61" s="445"/>
      <c r="N61" s="112"/>
      <c r="O61" s="103"/>
      <c r="P61" s="446"/>
      <c r="Q61" s="446"/>
      <c r="R61" s="446"/>
      <c r="S61" s="446"/>
      <c r="T61" s="446"/>
      <c r="U61" s="446"/>
      <c r="V61" s="447"/>
      <c r="W61" s="447"/>
      <c r="X61" s="447"/>
      <c r="Y61" s="447"/>
      <c r="Z61" s="447"/>
      <c r="AA61" s="447"/>
      <c r="AB61" s="447"/>
      <c r="AC61" s="447"/>
      <c r="AD61" s="448"/>
      <c r="AF61" s="84">
        <f>16*3000</f>
        <v>48000</v>
      </c>
    </row>
    <row r="62" spans="1:32" ht="27.75" thickBot="1">
      <c r="A62" s="449" t="s">
        <v>563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0" t="s">
        <v>111</v>
      </c>
      <c r="B63" s="451"/>
      <c r="C63" s="311" t="s">
        <v>2</v>
      </c>
      <c r="D63" s="311" t="s">
        <v>37</v>
      </c>
      <c r="E63" s="311" t="s">
        <v>3</v>
      </c>
      <c r="F63" s="451" t="s">
        <v>109</v>
      </c>
      <c r="G63" s="451"/>
      <c r="H63" s="451"/>
      <c r="I63" s="451"/>
      <c r="J63" s="451"/>
      <c r="K63" s="451" t="s">
        <v>39</v>
      </c>
      <c r="L63" s="451"/>
      <c r="M63" s="311" t="s">
        <v>40</v>
      </c>
      <c r="N63" s="451" t="s">
        <v>41</v>
      </c>
      <c r="O63" s="451"/>
      <c r="P63" s="452" t="s">
        <v>42</v>
      </c>
      <c r="Q63" s="453"/>
      <c r="R63" s="452" t="s">
        <v>43</v>
      </c>
      <c r="S63" s="454"/>
      <c r="T63" s="454"/>
      <c r="U63" s="454"/>
      <c r="V63" s="454"/>
      <c r="W63" s="454"/>
      <c r="X63" s="454"/>
      <c r="Y63" s="454"/>
      <c r="Z63" s="454"/>
      <c r="AA63" s="453"/>
      <c r="AB63" s="451" t="s">
        <v>44</v>
      </c>
      <c r="AC63" s="451"/>
      <c r="AD63" s="455"/>
      <c r="AF63" s="84">
        <f>SUM(AF60:AF62)</f>
        <v>96000</v>
      </c>
    </row>
    <row r="64" spans="1:32" ht="25.5" customHeight="1">
      <c r="A64" s="456">
        <v>1</v>
      </c>
      <c r="B64" s="457"/>
      <c r="C64" s="105" t="s">
        <v>565</v>
      </c>
      <c r="D64" s="306"/>
      <c r="E64" s="309" t="s">
        <v>566</v>
      </c>
      <c r="F64" s="458" t="s">
        <v>564</v>
      </c>
      <c r="G64" s="459"/>
      <c r="H64" s="459"/>
      <c r="I64" s="459"/>
      <c r="J64" s="460"/>
      <c r="K64" s="461" t="s">
        <v>567</v>
      </c>
      <c r="L64" s="461"/>
      <c r="M64" s="51" t="s">
        <v>568</v>
      </c>
      <c r="N64" s="462" t="s">
        <v>569</v>
      </c>
      <c r="O64" s="462"/>
      <c r="P64" s="463">
        <v>100</v>
      </c>
      <c r="Q64" s="463"/>
      <c r="R64" s="439" t="s">
        <v>570</v>
      </c>
      <c r="S64" s="439"/>
      <c r="T64" s="439"/>
      <c r="U64" s="439"/>
      <c r="V64" s="439"/>
      <c r="W64" s="439"/>
      <c r="X64" s="439"/>
      <c r="Y64" s="439"/>
      <c r="Z64" s="439"/>
      <c r="AA64" s="439"/>
      <c r="AB64" s="464"/>
      <c r="AC64" s="465"/>
      <c r="AD64" s="466"/>
      <c r="AF64" s="50"/>
    </row>
    <row r="65" spans="1:32" ht="25.5" customHeight="1">
      <c r="A65" s="456">
        <v>2</v>
      </c>
      <c r="B65" s="457"/>
      <c r="C65" s="105" t="s">
        <v>561</v>
      </c>
      <c r="D65" s="306"/>
      <c r="E65" s="309" t="s">
        <v>573</v>
      </c>
      <c r="F65" s="458" t="s">
        <v>571</v>
      </c>
      <c r="G65" s="459"/>
      <c r="H65" s="459"/>
      <c r="I65" s="459"/>
      <c r="J65" s="460"/>
      <c r="K65" s="461" t="s">
        <v>572</v>
      </c>
      <c r="L65" s="461"/>
      <c r="M65" s="51" t="s">
        <v>568</v>
      </c>
      <c r="N65" s="462" t="s">
        <v>569</v>
      </c>
      <c r="O65" s="462"/>
      <c r="P65" s="463">
        <v>200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1"/>
      <c r="AC65" s="461"/>
      <c r="AD65" s="467"/>
      <c r="AF65" s="50"/>
    </row>
    <row r="66" spans="1:32" ht="25.5" customHeight="1">
      <c r="A66" s="456">
        <v>3</v>
      </c>
      <c r="B66" s="457"/>
      <c r="C66" s="105" t="s">
        <v>561</v>
      </c>
      <c r="D66" s="306"/>
      <c r="E66" s="309" t="s">
        <v>578</v>
      </c>
      <c r="F66" s="458" t="s">
        <v>574</v>
      </c>
      <c r="G66" s="459"/>
      <c r="H66" s="459"/>
      <c r="I66" s="459"/>
      <c r="J66" s="460"/>
      <c r="K66" s="461" t="s">
        <v>575</v>
      </c>
      <c r="L66" s="461"/>
      <c r="M66" s="51" t="s">
        <v>576</v>
      </c>
      <c r="N66" s="462" t="s">
        <v>577</v>
      </c>
      <c r="O66" s="462"/>
      <c r="P66" s="463">
        <v>50</v>
      </c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4</v>
      </c>
      <c r="B67" s="457"/>
      <c r="C67" s="105" t="s">
        <v>565</v>
      </c>
      <c r="D67" s="306"/>
      <c r="E67" s="309" t="s">
        <v>566</v>
      </c>
      <c r="F67" s="458" t="s">
        <v>579</v>
      </c>
      <c r="G67" s="459"/>
      <c r="H67" s="459"/>
      <c r="I67" s="459"/>
      <c r="J67" s="460"/>
      <c r="K67" s="461" t="s">
        <v>567</v>
      </c>
      <c r="L67" s="461"/>
      <c r="M67" s="51" t="s">
        <v>580</v>
      </c>
      <c r="N67" s="462" t="s">
        <v>551</v>
      </c>
      <c r="O67" s="462"/>
      <c r="P67" s="463">
        <v>100</v>
      </c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5</v>
      </c>
      <c r="B68" s="457"/>
      <c r="C68" s="105" t="s">
        <v>561</v>
      </c>
      <c r="D68" s="306"/>
      <c r="E68" s="309" t="s">
        <v>552</v>
      </c>
      <c r="F68" s="458">
        <v>3160001</v>
      </c>
      <c r="G68" s="459"/>
      <c r="H68" s="459"/>
      <c r="I68" s="459"/>
      <c r="J68" s="460"/>
      <c r="K68" s="461">
        <v>7301</v>
      </c>
      <c r="L68" s="461"/>
      <c r="M68" s="51" t="s">
        <v>581</v>
      </c>
      <c r="N68" s="462" t="s">
        <v>551</v>
      </c>
      <c r="O68" s="462"/>
      <c r="P68" s="463">
        <v>50</v>
      </c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6</v>
      </c>
      <c r="B69" s="457"/>
      <c r="C69" s="105"/>
      <c r="D69" s="306"/>
      <c r="E69" s="309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7</v>
      </c>
      <c r="B70" s="457"/>
      <c r="C70" s="105"/>
      <c r="D70" s="306"/>
      <c r="E70" s="309"/>
      <c r="F70" s="468"/>
      <c r="G70" s="461"/>
      <c r="H70" s="461"/>
      <c r="I70" s="461"/>
      <c r="J70" s="461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8</v>
      </c>
      <c r="B71" s="457"/>
      <c r="C71" s="105"/>
      <c r="D71" s="306"/>
      <c r="E71" s="309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9</v>
      </c>
      <c r="B72" s="457"/>
      <c r="C72" s="105"/>
      <c r="D72" s="306"/>
      <c r="E72" s="309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10</v>
      </c>
      <c r="B73" s="457"/>
      <c r="C73" s="105"/>
      <c r="D73" s="306"/>
      <c r="E73" s="309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6.25" customHeight="1" thickBot="1">
      <c r="A74" s="469" t="s">
        <v>582</v>
      </c>
      <c r="B74" s="469"/>
      <c r="C74" s="469"/>
      <c r="D74" s="469"/>
      <c r="E74" s="46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0" t="s">
        <v>111</v>
      </c>
      <c r="B75" s="471"/>
      <c r="C75" s="308" t="s">
        <v>2</v>
      </c>
      <c r="D75" s="308" t="s">
        <v>37</v>
      </c>
      <c r="E75" s="308" t="s">
        <v>3</v>
      </c>
      <c r="F75" s="471" t="s">
        <v>38</v>
      </c>
      <c r="G75" s="471"/>
      <c r="H75" s="471"/>
      <c r="I75" s="471"/>
      <c r="J75" s="471"/>
      <c r="K75" s="472" t="s">
        <v>58</v>
      </c>
      <c r="L75" s="473"/>
      <c r="M75" s="473"/>
      <c r="N75" s="473"/>
      <c r="O75" s="473"/>
      <c r="P75" s="473"/>
      <c r="Q75" s="473"/>
      <c r="R75" s="473"/>
      <c r="S75" s="474"/>
      <c r="T75" s="471" t="s">
        <v>49</v>
      </c>
      <c r="U75" s="471"/>
      <c r="V75" s="472" t="s">
        <v>50</v>
      </c>
      <c r="W75" s="474"/>
      <c r="X75" s="473" t="s">
        <v>51</v>
      </c>
      <c r="Y75" s="473"/>
      <c r="Z75" s="473"/>
      <c r="AA75" s="473"/>
      <c r="AB75" s="473"/>
      <c r="AC75" s="473"/>
      <c r="AD75" s="475"/>
      <c r="AF75" s="50"/>
    </row>
    <row r="76" spans="1:32" ht="33.75" customHeight="1">
      <c r="A76" s="484">
        <v>1</v>
      </c>
      <c r="B76" s="485"/>
      <c r="C76" s="307" t="s">
        <v>112</v>
      </c>
      <c r="D76" s="307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76">
        <f>A76+1</f>
        <v>2</v>
      </c>
      <c r="B77" s="477"/>
      <c r="C77" s="306"/>
      <c r="D77" s="306"/>
      <c r="E77" s="32"/>
      <c r="F77" s="477"/>
      <c r="G77" s="477"/>
      <c r="H77" s="477"/>
      <c r="I77" s="477"/>
      <c r="J77" s="477"/>
      <c r="K77" s="478"/>
      <c r="L77" s="479"/>
      <c r="M77" s="479"/>
      <c r="N77" s="479"/>
      <c r="O77" s="479"/>
      <c r="P77" s="479"/>
      <c r="Q77" s="479"/>
      <c r="R77" s="479"/>
      <c r="S77" s="480"/>
      <c r="T77" s="481"/>
      <c r="U77" s="481"/>
      <c r="V77" s="481"/>
      <c r="W77" s="481"/>
      <c r="X77" s="482"/>
      <c r="Y77" s="482"/>
      <c r="Z77" s="482"/>
      <c r="AA77" s="482"/>
      <c r="AB77" s="482"/>
      <c r="AC77" s="482"/>
      <c r="AD77" s="483"/>
      <c r="AF77" s="50"/>
    </row>
    <row r="78" spans="1:32" ht="30" customHeight="1">
      <c r="A78" s="476">
        <f t="shared" ref="A78:A82" si="14">A77+1</f>
        <v>3</v>
      </c>
      <c r="B78" s="477"/>
      <c r="C78" s="306"/>
      <c r="D78" s="306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si="14"/>
        <v>4</v>
      </c>
      <c r="B79" s="477"/>
      <c r="C79" s="306"/>
      <c r="D79" s="306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14"/>
        <v>5</v>
      </c>
      <c r="B80" s="477"/>
      <c r="C80" s="306"/>
      <c r="D80" s="306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14"/>
        <v>6</v>
      </c>
      <c r="B81" s="477"/>
      <c r="C81" s="306"/>
      <c r="D81" s="306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14"/>
        <v>7</v>
      </c>
      <c r="B82" s="477"/>
      <c r="C82" s="306"/>
      <c r="D82" s="306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6" thickBot="1">
      <c r="A83" s="469" t="s">
        <v>583</v>
      </c>
      <c r="B83" s="469"/>
      <c r="C83" s="469"/>
      <c r="D83" s="469"/>
      <c r="E83" s="46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0" t="s">
        <v>111</v>
      </c>
      <c r="B84" s="471"/>
      <c r="C84" s="497" t="s">
        <v>52</v>
      </c>
      <c r="D84" s="497"/>
      <c r="E84" s="497" t="s">
        <v>53</v>
      </c>
      <c r="F84" s="497"/>
      <c r="G84" s="497"/>
      <c r="H84" s="497"/>
      <c r="I84" s="497"/>
      <c r="J84" s="497"/>
      <c r="K84" s="497" t="s">
        <v>54</v>
      </c>
      <c r="L84" s="497"/>
      <c r="M84" s="497"/>
      <c r="N84" s="497"/>
      <c r="O84" s="497"/>
      <c r="P84" s="497"/>
      <c r="Q84" s="497"/>
      <c r="R84" s="497"/>
      <c r="S84" s="497"/>
      <c r="T84" s="497" t="s">
        <v>55</v>
      </c>
      <c r="U84" s="497"/>
      <c r="V84" s="497" t="s">
        <v>56</v>
      </c>
      <c r="W84" s="497"/>
      <c r="X84" s="497"/>
      <c r="Y84" s="497" t="s">
        <v>51</v>
      </c>
      <c r="Z84" s="497"/>
      <c r="AA84" s="497"/>
      <c r="AB84" s="497"/>
      <c r="AC84" s="497"/>
      <c r="AD84" s="498"/>
      <c r="AF84" s="50"/>
    </row>
    <row r="85" spans="1:32" ht="30.75" customHeight="1">
      <c r="A85" s="484">
        <v>1</v>
      </c>
      <c r="B85" s="485"/>
      <c r="C85" s="499"/>
      <c r="D85" s="499"/>
      <c r="E85" s="499"/>
      <c r="F85" s="499"/>
      <c r="G85" s="499"/>
      <c r="H85" s="499"/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500"/>
      <c r="W85" s="500"/>
      <c r="X85" s="500"/>
      <c r="Y85" s="501"/>
      <c r="Z85" s="501"/>
      <c r="AA85" s="501"/>
      <c r="AB85" s="501"/>
      <c r="AC85" s="501"/>
      <c r="AD85" s="502"/>
      <c r="AF85" s="50"/>
    </row>
    <row r="86" spans="1:32" ht="30.75" customHeight="1">
      <c r="A86" s="476">
        <v>2</v>
      </c>
      <c r="B86" s="477"/>
      <c r="C86" s="510"/>
      <c r="D86" s="510"/>
      <c r="E86" s="510"/>
      <c r="F86" s="510"/>
      <c r="G86" s="510"/>
      <c r="H86" s="510"/>
      <c r="I86" s="510"/>
      <c r="J86" s="510"/>
      <c r="K86" s="510"/>
      <c r="L86" s="510"/>
      <c r="M86" s="510"/>
      <c r="N86" s="510"/>
      <c r="O86" s="510"/>
      <c r="P86" s="510"/>
      <c r="Q86" s="510"/>
      <c r="R86" s="510"/>
      <c r="S86" s="510"/>
      <c r="T86" s="511"/>
      <c r="U86" s="511"/>
      <c r="V86" s="512"/>
      <c r="W86" s="512"/>
      <c r="X86" s="512"/>
      <c r="Y86" s="503"/>
      <c r="Z86" s="503"/>
      <c r="AA86" s="503"/>
      <c r="AB86" s="503"/>
      <c r="AC86" s="503"/>
      <c r="AD86" s="504"/>
      <c r="AF86" s="50"/>
    </row>
    <row r="87" spans="1:32" ht="30.75" customHeight="1" thickBot="1">
      <c r="A87" s="505">
        <v>3</v>
      </c>
      <c r="B87" s="506"/>
      <c r="C87" s="507"/>
      <c r="D87" s="507"/>
      <c r="E87" s="507"/>
      <c r="F87" s="507"/>
      <c r="G87" s="507"/>
      <c r="H87" s="507"/>
      <c r="I87" s="507"/>
      <c r="J87" s="507"/>
      <c r="K87" s="507"/>
      <c r="L87" s="507"/>
      <c r="M87" s="507"/>
      <c r="N87" s="507"/>
      <c r="O87" s="507"/>
      <c r="P87" s="507"/>
      <c r="Q87" s="507"/>
      <c r="R87" s="507"/>
      <c r="S87" s="507"/>
      <c r="T87" s="507"/>
      <c r="U87" s="507"/>
      <c r="V87" s="507"/>
      <c r="W87" s="507"/>
      <c r="X87" s="507"/>
      <c r="Y87" s="508"/>
      <c r="Z87" s="508"/>
      <c r="AA87" s="508"/>
      <c r="AB87" s="508"/>
      <c r="AC87" s="508"/>
      <c r="AD87" s="509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B802-39AB-42C7-93EA-83D6DF60A3CF}">
  <dimension ref="A1:AF88"/>
  <sheetViews>
    <sheetView view="pageBreakPreview" zoomScale="70" zoomScaleNormal="72" zoomScaleSheetLayoutView="70" workbookViewId="0">
      <selection activeCell="AE10" sqref="AE10:AE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584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329" t="s">
        <v>17</v>
      </c>
      <c r="L5" s="329" t="s">
        <v>18</v>
      </c>
      <c r="M5" s="329" t="s">
        <v>19</v>
      </c>
      <c r="N5" s="32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135</v>
      </c>
      <c r="E6" s="53" t="s">
        <v>434</v>
      </c>
      <c r="F6" s="30" t="s">
        <v>131</v>
      </c>
      <c r="G6" s="12">
        <v>1</v>
      </c>
      <c r="H6" s="13">
        <v>24</v>
      </c>
      <c r="I6" s="31">
        <v>600</v>
      </c>
      <c r="J6" s="5">
        <v>733</v>
      </c>
      <c r="K6" s="15">
        <f>L6+733</f>
        <v>733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>$AD$23</f>
        <v>0.48284313725490202</v>
      </c>
      <c r="AF6" s="84">
        <f t="shared" ref="AF6:AF22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502</v>
      </c>
      <c r="F7" s="12" t="s">
        <v>509</v>
      </c>
      <c r="G7" s="12">
        <v>1</v>
      </c>
      <c r="H7" s="13">
        <v>24</v>
      </c>
      <c r="I7" s="31">
        <v>4000</v>
      </c>
      <c r="J7" s="14">
        <v>3227</v>
      </c>
      <c r="K7" s="15">
        <f>L7+5261+3227</f>
        <v>8488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>$AD$23</f>
        <v>0.48284313725490202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492</v>
      </c>
      <c r="F8" s="30" t="s">
        <v>132</v>
      </c>
      <c r="G8" s="33">
        <v>1</v>
      </c>
      <c r="H8" s="35">
        <v>24</v>
      </c>
      <c r="I8" s="7">
        <v>10000</v>
      </c>
      <c r="J8" s="14">
        <v>1503</v>
      </c>
      <c r="K8" s="15">
        <f>L8+4254+1756+3035+3563</f>
        <v>14111</v>
      </c>
      <c r="L8" s="15">
        <v>1503</v>
      </c>
      <c r="M8" s="15">
        <f t="shared" si="0"/>
        <v>1503</v>
      </c>
      <c r="N8" s="15">
        <v>0</v>
      </c>
      <c r="O8" s="58">
        <f t="shared" si="1"/>
        <v>0</v>
      </c>
      <c r="P8" s="39">
        <f t="shared" si="2"/>
        <v>9</v>
      </c>
      <c r="Q8" s="40">
        <f t="shared" si="3"/>
        <v>15</v>
      </c>
      <c r="R8" s="7"/>
      <c r="S8" s="6">
        <v>15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0.375</v>
      </c>
      <c r="AD8" s="10">
        <f t="shared" si="6"/>
        <v>0.375</v>
      </c>
      <c r="AE8" s="36">
        <f>$AD$23</f>
        <v>0.48284313725490202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115</v>
      </c>
      <c r="E9" s="53" t="s">
        <v>585</v>
      </c>
      <c r="F9" s="30" t="s">
        <v>139</v>
      </c>
      <c r="G9" s="33">
        <v>1</v>
      </c>
      <c r="H9" s="35">
        <v>24</v>
      </c>
      <c r="I9" s="7">
        <v>2000</v>
      </c>
      <c r="J9" s="14">
        <v>2175</v>
      </c>
      <c r="K9" s="15">
        <f>L9</f>
        <v>2175</v>
      </c>
      <c r="L9" s="15">
        <f>874+1301</f>
        <v>2175</v>
      </c>
      <c r="M9" s="15">
        <f t="shared" si="0"/>
        <v>2175</v>
      </c>
      <c r="N9" s="15">
        <v>0</v>
      </c>
      <c r="O9" s="58">
        <f t="shared" si="1"/>
        <v>0</v>
      </c>
      <c r="P9" s="39">
        <f t="shared" si="2"/>
        <v>13</v>
      </c>
      <c r="Q9" s="40">
        <f t="shared" si="3"/>
        <v>11</v>
      </c>
      <c r="R9" s="7"/>
      <c r="S9" s="6"/>
      <c r="T9" s="16"/>
      <c r="U9" s="16"/>
      <c r="V9" s="17"/>
      <c r="W9" s="5">
        <v>11</v>
      </c>
      <c r="X9" s="16"/>
      <c r="Y9" s="16"/>
      <c r="Z9" s="16"/>
      <c r="AA9" s="18"/>
      <c r="AB9" s="8">
        <f t="shared" si="4"/>
        <v>1</v>
      </c>
      <c r="AC9" s="9">
        <f t="shared" si="5"/>
        <v>0.54166666666666663</v>
      </c>
      <c r="AD9" s="10">
        <f t="shared" si="6"/>
        <v>0.54166666666666663</v>
      </c>
      <c r="AE9" s="36">
        <f>$AD$23</f>
        <v>0.48284313725490202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476</v>
      </c>
      <c r="E10" s="53" t="s">
        <v>477</v>
      </c>
      <c r="F10" s="30" t="s">
        <v>478</v>
      </c>
      <c r="G10" s="33">
        <v>2</v>
      </c>
      <c r="H10" s="35">
        <v>24</v>
      </c>
      <c r="I10" s="7">
        <v>10000</v>
      </c>
      <c r="J10" s="5">
        <v>5006</v>
      </c>
      <c r="K10" s="15">
        <f>L10+4950+7828+8384+8688+8842</f>
        <v>43698</v>
      </c>
      <c r="L10" s="15">
        <f>2183*2+320*2</f>
        <v>5006</v>
      </c>
      <c r="M10" s="15">
        <f t="shared" si="0"/>
        <v>5006</v>
      </c>
      <c r="N10" s="15">
        <v>0</v>
      </c>
      <c r="O10" s="58">
        <f t="shared" si="1"/>
        <v>0</v>
      </c>
      <c r="P10" s="39">
        <f t="shared" si="2"/>
        <v>16</v>
      </c>
      <c r="Q10" s="40">
        <f t="shared" si="3"/>
        <v>8</v>
      </c>
      <c r="R10" s="7"/>
      <c r="S10" s="6">
        <v>8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0.66666666666666663</v>
      </c>
      <c r="AD10" s="10">
        <f>AC10*AB10*(1-O10)</f>
        <v>0.66666666666666663</v>
      </c>
      <c r="AE10" s="36">
        <f>$AD$23</f>
        <v>0.48284313725490202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511</v>
      </c>
      <c r="E11" s="53" t="s">
        <v>535</v>
      </c>
      <c r="F11" s="30" t="s">
        <v>513</v>
      </c>
      <c r="G11" s="33">
        <v>16</v>
      </c>
      <c r="H11" s="35">
        <v>24</v>
      </c>
      <c r="I11" s="7">
        <v>300000</v>
      </c>
      <c r="J11" s="14">
        <v>61170</v>
      </c>
      <c r="K11" s="15">
        <f>L11+36740</f>
        <v>97910</v>
      </c>
      <c r="L11" s="15">
        <f>3131*10+2986*10</f>
        <v>61170</v>
      </c>
      <c r="M11" s="15">
        <f t="shared" si="0"/>
        <v>61170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8">AC11*AB11*(1-O11)</f>
        <v>1</v>
      </c>
      <c r="AE11" s="36">
        <f t="shared" ref="AE11:AE13" si="9">$AD$23</f>
        <v>0.48284313725490202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115</v>
      </c>
      <c r="E12" s="53" t="s">
        <v>166</v>
      </c>
      <c r="F12" s="30" t="s">
        <v>119</v>
      </c>
      <c r="G12" s="33">
        <v>1</v>
      </c>
      <c r="H12" s="35">
        <v>24</v>
      </c>
      <c r="I12" s="7">
        <v>10000</v>
      </c>
      <c r="J12" s="14">
        <v>5018</v>
      </c>
      <c r="K12" s="15">
        <f>L12+2147+4027</f>
        <v>11192</v>
      </c>
      <c r="L12" s="15">
        <f>2593+2425</f>
        <v>5018</v>
      </c>
      <c r="M12" s="15">
        <f t="shared" si="0"/>
        <v>5018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9"/>
        <v>0.48284313725490202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143</v>
      </c>
      <c r="F13" s="30" t="s">
        <v>125</v>
      </c>
      <c r="G13" s="33">
        <v>1</v>
      </c>
      <c r="H13" s="35">
        <v>24</v>
      </c>
      <c r="I13" s="7">
        <v>50000</v>
      </c>
      <c r="J13" s="5">
        <v>14979</v>
      </c>
      <c r="K13" s="15">
        <f>L13+9354+15468</f>
        <v>39801</v>
      </c>
      <c r="L13" s="15">
        <f>2689*3+2304*3</f>
        <v>14979</v>
      </c>
      <c r="M13" s="15">
        <f t="shared" si="0"/>
        <v>14979</v>
      </c>
      <c r="N13" s="15">
        <v>0</v>
      </c>
      <c r="O13" s="58">
        <f t="shared" si="1"/>
        <v>0</v>
      </c>
      <c r="P13" s="39">
        <f t="shared" si="2"/>
        <v>22</v>
      </c>
      <c r="Q13" s="40">
        <f t="shared" si="3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0.91666666666666663</v>
      </c>
      <c r="AD13" s="10">
        <f>AC13*AB13*(1-O13)</f>
        <v>0.91666666666666663</v>
      </c>
      <c r="AE13" s="36">
        <f t="shared" si="9"/>
        <v>0.48284313725490202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121</v>
      </c>
      <c r="D14" s="52" t="s">
        <v>586</v>
      </c>
      <c r="E14" s="53"/>
      <c r="F14" s="30" t="s">
        <v>125</v>
      </c>
      <c r="G14" s="33" t="s">
        <v>587</v>
      </c>
      <c r="H14" s="35">
        <v>24</v>
      </c>
      <c r="I14" s="7">
        <v>5000</v>
      </c>
      <c r="J14" s="5">
        <v>2880</v>
      </c>
      <c r="K14" s="15">
        <f>L14</f>
        <v>2880</v>
      </c>
      <c r="L14" s="15">
        <f>1373*2+67*2</f>
        <v>2880</v>
      </c>
      <c r="M14" s="15">
        <f t="shared" si="0"/>
        <v>2880</v>
      </c>
      <c r="N14" s="15">
        <v>0</v>
      </c>
      <c r="O14" s="58">
        <f t="shared" si="1"/>
        <v>0</v>
      </c>
      <c r="P14" s="39">
        <f t="shared" si="2"/>
        <v>10</v>
      </c>
      <c r="Q14" s="40">
        <f t="shared" si="3"/>
        <v>14</v>
      </c>
      <c r="R14" s="7"/>
      <c r="S14" s="6"/>
      <c r="T14" s="16"/>
      <c r="U14" s="16"/>
      <c r="V14" s="17">
        <v>14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0.41666666666666669</v>
      </c>
      <c r="AD14" s="10">
        <f t="shared" si="8"/>
        <v>0.41666666666666669</v>
      </c>
      <c r="AE14" s="36">
        <f t="shared" ref="AE14:AE22" si="10">$AD$23</f>
        <v>0.48284313725490202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494</v>
      </c>
      <c r="F15" s="12" t="s">
        <v>152</v>
      </c>
      <c r="G15" s="12">
        <v>1</v>
      </c>
      <c r="H15" s="13">
        <v>24</v>
      </c>
      <c r="I15" s="31">
        <v>2300</v>
      </c>
      <c r="J15" s="14">
        <v>4412</v>
      </c>
      <c r="K15" s="15">
        <f>L15+4412</f>
        <v>4412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10"/>
        <v>0.48284313725490202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L16+6564+12528+9524+11762+12146+1640</f>
        <v>54164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10"/>
        <v>0.48284313725490202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112</v>
      </c>
      <c r="D17" s="52" t="s">
        <v>230</v>
      </c>
      <c r="E17" s="53" t="s">
        <v>556</v>
      </c>
      <c r="F17" s="30" t="s">
        <v>156</v>
      </c>
      <c r="G17" s="12">
        <v>1</v>
      </c>
      <c r="H17" s="13">
        <v>24</v>
      </c>
      <c r="I17" s="7">
        <v>500</v>
      </c>
      <c r="J17" s="14">
        <v>677</v>
      </c>
      <c r="K17" s="15">
        <f>L17</f>
        <v>677</v>
      </c>
      <c r="L17" s="15">
        <v>677</v>
      </c>
      <c r="M17" s="15">
        <f t="shared" si="0"/>
        <v>677</v>
      </c>
      <c r="N17" s="15">
        <v>0</v>
      </c>
      <c r="O17" s="58">
        <f t="shared" si="1"/>
        <v>0</v>
      </c>
      <c r="P17" s="39">
        <f t="shared" si="2"/>
        <v>6</v>
      </c>
      <c r="Q17" s="40">
        <f t="shared" si="3"/>
        <v>18</v>
      </c>
      <c r="R17" s="7"/>
      <c r="S17" s="6">
        <v>8</v>
      </c>
      <c r="T17" s="16"/>
      <c r="U17" s="16"/>
      <c r="V17" s="17"/>
      <c r="W17" s="5">
        <v>10</v>
      </c>
      <c r="X17" s="16"/>
      <c r="Y17" s="16"/>
      <c r="Z17" s="16"/>
      <c r="AA17" s="18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6">
        <f t="shared" si="10"/>
        <v>0.48284313725490202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211</v>
      </c>
      <c r="F18" s="30" t="s">
        <v>139</v>
      </c>
      <c r="G18" s="33">
        <v>1</v>
      </c>
      <c r="H18" s="35">
        <v>24</v>
      </c>
      <c r="I18" s="7">
        <v>10000</v>
      </c>
      <c r="J18" s="14">
        <v>5251</v>
      </c>
      <c r="K18" s="15">
        <f>L18+3143+5226</f>
        <v>13620</v>
      </c>
      <c r="L18" s="15">
        <f>2570+2681</f>
        <v>5251</v>
      </c>
      <c r="M18" s="15">
        <f t="shared" si="0"/>
        <v>5251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10"/>
        <v>0.48284313725490202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294</v>
      </c>
      <c r="E19" s="53" t="s">
        <v>555</v>
      </c>
      <c r="F19" s="30" t="s">
        <v>139</v>
      </c>
      <c r="G19" s="33">
        <v>1</v>
      </c>
      <c r="H19" s="35">
        <v>24</v>
      </c>
      <c r="I19" s="7">
        <v>500</v>
      </c>
      <c r="J19" s="5">
        <v>584</v>
      </c>
      <c r="K19" s="15">
        <f>L19</f>
        <v>584</v>
      </c>
      <c r="L19" s="15">
        <f>584</f>
        <v>584</v>
      </c>
      <c r="M19" s="15">
        <f t="shared" si="0"/>
        <v>584</v>
      </c>
      <c r="N19" s="15">
        <v>0</v>
      </c>
      <c r="O19" s="58">
        <f t="shared" si="1"/>
        <v>0</v>
      </c>
      <c r="P19" s="39">
        <f t="shared" si="2"/>
        <v>5</v>
      </c>
      <c r="Q19" s="40">
        <f t="shared" si="3"/>
        <v>19</v>
      </c>
      <c r="R19" s="7"/>
      <c r="S19" s="6"/>
      <c r="T19" s="16"/>
      <c r="U19" s="16"/>
      <c r="V19" s="17"/>
      <c r="W19" s="5">
        <v>19</v>
      </c>
      <c r="X19" s="16"/>
      <c r="Y19" s="16"/>
      <c r="Z19" s="16"/>
      <c r="AA19" s="18"/>
      <c r="AB19" s="8">
        <f t="shared" si="4"/>
        <v>1</v>
      </c>
      <c r="AC19" s="9">
        <f t="shared" si="5"/>
        <v>0.20833333333333334</v>
      </c>
      <c r="AD19" s="10">
        <f>AC19*AB19*(1-O19)</f>
        <v>0.20833333333333334</v>
      </c>
      <c r="AE19" s="36">
        <f t="shared" si="10"/>
        <v>0.48284313725490202</v>
      </c>
      <c r="AF19" s="84">
        <f t="shared" si="7"/>
        <v>14</v>
      </c>
    </row>
    <row r="20" spans="1:32" ht="27" customHeight="1">
      <c r="A20" s="96">
        <v>14</v>
      </c>
      <c r="B20" s="11" t="s">
        <v>57</v>
      </c>
      <c r="C20" s="34" t="s">
        <v>120</v>
      </c>
      <c r="D20" s="52" t="s">
        <v>191</v>
      </c>
      <c r="E20" s="53" t="s">
        <v>588</v>
      </c>
      <c r="F20" s="30" t="s">
        <v>195</v>
      </c>
      <c r="G20" s="33">
        <v>1</v>
      </c>
      <c r="H20" s="35">
        <v>24</v>
      </c>
      <c r="I20" s="7">
        <v>2000</v>
      </c>
      <c r="J20" s="5">
        <v>2034</v>
      </c>
      <c r="K20" s="15">
        <f>L20</f>
        <v>2034</v>
      </c>
      <c r="L20" s="15">
        <v>2034</v>
      </c>
      <c r="M20" s="15">
        <f t="shared" ref="M20" si="11">L20-N20</f>
        <v>2034</v>
      </c>
      <c r="N20" s="15">
        <v>0</v>
      </c>
      <c r="O20" s="58">
        <f t="shared" ref="O20" si="12">IF(L20=0,"0",N20/L20)</f>
        <v>0</v>
      </c>
      <c r="P20" s="39">
        <f t="shared" ref="P20" si="13">IF(L20=0,"0",(24-Q20))</f>
        <v>15</v>
      </c>
      <c r="Q20" s="40">
        <f t="shared" ref="Q20" si="14">SUM(R20:AA20)</f>
        <v>9</v>
      </c>
      <c r="R20" s="7"/>
      <c r="S20" s="6"/>
      <c r="T20" s="16">
        <v>9</v>
      </c>
      <c r="U20" s="16"/>
      <c r="V20" s="17"/>
      <c r="W20" s="5"/>
      <c r="X20" s="16"/>
      <c r="Y20" s="16"/>
      <c r="Z20" s="16"/>
      <c r="AA20" s="18"/>
      <c r="AB20" s="8">
        <f t="shared" ref="AB20" si="15">IF(J20=0,"0",(L20/J20))</f>
        <v>1</v>
      </c>
      <c r="AC20" s="9">
        <f t="shared" ref="AC20" si="16">IF(P20=0,"0",(P20/24))</f>
        <v>0.625</v>
      </c>
      <c r="AD20" s="10">
        <f>AC20*AB20*(1-O20)</f>
        <v>0.625</v>
      </c>
      <c r="AE20" s="36">
        <f t="shared" si="10"/>
        <v>0.48284313725490202</v>
      </c>
      <c r="AF20" s="84">
        <f t="shared" ref="AF20" si="17">A20</f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161</v>
      </c>
      <c r="E21" s="53" t="s">
        <v>238</v>
      </c>
      <c r="F21" s="30" t="s">
        <v>478</v>
      </c>
      <c r="G21" s="12">
        <v>4</v>
      </c>
      <c r="H21" s="13">
        <v>28</v>
      </c>
      <c r="I21" s="31">
        <v>4000</v>
      </c>
      <c r="J21" s="5">
        <v>4824</v>
      </c>
      <c r="K21" s="15">
        <f>L21</f>
        <v>4824</v>
      </c>
      <c r="L21" s="15">
        <f>1206*4</f>
        <v>4824</v>
      </c>
      <c r="M21" s="15">
        <f t="shared" si="0"/>
        <v>4824</v>
      </c>
      <c r="N21" s="15">
        <v>0</v>
      </c>
      <c r="O21" s="58">
        <f t="shared" si="1"/>
        <v>0</v>
      </c>
      <c r="P21" s="39">
        <f t="shared" si="2"/>
        <v>7</v>
      </c>
      <c r="Q21" s="40">
        <f t="shared" si="3"/>
        <v>17</v>
      </c>
      <c r="R21" s="7"/>
      <c r="S21" s="6"/>
      <c r="T21" s="16"/>
      <c r="U21" s="16"/>
      <c r="V21" s="17"/>
      <c r="W21" s="5">
        <v>17</v>
      </c>
      <c r="X21" s="16"/>
      <c r="Y21" s="16"/>
      <c r="Z21" s="16"/>
      <c r="AA21" s="18"/>
      <c r="AB21" s="8">
        <f t="shared" si="4"/>
        <v>1</v>
      </c>
      <c r="AC21" s="9">
        <f t="shared" si="5"/>
        <v>0.29166666666666669</v>
      </c>
      <c r="AD21" s="10">
        <f t="shared" ref="AD21" si="18">AC21*AB21*(1-O21)</f>
        <v>0.29166666666666669</v>
      </c>
      <c r="AE21" s="36">
        <f t="shared" si="10"/>
        <v>0.48284313725490202</v>
      </c>
      <c r="AF21" s="84">
        <f t="shared" si="7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144</v>
      </c>
      <c r="F22" s="12" t="s">
        <v>114</v>
      </c>
      <c r="G22" s="12">
        <v>4</v>
      </c>
      <c r="H22" s="35">
        <v>20</v>
      </c>
      <c r="I22" s="7">
        <v>300000</v>
      </c>
      <c r="J22" s="14">
        <v>66912</v>
      </c>
      <c r="K22" s="15">
        <f>L22</f>
        <v>66912</v>
      </c>
      <c r="L22" s="15">
        <f>7409*4+9319*4</f>
        <v>66912</v>
      </c>
      <c r="M22" s="15">
        <f t="shared" si="0"/>
        <v>66912</v>
      </c>
      <c r="N22" s="15">
        <v>0</v>
      </c>
      <c r="O22" s="58">
        <f t="shared" si="1"/>
        <v>0</v>
      </c>
      <c r="P22" s="39">
        <f t="shared" si="2"/>
        <v>22</v>
      </c>
      <c r="Q22" s="40">
        <f t="shared" si="3"/>
        <v>2</v>
      </c>
      <c r="R22" s="7"/>
      <c r="S22" s="6"/>
      <c r="T22" s="16">
        <v>2</v>
      </c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0.91666666666666663</v>
      </c>
      <c r="AD22" s="10">
        <f t="shared" si="6"/>
        <v>0.91666666666666663</v>
      </c>
      <c r="AE22" s="36">
        <f t="shared" si="10"/>
        <v>0.48284313725490202</v>
      </c>
      <c r="AF22" s="84">
        <f t="shared" si="7"/>
        <v>16</v>
      </c>
    </row>
    <row r="23" spans="1:32" ht="31.5" customHeight="1" thickBot="1">
      <c r="A23" s="405" t="s">
        <v>34</v>
      </c>
      <c r="B23" s="406"/>
      <c r="C23" s="406"/>
      <c r="D23" s="406"/>
      <c r="E23" s="406"/>
      <c r="F23" s="406"/>
      <c r="G23" s="406"/>
      <c r="H23" s="407"/>
      <c r="I23" s="22">
        <f t="shared" ref="I23:N23" si="19">SUM(I6:I22)</f>
        <v>1010900</v>
      </c>
      <c r="J23" s="19">
        <f t="shared" si="19"/>
        <v>183025</v>
      </c>
      <c r="K23" s="20">
        <f t="shared" si="19"/>
        <v>368215</v>
      </c>
      <c r="L23" s="21">
        <f t="shared" si="19"/>
        <v>173013</v>
      </c>
      <c r="M23" s="20">
        <f t="shared" si="19"/>
        <v>173013</v>
      </c>
      <c r="N23" s="21">
        <f t="shared" si="19"/>
        <v>0</v>
      </c>
      <c r="O23" s="41">
        <f t="shared" si="1"/>
        <v>0</v>
      </c>
      <c r="P23" s="42">
        <f t="shared" ref="P23:AA23" si="20">SUM(P6:P22)</f>
        <v>197</v>
      </c>
      <c r="Q23" s="43">
        <f t="shared" si="20"/>
        <v>211</v>
      </c>
      <c r="R23" s="23">
        <f t="shared" si="20"/>
        <v>24</v>
      </c>
      <c r="S23" s="24">
        <f t="shared" si="20"/>
        <v>57</v>
      </c>
      <c r="T23" s="24">
        <f t="shared" si="20"/>
        <v>11</v>
      </c>
      <c r="U23" s="24">
        <f t="shared" si="20"/>
        <v>0</v>
      </c>
      <c r="V23" s="25">
        <f t="shared" si="20"/>
        <v>14</v>
      </c>
      <c r="W23" s="26">
        <f t="shared" si="20"/>
        <v>105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0</v>
      </c>
      <c r="AB23" s="28">
        <f>AVERAGE(AB6:AB22)</f>
        <v>0.76470588235294112</v>
      </c>
      <c r="AC23" s="4">
        <f>AVERAGE(AC6:AC22)</f>
        <v>0.48284313725490202</v>
      </c>
      <c r="AD23" s="4">
        <f>AVERAGE(AD6:AD22)</f>
        <v>0.48284313725490202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08" t="s">
        <v>45</v>
      </c>
      <c r="B50" s="408"/>
      <c r="C50" s="408"/>
      <c r="D50" s="408"/>
      <c r="E50" s="40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09" t="s">
        <v>589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1"/>
      <c r="N51" s="412" t="s">
        <v>592</v>
      </c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4"/>
    </row>
    <row r="52" spans="1:32" ht="27" customHeight="1">
      <c r="A52" s="415" t="s">
        <v>2</v>
      </c>
      <c r="B52" s="416"/>
      <c r="C52" s="328" t="s">
        <v>46</v>
      </c>
      <c r="D52" s="328" t="s">
        <v>47</v>
      </c>
      <c r="E52" s="328" t="s">
        <v>107</v>
      </c>
      <c r="F52" s="417" t="s">
        <v>106</v>
      </c>
      <c r="G52" s="418"/>
      <c r="H52" s="418"/>
      <c r="I52" s="418"/>
      <c r="J52" s="418"/>
      <c r="K52" s="418"/>
      <c r="L52" s="418"/>
      <c r="M52" s="419"/>
      <c r="N52" s="67" t="s">
        <v>110</v>
      </c>
      <c r="O52" s="328" t="s">
        <v>46</v>
      </c>
      <c r="P52" s="417" t="s">
        <v>47</v>
      </c>
      <c r="Q52" s="420"/>
      <c r="R52" s="417" t="s">
        <v>38</v>
      </c>
      <c r="S52" s="418"/>
      <c r="T52" s="418"/>
      <c r="U52" s="420"/>
      <c r="V52" s="417" t="s">
        <v>48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31" t="s">
        <v>120</v>
      </c>
      <c r="B53" s="432"/>
      <c r="C53" s="325" t="s">
        <v>217</v>
      </c>
      <c r="D53" s="325" t="s">
        <v>294</v>
      </c>
      <c r="E53" s="325" t="s">
        <v>492</v>
      </c>
      <c r="F53" s="433" t="s">
        <v>546</v>
      </c>
      <c r="G53" s="434"/>
      <c r="H53" s="434"/>
      <c r="I53" s="434"/>
      <c r="J53" s="434"/>
      <c r="K53" s="434"/>
      <c r="L53" s="434"/>
      <c r="M53" s="435"/>
      <c r="N53" s="324" t="s">
        <v>120</v>
      </c>
      <c r="O53" s="322" t="s">
        <v>127</v>
      </c>
      <c r="P53" s="436" t="s">
        <v>135</v>
      </c>
      <c r="Q53" s="437"/>
      <c r="R53" s="436" t="s">
        <v>502</v>
      </c>
      <c r="S53" s="438"/>
      <c r="T53" s="438"/>
      <c r="U53" s="437"/>
      <c r="V53" s="439" t="s">
        <v>289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120</v>
      </c>
      <c r="B54" s="432"/>
      <c r="C54" s="325" t="s">
        <v>190</v>
      </c>
      <c r="D54" s="325" t="s">
        <v>115</v>
      </c>
      <c r="E54" s="325" t="s">
        <v>585</v>
      </c>
      <c r="F54" s="433" t="s">
        <v>118</v>
      </c>
      <c r="G54" s="434"/>
      <c r="H54" s="434"/>
      <c r="I54" s="434"/>
      <c r="J54" s="434"/>
      <c r="K54" s="434"/>
      <c r="L54" s="434"/>
      <c r="M54" s="435"/>
      <c r="N54" s="324" t="s">
        <v>594</v>
      </c>
      <c r="O54" s="322" t="s">
        <v>223</v>
      </c>
      <c r="P54" s="436" t="s">
        <v>595</v>
      </c>
      <c r="Q54" s="437"/>
      <c r="R54" s="436" t="s">
        <v>593</v>
      </c>
      <c r="S54" s="438"/>
      <c r="T54" s="438"/>
      <c r="U54" s="437"/>
      <c r="V54" s="439" t="s">
        <v>118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120</v>
      </c>
      <c r="B55" s="432"/>
      <c r="C55" s="325" t="s">
        <v>148</v>
      </c>
      <c r="D55" s="325" t="s">
        <v>161</v>
      </c>
      <c r="E55" s="325" t="s">
        <v>238</v>
      </c>
      <c r="F55" s="433" t="s">
        <v>118</v>
      </c>
      <c r="G55" s="434"/>
      <c r="H55" s="434"/>
      <c r="I55" s="434"/>
      <c r="J55" s="434"/>
      <c r="K55" s="434"/>
      <c r="L55" s="434"/>
      <c r="M55" s="435"/>
      <c r="N55" s="324" t="s">
        <v>597</v>
      </c>
      <c r="O55" s="322" t="s">
        <v>148</v>
      </c>
      <c r="P55" s="436" t="s">
        <v>115</v>
      </c>
      <c r="Q55" s="437"/>
      <c r="R55" s="436" t="s">
        <v>596</v>
      </c>
      <c r="S55" s="438"/>
      <c r="T55" s="438"/>
      <c r="U55" s="437"/>
      <c r="V55" s="439" t="s">
        <v>118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120</v>
      </c>
      <c r="B56" s="432"/>
      <c r="C56" s="325" t="s">
        <v>223</v>
      </c>
      <c r="D56" s="325" t="s">
        <v>191</v>
      </c>
      <c r="E56" s="325" t="s">
        <v>588</v>
      </c>
      <c r="F56" s="433" t="s">
        <v>118</v>
      </c>
      <c r="G56" s="434"/>
      <c r="H56" s="434"/>
      <c r="I56" s="434"/>
      <c r="J56" s="434"/>
      <c r="K56" s="434"/>
      <c r="L56" s="434"/>
      <c r="M56" s="435"/>
      <c r="N56" s="324"/>
      <c r="O56" s="322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112</v>
      </c>
      <c r="B57" s="432"/>
      <c r="C57" s="325" t="s">
        <v>223</v>
      </c>
      <c r="D57" s="325" t="s">
        <v>294</v>
      </c>
      <c r="E57" s="325" t="s">
        <v>555</v>
      </c>
      <c r="F57" s="433" t="s">
        <v>118</v>
      </c>
      <c r="G57" s="434"/>
      <c r="H57" s="434"/>
      <c r="I57" s="434"/>
      <c r="J57" s="434"/>
      <c r="K57" s="434"/>
      <c r="L57" s="434"/>
      <c r="M57" s="435"/>
      <c r="N57" s="324"/>
      <c r="O57" s="322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112</v>
      </c>
      <c r="B58" s="432"/>
      <c r="C58" s="325" t="s">
        <v>233</v>
      </c>
      <c r="D58" s="325" t="s">
        <v>230</v>
      </c>
      <c r="E58" s="325" t="s">
        <v>556</v>
      </c>
      <c r="F58" s="433" t="s">
        <v>118</v>
      </c>
      <c r="G58" s="434"/>
      <c r="H58" s="434"/>
      <c r="I58" s="434"/>
      <c r="J58" s="434"/>
      <c r="K58" s="434"/>
      <c r="L58" s="434"/>
      <c r="M58" s="435"/>
      <c r="N58" s="324"/>
      <c r="O58" s="322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325"/>
      <c r="D59" s="325"/>
      <c r="E59" s="325"/>
      <c r="F59" s="433"/>
      <c r="G59" s="434"/>
      <c r="H59" s="434"/>
      <c r="I59" s="434"/>
      <c r="J59" s="434"/>
      <c r="K59" s="434"/>
      <c r="L59" s="434"/>
      <c r="M59" s="435"/>
      <c r="N59" s="324"/>
      <c r="O59" s="322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325"/>
      <c r="D60" s="325"/>
      <c r="E60" s="325"/>
      <c r="F60" s="433"/>
      <c r="G60" s="434"/>
      <c r="H60" s="434"/>
      <c r="I60" s="434"/>
      <c r="J60" s="434"/>
      <c r="K60" s="434"/>
      <c r="L60" s="434"/>
      <c r="M60" s="435"/>
      <c r="N60" s="324"/>
      <c r="O60" s="322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325"/>
      <c r="D61" s="325"/>
      <c r="E61" s="325"/>
      <c r="F61" s="433"/>
      <c r="G61" s="434"/>
      <c r="H61" s="434"/>
      <c r="I61" s="434"/>
      <c r="J61" s="434"/>
      <c r="K61" s="434"/>
      <c r="L61" s="434"/>
      <c r="M61" s="435"/>
      <c r="N61" s="324"/>
      <c r="O61" s="322"/>
      <c r="P61" s="432"/>
      <c r="Q61" s="432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  <c r="AF61" s="84">
        <f>8*3000</f>
        <v>24000</v>
      </c>
    </row>
    <row r="62" spans="1:32" ht="27" customHeight="1" thickBot="1">
      <c r="A62" s="441"/>
      <c r="B62" s="442"/>
      <c r="C62" s="326"/>
      <c r="D62" s="327"/>
      <c r="E62" s="327"/>
      <c r="F62" s="443"/>
      <c r="G62" s="444"/>
      <c r="H62" s="444"/>
      <c r="I62" s="444"/>
      <c r="J62" s="444"/>
      <c r="K62" s="444"/>
      <c r="L62" s="444"/>
      <c r="M62" s="445"/>
      <c r="N62" s="112"/>
      <c r="O62" s="103"/>
      <c r="P62" s="446"/>
      <c r="Q62" s="446"/>
      <c r="R62" s="446"/>
      <c r="S62" s="446"/>
      <c r="T62" s="446"/>
      <c r="U62" s="446"/>
      <c r="V62" s="447"/>
      <c r="W62" s="447"/>
      <c r="X62" s="447"/>
      <c r="Y62" s="447"/>
      <c r="Z62" s="447"/>
      <c r="AA62" s="447"/>
      <c r="AB62" s="447"/>
      <c r="AC62" s="447"/>
      <c r="AD62" s="448"/>
      <c r="AF62" s="84">
        <f>16*3000</f>
        <v>48000</v>
      </c>
    </row>
    <row r="63" spans="1:32" ht="27.75" thickBot="1">
      <c r="A63" s="449" t="s">
        <v>590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0" t="s">
        <v>111</v>
      </c>
      <c r="B64" s="451"/>
      <c r="C64" s="323" t="s">
        <v>2</v>
      </c>
      <c r="D64" s="323" t="s">
        <v>37</v>
      </c>
      <c r="E64" s="323" t="s">
        <v>3</v>
      </c>
      <c r="F64" s="451" t="s">
        <v>109</v>
      </c>
      <c r="G64" s="451"/>
      <c r="H64" s="451"/>
      <c r="I64" s="451"/>
      <c r="J64" s="451"/>
      <c r="K64" s="451" t="s">
        <v>39</v>
      </c>
      <c r="L64" s="451"/>
      <c r="M64" s="323" t="s">
        <v>40</v>
      </c>
      <c r="N64" s="451" t="s">
        <v>41</v>
      </c>
      <c r="O64" s="451"/>
      <c r="P64" s="452" t="s">
        <v>42</v>
      </c>
      <c r="Q64" s="453"/>
      <c r="R64" s="452" t="s">
        <v>43</v>
      </c>
      <c r="S64" s="454"/>
      <c r="T64" s="454"/>
      <c r="U64" s="454"/>
      <c r="V64" s="454"/>
      <c r="W64" s="454"/>
      <c r="X64" s="454"/>
      <c r="Y64" s="454"/>
      <c r="Z64" s="454"/>
      <c r="AA64" s="453"/>
      <c r="AB64" s="451" t="s">
        <v>44</v>
      </c>
      <c r="AC64" s="451"/>
      <c r="AD64" s="455"/>
      <c r="AF64" s="84">
        <f>SUM(AF61:AF63)</f>
        <v>96000</v>
      </c>
    </row>
    <row r="65" spans="1:32" ht="25.5" customHeight="1">
      <c r="A65" s="456">
        <v>1</v>
      </c>
      <c r="B65" s="457"/>
      <c r="C65" s="105" t="s">
        <v>120</v>
      </c>
      <c r="D65" s="318"/>
      <c r="E65" s="321" t="s">
        <v>135</v>
      </c>
      <c r="F65" s="458" t="s">
        <v>591</v>
      </c>
      <c r="G65" s="459"/>
      <c r="H65" s="459"/>
      <c r="I65" s="459"/>
      <c r="J65" s="460"/>
      <c r="K65" s="461" t="s">
        <v>131</v>
      </c>
      <c r="L65" s="461"/>
      <c r="M65" s="51" t="s">
        <v>237</v>
      </c>
      <c r="N65" s="462" t="s">
        <v>136</v>
      </c>
      <c r="O65" s="462"/>
      <c r="P65" s="463">
        <v>50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4"/>
      <c r="AC65" s="465"/>
      <c r="AD65" s="466"/>
      <c r="AF65" s="50"/>
    </row>
    <row r="66" spans="1:32" ht="25.5" customHeight="1">
      <c r="A66" s="456">
        <v>2</v>
      </c>
      <c r="B66" s="457"/>
      <c r="C66" s="105"/>
      <c r="D66" s="318"/>
      <c r="E66" s="321"/>
      <c r="F66" s="458"/>
      <c r="G66" s="459"/>
      <c r="H66" s="459"/>
      <c r="I66" s="459"/>
      <c r="J66" s="460"/>
      <c r="K66" s="461"/>
      <c r="L66" s="461"/>
      <c r="M66" s="51"/>
      <c r="N66" s="462"/>
      <c r="O66" s="462"/>
      <c r="P66" s="463"/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3</v>
      </c>
      <c r="B67" s="457"/>
      <c r="C67" s="105"/>
      <c r="D67" s="318"/>
      <c r="E67" s="321"/>
      <c r="F67" s="458"/>
      <c r="G67" s="459"/>
      <c r="H67" s="459"/>
      <c r="I67" s="459"/>
      <c r="J67" s="460"/>
      <c r="K67" s="461"/>
      <c r="L67" s="461"/>
      <c r="M67" s="51"/>
      <c r="N67" s="462"/>
      <c r="O67" s="462"/>
      <c r="P67" s="463"/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4</v>
      </c>
      <c r="B68" s="457"/>
      <c r="C68" s="105"/>
      <c r="D68" s="318"/>
      <c r="E68" s="321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5</v>
      </c>
      <c r="B69" s="457"/>
      <c r="C69" s="105"/>
      <c r="D69" s="318"/>
      <c r="E69" s="321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6</v>
      </c>
      <c r="B70" s="457"/>
      <c r="C70" s="105"/>
      <c r="D70" s="318"/>
      <c r="E70" s="321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7</v>
      </c>
      <c r="B71" s="457"/>
      <c r="C71" s="105"/>
      <c r="D71" s="318"/>
      <c r="E71" s="321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8</v>
      </c>
      <c r="B72" s="457"/>
      <c r="C72" s="105"/>
      <c r="D72" s="318"/>
      <c r="E72" s="321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9</v>
      </c>
      <c r="B73" s="457"/>
      <c r="C73" s="105"/>
      <c r="D73" s="318"/>
      <c r="E73" s="321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10</v>
      </c>
      <c r="B74" s="457"/>
      <c r="C74" s="105"/>
      <c r="D74" s="318"/>
      <c r="E74" s="321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6.25" customHeight="1" thickBot="1">
      <c r="A75" s="469" t="s">
        <v>598</v>
      </c>
      <c r="B75" s="469"/>
      <c r="C75" s="469"/>
      <c r="D75" s="469"/>
      <c r="E75" s="46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0" t="s">
        <v>111</v>
      </c>
      <c r="B76" s="471"/>
      <c r="C76" s="320" t="s">
        <v>2</v>
      </c>
      <c r="D76" s="320" t="s">
        <v>37</v>
      </c>
      <c r="E76" s="320" t="s">
        <v>3</v>
      </c>
      <c r="F76" s="471" t="s">
        <v>38</v>
      </c>
      <c r="G76" s="471"/>
      <c r="H76" s="471"/>
      <c r="I76" s="471"/>
      <c r="J76" s="471"/>
      <c r="K76" s="472" t="s">
        <v>58</v>
      </c>
      <c r="L76" s="473"/>
      <c r="M76" s="473"/>
      <c r="N76" s="473"/>
      <c r="O76" s="473"/>
      <c r="P76" s="473"/>
      <c r="Q76" s="473"/>
      <c r="R76" s="473"/>
      <c r="S76" s="474"/>
      <c r="T76" s="471" t="s">
        <v>49</v>
      </c>
      <c r="U76" s="471"/>
      <c r="V76" s="472" t="s">
        <v>50</v>
      </c>
      <c r="W76" s="474"/>
      <c r="X76" s="473" t="s">
        <v>51</v>
      </c>
      <c r="Y76" s="473"/>
      <c r="Z76" s="473"/>
      <c r="AA76" s="473"/>
      <c r="AB76" s="473"/>
      <c r="AC76" s="473"/>
      <c r="AD76" s="475"/>
      <c r="AF76" s="50"/>
    </row>
    <row r="77" spans="1:32" ht="33.75" customHeight="1">
      <c r="A77" s="484">
        <v>1</v>
      </c>
      <c r="B77" s="485"/>
      <c r="C77" s="319" t="s">
        <v>112</v>
      </c>
      <c r="D77" s="319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76">
        <f>A77+1</f>
        <v>2</v>
      </c>
      <c r="B78" s="477"/>
      <c r="C78" s="318"/>
      <c r="D78" s="318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ref="A79:A83" si="21">A78+1</f>
        <v>3</v>
      </c>
      <c r="B79" s="477"/>
      <c r="C79" s="318"/>
      <c r="D79" s="318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21"/>
        <v>4</v>
      </c>
      <c r="B80" s="477"/>
      <c r="C80" s="318"/>
      <c r="D80" s="318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21"/>
        <v>5</v>
      </c>
      <c r="B81" s="477"/>
      <c r="C81" s="318"/>
      <c r="D81" s="318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21"/>
        <v>6</v>
      </c>
      <c r="B82" s="477"/>
      <c r="C82" s="318"/>
      <c r="D82" s="318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21"/>
        <v>7</v>
      </c>
      <c r="B83" s="477"/>
      <c r="C83" s="318"/>
      <c r="D83" s="318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6" thickBot="1">
      <c r="A84" s="469" t="s">
        <v>599</v>
      </c>
      <c r="B84" s="469"/>
      <c r="C84" s="469"/>
      <c r="D84" s="469"/>
      <c r="E84" s="46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0" t="s">
        <v>111</v>
      </c>
      <c r="B85" s="471"/>
      <c r="C85" s="497" t="s">
        <v>52</v>
      </c>
      <c r="D85" s="497"/>
      <c r="E85" s="497" t="s">
        <v>53</v>
      </c>
      <c r="F85" s="497"/>
      <c r="G85" s="497"/>
      <c r="H85" s="497"/>
      <c r="I85" s="497"/>
      <c r="J85" s="497"/>
      <c r="K85" s="497" t="s">
        <v>54</v>
      </c>
      <c r="L85" s="497"/>
      <c r="M85" s="497"/>
      <c r="N85" s="497"/>
      <c r="O85" s="497"/>
      <c r="P85" s="497"/>
      <c r="Q85" s="497"/>
      <c r="R85" s="497"/>
      <c r="S85" s="497"/>
      <c r="T85" s="497" t="s">
        <v>55</v>
      </c>
      <c r="U85" s="497"/>
      <c r="V85" s="497" t="s">
        <v>56</v>
      </c>
      <c r="W85" s="497"/>
      <c r="X85" s="497"/>
      <c r="Y85" s="497" t="s">
        <v>51</v>
      </c>
      <c r="Z85" s="497"/>
      <c r="AA85" s="497"/>
      <c r="AB85" s="497"/>
      <c r="AC85" s="497"/>
      <c r="AD85" s="498"/>
      <c r="AF85" s="50"/>
    </row>
    <row r="86" spans="1:32" ht="30.75" customHeight="1">
      <c r="A86" s="484">
        <v>1</v>
      </c>
      <c r="B86" s="485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500"/>
      <c r="W86" s="500"/>
      <c r="X86" s="500"/>
      <c r="Y86" s="501"/>
      <c r="Z86" s="501"/>
      <c r="AA86" s="501"/>
      <c r="AB86" s="501"/>
      <c r="AC86" s="501"/>
      <c r="AD86" s="502"/>
      <c r="AF86" s="50"/>
    </row>
    <row r="87" spans="1:32" ht="30.75" customHeight="1">
      <c r="A87" s="476">
        <v>2</v>
      </c>
      <c r="B87" s="477"/>
      <c r="C87" s="510"/>
      <c r="D87" s="510"/>
      <c r="E87" s="510"/>
      <c r="F87" s="510"/>
      <c r="G87" s="510"/>
      <c r="H87" s="510"/>
      <c r="I87" s="510"/>
      <c r="J87" s="510"/>
      <c r="K87" s="510"/>
      <c r="L87" s="510"/>
      <c r="M87" s="510"/>
      <c r="N87" s="510"/>
      <c r="O87" s="510"/>
      <c r="P87" s="510"/>
      <c r="Q87" s="510"/>
      <c r="R87" s="510"/>
      <c r="S87" s="510"/>
      <c r="T87" s="511"/>
      <c r="U87" s="511"/>
      <c r="V87" s="512"/>
      <c r="W87" s="512"/>
      <c r="X87" s="512"/>
      <c r="Y87" s="503"/>
      <c r="Z87" s="503"/>
      <c r="AA87" s="503"/>
      <c r="AB87" s="503"/>
      <c r="AC87" s="503"/>
      <c r="AD87" s="504"/>
      <c r="AF87" s="50"/>
    </row>
    <row r="88" spans="1:32" ht="30.75" customHeight="1" thickBot="1">
      <c r="A88" s="505">
        <v>3</v>
      </c>
      <c r="B88" s="506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07"/>
      <c r="X88" s="507"/>
      <c r="Y88" s="508"/>
      <c r="Z88" s="508"/>
      <c r="AA88" s="508"/>
      <c r="AB88" s="508"/>
      <c r="AC88" s="508"/>
      <c r="AD88" s="509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A61E-4849-4A7B-AB6B-DB15F0F80008}">
  <dimension ref="A1:AF88"/>
  <sheetViews>
    <sheetView view="pageBreakPreview" zoomScale="70" zoomScaleNormal="72" zoomScaleSheetLayoutView="70" workbookViewId="0">
      <selection activeCell="AE10" sqref="AE10:AE1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600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330" t="s">
        <v>17</v>
      </c>
      <c r="L5" s="330" t="s">
        <v>18</v>
      </c>
      <c r="M5" s="330" t="s">
        <v>19</v>
      </c>
      <c r="N5" s="33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135</v>
      </c>
      <c r="E6" s="53" t="s">
        <v>601</v>
      </c>
      <c r="F6" s="30" t="s">
        <v>131</v>
      </c>
      <c r="G6" s="12">
        <v>1</v>
      </c>
      <c r="H6" s="13">
        <v>24</v>
      </c>
      <c r="I6" s="31">
        <v>7000</v>
      </c>
      <c r="J6" s="5">
        <v>4808</v>
      </c>
      <c r="K6" s="15">
        <f>L6</f>
        <v>4808</v>
      </c>
      <c r="L6" s="15">
        <f>1000+3808</f>
        <v>4808</v>
      </c>
      <c r="M6" s="15">
        <f t="shared" ref="M6:M22" si="0">L6-N6</f>
        <v>4808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20</v>
      </c>
      <c r="Q6" s="40">
        <f t="shared" ref="Q6:Q22" si="3">SUM(R6:AA6)</f>
        <v>4</v>
      </c>
      <c r="R6" s="7"/>
      <c r="S6" s="6">
        <v>4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0.83333333333333337</v>
      </c>
      <c r="AD6" s="10">
        <f t="shared" ref="AD6:AD22" si="6">AC6*AB6*(1-O6)</f>
        <v>0.83333333333333337</v>
      </c>
      <c r="AE6" s="36">
        <f>$AD$23</f>
        <v>0.53234231080333649</v>
      </c>
      <c r="AF6" s="84">
        <f t="shared" ref="AF6:AF22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502</v>
      </c>
      <c r="F7" s="12" t="s">
        <v>509</v>
      </c>
      <c r="G7" s="12">
        <v>1</v>
      </c>
      <c r="H7" s="13">
        <v>24</v>
      </c>
      <c r="I7" s="31">
        <v>15000</v>
      </c>
      <c r="J7" s="14">
        <v>5902</v>
      </c>
      <c r="K7" s="15">
        <f>L7</f>
        <v>5902</v>
      </c>
      <c r="L7" s="15">
        <f>4102+1800</f>
        <v>5902</v>
      </c>
      <c r="M7" s="15">
        <f t="shared" si="0"/>
        <v>5902</v>
      </c>
      <c r="N7" s="15">
        <v>0</v>
      </c>
      <c r="O7" s="58">
        <f t="shared" si="1"/>
        <v>0</v>
      </c>
      <c r="P7" s="39">
        <f t="shared" si="2"/>
        <v>22</v>
      </c>
      <c r="Q7" s="40">
        <f t="shared" si="3"/>
        <v>2</v>
      </c>
      <c r="R7" s="7"/>
      <c r="S7" s="6">
        <v>2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0.91666666666666663</v>
      </c>
      <c r="AD7" s="10">
        <f t="shared" si="6"/>
        <v>0.91666666666666663</v>
      </c>
      <c r="AE7" s="36">
        <f>$AD$23</f>
        <v>0.53234231080333649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492</v>
      </c>
      <c r="F8" s="30" t="s">
        <v>132</v>
      </c>
      <c r="G8" s="33">
        <v>1</v>
      </c>
      <c r="H8" s="35">
        <v>24</v>
      </c>
      <c r="I8" s="7">
        <v>10000</v>
      </c>
      <c r="J8" s="14">
        <v>4510</v>
      </c>
      <c r="K8" s="15">
        <f>L8+4254+1756+3035+3563+1503</f>
        <v>18621</v>
      </c>
      <c r="L8" s="15">
        <f>2938+1572</f>
        <v>4510</v>
      </c>
      <c r="M8" s="15">
        <f t="shared" si="0"/>
        <v>4510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>$AD$23</f>
        <v>0.53234231080333649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115</v>
      </c>
      <c r="E9" s="53" t="s">
        <v>585</v>
      </c>
      <c r="F9" s="30" t="s">
        <v>139</v>
      </c>
      <c r="G9" s="33">
        <v>1</v>
      </c>
      <c r="H9" s="35">
        <v>24</v>
      </c>
      <c r="I9" s="7">
        <v>2000</v>
      </c>
      <c r="J9" s="14">
        <v>2175</v>
      </c>
      <c r="K9" s="15">
        <f>L9+2175</f>
        <v>2175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>$AD$23</f>
        <v>0.53234231080333649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476</v>
      </c>
      <c r="E10" s="53" t="s">
        <v>477</v>
      </c>
      <c r="F10" s="30" t="s">
        <v>478</v>
      </c>
      <c r="G10" s="33">
        <v>2</v>
      </c>
      <c r="H10" s="35">
        <v>24</v>
      </c>
      <c r="I10" s="7">
        <v>10000</v>
      </c>
      <c r="J10" s="5">
        <v>5006</v>
      </c>
      <c r="K10" s="15">
        <f>L10+4950+7828+8384+8688+8842+5006</f>
        <v>43698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>$AD$23</f>
        <v>0.53234231080333649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511</v>
      </c>
      <c r="E11" s="53" t="s">
        <v>535</v>
      </c>
      <c r="F11" s="30" t="s">
        <v>513</v>
      </c>
      <c r="G11" s="33">
        <v>16</v>
      </c>
      <c r="H11" s="35">
        <v>24</v>
      </c>
      <c r="I11" s="7">
        <v>300000</v>
      </c>
      <c r="J11" s="14">
        <v>59460</v>
      </c>
      <c r="K11" s="15">
        <f>L11+36740+61170</f>
        <v>157370</v>
      </c>
      <c r="L11" s="15">
        <f>2973*10+2973*10</f>
        <v>59460</v>
      </c>
      <c r="M11" s="15">
        <f t="shared" si="0"/>
        <v>59460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5" si="8">AC11*AB11*(1-O11)</f>
        <v>1</v>
      </c>
      <c r="AE11" s="36">
        <f t="shared" ref="AE11:AE16" si="9">$AD$23</f>
        <v>0.53234231080333649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115</v>
      </c>
      <c r="E12" s="53" t="s">
        <v>166</v>
      </c>
      <c r="F12" s="30" t="s">
        <v>119</v>
      </c>
      <c r="G12" s="33">
        <v>1</v>
      </c>
      <c r="H12" s="35">
        <v>24</v>
      </c>
      <c r="I12" s="7">
        <v>10000</v>
      </c>
      <c r="J12" s="14">
        <v>1270</v>
      </c>
      <c r="K12" s="15">
        <f>L12+2147+4027+5018</f>
        <v>12462</v>
      </c>
      <c r="L12" s="15">
        <v>1270</v>
      </c>
      <c r="M12" s="15">
        <f t="shared" si="0"/>
        <v>1270</v>
      </c>
      <c r="N12" s="15">
        <v>0</v>
      </c>
      <c r="O12" s="58">
        <f t="shared" si="1"/>
        <v>0</v>
      </c>
      <c r="P12" s="39">
        <f t="shared" si="2"/>
        <v>8</v>
      </c>
      <c r="Q12" s="40">
        <f t="shared" si="3"/>
        <v>16</v>
      </c>
      <c r="R12" s="7"/>
      <c r="S12" s="6">
        <v>16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0.33333333333333331</v>
      </c>
      <c r="AD12" s="10">
        <f t="shared" si="8"/>
        <v>0.33333333333333331</v>
      </c>
      <c r="AE12" s="36">
        <f t="shared" si="9"/>
        <v>0.53234231080333649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143</v>
      </c>
      <c r="F13" s="30" t="s">
        <v>125</v>
      </c>
      <c r="G13" s="33">
        <v>1</v>
      </c>
      <c r="H13" s="35">
        <v>24</v>
      </c>
      <c r="I13" s="7">
        <v>50000</v>
      </c>
      <c r="J13" s="5">
        <v>2700</v>
      </c>
      <c r="K13" s="15">
        <f>L13+9354+15468+14979</f>
        <v>42501</v>
      </c>
      <c r="L13" s="15">
        <f>900*3</f>
        <v>2700</v>
      </c>
      <c r="M13" s="15">
        <f t="shared" si="0"/>
        <v>2700</v>
      </c>
      <c r="N13" s="15">
        <v>0</v>
      </c>
      <c r="O13" s="58">
        <f t="shared" si="1"/>
        <v>0</v>
      </c>
      <c r="P13" s="39">
        <f t="shared" si="2"/>
        <v>5</v>
      </c>
      <c r="Q13" s="40">
        <f t="shared" si="3"/>
        <v>19</v>
      </c>
      <c r="R13" s="7"/>
      <c r="S13" s="6"/>
      <c r="T13" s="16"/>
      <c r="U13" s="16"/>
      <c r="V13" s="17"/>
      <c r="W13" s="5">
        <v>19</v>
      </c>
      <c r="X13" s="16"/>
      <c r="Y13" s="16"/>
      <c r="Z13" s="16"/>
      <c r="AA13" s="18"/>
      <c r="AB13" s="8">
        <f t="shared" si="4"/>
        <v>1</v>
      </c>
      <c r="AC13" s="9">
        <f t="shared" si="5"/>
        <v>0.20833333333333334</v>
      </c>
      <c r="AD13" s="10">
        <f>AC13*AB13*(1-O13)</f>
        <v>0.20833333333333334</v>
      </c>
      <c r="AE13" s="36">
        <f t="shared" si="9"/>
        <v>0.53234231080333649</v>
      </c>
      <c r="AF13" s="84">
        <f t="shared" si="7"/>
        <v>8</v>
      </c>
    </row>
    <row r="14" spans="1:32" ht="27" customHeight="1">
      <c r="A14" s="96">
        <v>8</v>
      </c>
      <c r="B14" s="11" t="s">
        <v>57</v>
      </c>
      <c r="C14" s="34" t="s">
        <v>120</v>
      </c>
      <c r="D14" s="52" t="s">
        <v>161</v>
      </c>
      <c r="E14" s="53" t="s">
        <v>602</v>
      </c>
      <c r="F14" s="30" t="s">
        <v>139</v>
      </c>
      <c r="G14" s="33">
        <v>1</v>
      </c>
      <c r="H14" s="35">
        <v>24</v>
      </c>
      <c r="I14" s="7">
        <v>1000</v>
      </c>
      <c r="J14" s="5">
        <v>2100</v>
      </c>
      <c r="K14" s="15">
        <f>L14</f>
        <v>2100</v>
      </c>
      <c r="L14" s="15">
        <f>500+1600</f>
        <v>2100</v>
      </c>
      <c r="M14" s="15">
        <f t="shared" ref="M14" si="10">L14-N14</f>
        <v>2100</v>
      </c>
      <c r="N14" s="15">
        <v>0</v>
      </c>
      <c r="O14" s="58">
        <f t="shared" ref="O14" si="11">IF(L14=0,"0",N14/L14)</f>
        <v>0</v>
      </c>
      <c r="P14" s="39">
        <f t="shared" ref="P14" si="12">IF(L14=0,"0",(24-Q14))</f>
        <v>14</v>
      </c>
      <c r="Q14" s="40">
        <f t="shared" ref="Q14" si="13">SUM(R14:AA14)</f>
        <v>10</v>
      </c>
      <c r="R14" s="7"/>
      <c r="S14" s="6">
        <v>10</v>
      </c>
      <c r="T14" s="16"/>
      <c r="U14" s="16"/>
      <c r="V14" s="17"/>
      <c r="W14" s="5"/>
      <c r="X14" s="16"/>
      <c r="Y14" s="16"/>
      <c r="Z14" s="16"/>
      <c r="AA14" s="18"/>
      <c r="AB14" s="8">
        <f t="shared" ref="AB14" si="14">IF(J14=0,"0",(L14/J14))</f>
        <v>1</v>
      </c>
      <c r="AC14" s="9">
        <f t="shared" ref="AC14" si="15">IF(P14=0,"0",(P14/24))</f>
        <v>0.58333333333333337</v>
      </c>
      <c r="AD14" s="10">
        <f>AC14*AB14*(1-O14)</f>
        <v>0.58333333333333337</v>
      </c>
      <c r="AE14" s="36">
        <f t="shared" si="9"/>
        <v>0.53234231080333649</v>
      </c>
      <c r="AF14" s="84">
        <f t="shared" ref="AF14" si="16">A14</f>
        <v>8</v>
      </c>
    </row>
    <row r="15" spans="1:32" ht="27" customHeight="1">
      <c r="A15" s="106">
        <v>9</v>
      </c>
      <c r="B15" s="11" t="s">
        <v>57</v>
      </c>
      <c r="C15" s="34" t="s">
        <v>121</v>
      </c>
      <c r="D15" s="52" t="s">
        <v>586</v>
      </c>
      <c r="E15" s="53"/>
      <c r="F15" s="30" t="s">
        <v>125</v>
      </c>
      <c r="G15" s="33" t="s">
        <v>587</v>
      </c>
      <c r="H15" s="35">
        <v>24</v>
      </c>
      <c r="I15" s="7">
        <v>5000</v>
      </c>
      <c r="J15" s="5">
        <v>3392</v>
      </c>
      <c r="K15" s="15">
        <f>L15+2880</f>
        <v>6272</v>
      </c>
      <c r="L15" s="15">
        <f>1696*2</f>
        <v>3392</v>
      </c>
      <c r="M15" s="15">
        <f t="shared" si="0"/>
        <v>3392</v>
      </c>
      <c r="N15" s="15">
        <v>0</v>
      </c>
      <c r="O15" s="58">
        <f t="shared" si="1"/>
        <v>0</v>
      </c>
      <c r="P15" s="39">
        <f t="shared" si="2"/>
        <v>10</v>
      </c>
      <c r="Q15" s="40">
        <f t="shared" si="3"/>
        <v>14</v>
      </c>
      <c r="R15" s="7"/>
      <c r="S15" s="6"/>
      <c r="T15" s="16"/>
      <c r="U15" s="16"/>
      <c r="V15" s="17">
        <v>14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0.41666666666666669</v>
      </c>
      <c r="AD15" s="10">
        <f t="shared" si="8"/>
        <v>0.41666666666666669</v>
      </c>
      <c r="AE15" s="36">
        <f t="shared" si="9"/>
        <v>0.53234231080333649</v>
      </c>
      <c r="AF15" s="84">
        <f t="shared" si="7"/>
        <v>9</v>
      </c>
    </row>
    <row r="16" spans="1:32" ht="27" customHeight="1">
      <c r="A16" s="95">
        <v>10</v>
      </c>
      <c r="B16" s="11" t="s">
        <v>57</v>
      </c>
      <c r="C16" s="34" t="s">
        <v>123</v>
      </c>
      <c r="D16" s="52"/>
      <c r="E16" s="53" t="s">
        <v>494</v>
      </c>
      <c r="F16" s="12" t="s">
        <v>152</v>
      </c>
      <c r="G16" s="12">
        <v>1</v>
      </c>
      <c r="H16" s="13">
        <v>24</v>
      </c>
      <c r="I16" s="31">
        <v>2300</v>
      </c>
      <c r="J16" s="14">
        <v>4412</v>
      </c>
      <c r="K16" s="15">
        <f>L16+4412</f>
        <v>4412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9"/>
        <v>0.53234231080333649</v>
      </c>
      <c r="AF16" s="84">
        <f t="shared" si="7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207</v>
      </c>
      <c r="E17" s="53" t="s">
        <v>204</v>
      </c>
      <c r="F17" s="30" t="s">
        <v>138</v>
      </c>
      <c r="G17" s="12">
        <v>2</v>
      </c>
      <c r="H17" s="13">
        <v>24</v>
      </c>
      <c r="I17" s="7">
        <v>300000</v>
      </c>
      <c r="J17" s="14">
        <v>1640</v>
      </c>
      <c r="K17" s="15">
        <f>L17+6564+12528+9524+11762+12146+1640</f>
        <v>54164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ref="AE17:AE22" si="17">$AD$23</f>
        <v>0.53234231080333649</v>
      </c>
      <c r="AF17" s="84">
        <f t="shared" si="7"/>
        <v>11</v>
      </c>
    </row>
    <row r="18" spans="1:32" ht="30" customHeight="1">
      <c r="A18" s="95">
        <v>12</v>
      </c>
      <c r="B18" s="11" t="s">
        <v>57</v>
      </c>
      <c r="C18" s="34" t="s">
        <v>112</v>
      </c>
      <c r="D18" s="52" t="s">
        <v>230</v>
      </c>
      <c r="E18" s="53" t="s">
        <v>556</v>
      </c>
      <c r="F18" s="30" t="s">
        <v>156</v>
      </c>
      <c r="G18" s="12">
        <v>1</v>
      </c>
      <c r="H18" s="13">
        <v>24</v>
      </c>
      <c r="I18" s="7">
        <v>500</v>
      </c>
      <c r="J18" s="14">
        <v>677</v>
      </c>
      <c r="K18" s="15">
        <f>L18+677</f>
        <v>677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17"/>
        <v>0.53234231080333649</v>
      </c>
      <c r="AF18" s="84">
        <f t="shared" si="7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211</v>
      </c>
      <c r="F19" s="30" t="s">
        <v>139</v>
      </c>
      <c r="G19" s="33">
        <v>1</v>
      </c>
      <c r="H19" s="35">
        <v>24</v>
      </c>
      <c r="I19" s="7">
        <v>20000</v>
      </c>
      <c r="J19" s="14">
        <v>4739</v>
      </c>
      <c r="K19" s="15">
        <f>L19+3143+5226+5251</f>
        <v>18359</v>
      </c>
      <c r="L19" s="15">
        <f>2502+2237</f>
        <v>4739</v>
      </c>
      <c r="M19" s="15">
        <f t="shared" si="0"/>
        <v>4739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17"/>
        <v>0.53234231080333649</v>
      </c>
      <c r="AF19" s="84">
        <f t="shared" si="7"/>
        <v>13</v>
      </c>
    </row>
    <row r="20" spans="1:32" ht="27" customHeight="1">
      <c r="A20" s="96">
        <v>14</v>
      </c>
      <c r="B20" s="11" t="s">
        <v>57</v>
      </c>
      <c r="C20" s="34" t="s">
        <v>594</v>
      </c>
      <c r="D20" s="52" t="s">
        <v>595</v>
      </c>
      <c r="E20" s="53" t="s">
        <v>593</v>
      </c>
      <c r="F20" s="30" t="s">
        <v>603</v>
      </c>
      <c r="G20" s="33" t="s">
        <v>157</v>
      </c>
      <c r="H20" s="35">
        <v>24</v>
      </c>
      <c r="I20" s="7">
        <v>7000</v>
      </c>
      <c r="J20" s="5">
        <v>6133</v>
      </c>
      <c r="K20" s="15">
        <f>L20</f>
        <v>6183</v>
      </c>
      <c r="L20" s="15">
        <f>3046+3137</f>
        <v>6183</v>
      </c>
      <c r="M20" s="15">
        <f t="shared" si="0"/>
        <v>6183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1.0081526169900539</v>
      </c>
      <c r="AC20" s="9">
        <f t="shared" si="5"/>
        <v>1</v>
      </c>
      <c r="AD20" s="10">
        <f>AC20*AB20*(1-O20)</f>
        <v>1.0081526169900539</v>
      </c>
      <c r="AE20" s="36">
        <f t="shared" si="17"/>
        <v>0.53234231080333649</v>
      </c>
      <c r="AF20" s="84">
        <f t="shared" si="7"/>
        <v>14</v>
      </c>
    </row>
    <row r="21" spans="1:32" ht="27" customHeight="1">
      <c r="A21" s="113">
        <v>15</v>
      </c>
      <c r="B21" s="11" t="s">
        <v>57</v>
      </c>
      <c r="C21" s="34" t="s">
        <v>121</v>
      </c>
      <c r="D21" s="52" t="s">
        <v>115</v>
      </c>
      <c r="E21" s="53" t="s">
        <v>604</v>
      </c>
      <c r="F21" s="30" t="s">
        <v>119</v>
      </c>
      <c r="G21" s="12">
        <v>1</v>
      </c>
      <c r="H21" s="13">
        <v>28</v>
      </c>
      <c r="I21" s="31">
        <v>10000</v>
      </c>
      <c r="J21" s="5">
        <v>3810</v>
      </c>
      <c r="K21" s="15">
        <f>L21</f>
        <v>3810</v>
      </c>
      <c r="L21" s="15">
        <f>1498+2312</f>
        <v>3810</v>
      </c>
      <c r="M21" s="15">
        <f t="shared" si="0"/>
        <v>3810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/>
      <c r="T21" s="16">
        <v>3</v>
      </c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ref="AD21" si="18">AC21*AB21*(1-O21)</f>
        <v>0.875</v>
      </c>
      <c r="AE21" s="36">
        <f t="shared" si="17"/>
        <v>0.53234231080333649</v>
      </c>
      <c r="AF21" s="84">
        <f t="shared" si="7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144</v>
      </c>
      <c r="F22" s="12" t="s">
        <v>114</v>
      </c>
      <c r="G22" s="12">
        <v>4</v>
      </c>
      <c r="H22" s="35">
        <v>20</v>
      </c>
      <c r="I22" s="7">
        <v>300000</v>
      </c>
      <c r="J22" s="14">
        <v>52516</v>
      </c>
      <c r="K22" s="15">
        <f>L22+66912</f>
        <v>119428</v>
      </c>
      <c r="L22" s="15">
        <f>8820*4+4309*4</f>
        <v>52516</v>
      </c>
      <c r="M22" s="15">
        <f t="shared" si="0"/>
        <v>52516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17"/>
        <v>0.53234231080333649</v>
      </c>
      <c r="AF22" s="84">
        <f t="shared" si="7"/>
        <v>16</v>
      </c>
    </row>
    <row r="23" spans="1:32" ht="31.5" customHeight="1" thickBot="1">
      <c r="A23" s="405" t="s">
        <v>34</v>
      </c>
      <c r="B23" s="406"/>
      <c r="C23" s="406"/>
      <c r="D23" s="406"/>
      <c r="E23" s="406"/>
      <c r="F23" s="406"/>
      <c r="G23" s="406"/>
      <c r="H23" s="407"/>
      <c r="I23" s="22">
        <f t="shared" ref="I23:N23" si="19">SUM(I6:I22)</f>
        <v>1049800</v>
      </c>
      <c r="J23" s="19">
        <f t="shared" si="19"/>
        <v>165250</v>
      </c>
      <c r="K23" s="20">
        <f t="shared" si="19"/>
        <v>502942</v>
      </c>
      <c r="L23" s="21">
        <f t="shared" si="19"/>
        <v>151390</v>
      </c>
      <c r="M23" s="20">
        <f t="shared" si="19"/>
        <v>151390</v>
      </c>
      <c r="N23" s="21">
        <f t="shared" si="19"/>
        <v>0</v>
      </c>
      <c r="O23" s="41">
        <f t="shared" si="1"/>
        <v>0</v>
      </c>
      <c r="P23" s="42">
        <f t="shared" ref="P23:AA23" si="20">SUM(P6:P22)</f>
        <v>217</v>
      </c>
      <c r="Q23" s="43">
        <f t="shared" si="20"/>
        <v>191</v>
      </c>
      <c r="R23" s="23">
        <f t="shared" si="20"/>
        <v>24</v>
      </c>
      <c r="S23" s="24">
        <f t="shared" si="20"/>
        <v>35</v>
      </c>
      <c r="T23" s="24">
        <f t="shared" si="20"/>
        <v>3</v>
      </c>
      <c r="U23" s="24">
        <f t="shared" si="20"/>
        <v>0</v>
      </c>
      <c r="V23" s="25">
        <f t="shared" si="20"/>
        <v>14</v>
      </c>
      <c r="W23" s="26">
        <f t="shared" si="20"/>
        <v>43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72</v>
      </c>
      <c r="AB23" s="28">
        <f>AVERAGE(AB6:AB22)</f>
        <v>0.7063619186464738</v>
      </c>
      <c r="AC23" s="4">
        <f>AVERAGE(AC6:AC22)</f>
        <v>0.53186274509803932</v>
      </c>
      <c r="AD23" s="4">
        <f>AVERAGE(AD6:AD22)</f>
        <v>0.53234231080333649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08" t="s">
        <v>45</v>
      </c>
      <c r="B50" s="408"/>
      <c r="C50" s="408"/>
      <c r="D50" s="408"/>
      <c r="E50" s="40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09" t="s">
        <v>605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1"/>
      <c r="N51" s="412" t="s">
        <v>607</v>
      </c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4"/>
    </row>
    <row r="52" spans="1:32" ht="27" customHeight="1">
      <c r="A52" s="415" t="s">
        <v>2</v>
      </c>
      <c r="B52" s="416"/>
      <c r="C52" s="331" t="s">
        <v>46</v>
      </c>
      <c r="D52" s="331" t="s">
        <v>47</v>
      </c>
      <c r="E52" s="331" t="s">
        <v>107</v>
      </c>
      <c r="F52" s="417" t="s">
        <v>106</v>
      </c>
      <c r="G52" s="418"/>
      <c r="H52" s="418"/>
      <c r="I52" s="418"/>
      <c r="J52" s="418"/>
      <c r="K52" s="418"/>
      <c r="L52" s="418"/>
      <c r="M52" s="419"/>
      <c r="N52" s="67" t="s">
        <v>110</v>
      </c>
      <c r="O52" s="331" t="s">
        <v>46</v>
      </c>
      <c r="P52" s="417" t="s">
        <v>47</v>
      </c>
      <c r="Q52" s="420"/>
      <c r="R52" s="417" t="s">
        <v>38</v>
      </c>
      <c r="S52" s="418"/>
      <c r="T52" s="418"/>
      <c r="U52" s="420"/>
      <c r="V52" s="417" t="s">
        <v>48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31" t="s">
        <v>120</v>
      </c>
      <c r="B53" s="432"/>
      <c r="C53" s="333" t="s">
        <v>217</v>
      </c>
      <c r="D53" s="333" t="s">
        <v>294</v>
      </c>
      <c r="E53" s="333" t="s">
        <v>492</v>
      </c>
      <c r="F53" s="433" t="s">
        <v>133</v>
      </c>
      <c r="G53" s="434"/>
      <c r="H53" s="434"/>
      <c r="I53" s="434"/>
      <c r="J53" s="434"/>
      <c r="K53" s="434"/>
      <c r="L53" s="434"/>
      <c r="M53" s="435"/>
      <c r="N53" s="332" t="s">
        <v>112</v>
      </c>
      <c r="O53" s="338" t="s">
        <v>189</v>
      </c>
      <c r="P53" s="436" t="s">
        <v>115</v>
      </c>
      <c r="Q53" s="437"/>
      <c r="R53" s="436" t="s">
        <v>608</v>
      </c>
      <c r="S53" s="438"/>
      <c r="T53" s="438"/>
      <c r="U53" s="437"/>
      <c r="V53" s="439" t="s">
        <v>118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120</v>
      </c>
      <c r="B54" s="432"/>
      <c r="C54" s="333" t="s">
        <v>189</v>
      </c>
      <c r="D54" s="333" t="s">
        <v>161</v>
      </c>
      <c r="E54" s="333" t="s">
        <v>602</v>
      </c>
      <c r="F54" s="433" t="s">
        <v>289</v>
      </c>
      <c r="G54" s="434"/>
      <c r="H54" s="434"/>
      <c r="I54" s="434"/>
      <c r="J54" s="434"/>
      <c r="K54" s="434"/>
      <c r="L54" s="434"/>
      <c r="M54" s="435"/>
      <c r="N54" s="332" t="s">
        <v>120</v>
      </c>
      <c r="O54" s="338" t="s">
        <v>233</v>
      </c>
      <c r="P54" s="436" t="s">
        <v>135</v>
      </c>
      <c r="Q54" s="437"/>
      <c r="R54" s="436" t="s">
        <v>609</v>
      </c>
      <c r="S54" s="438"/>
      <c r="T54" s="438"/>
      <c r="U54" s="437"/>
      <c r="V54" s="439" t="s">
        <v>118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120</v>
      </c>
      <c r="B55" s="432"/>
      <c r="C55" s="333" t="s">
        <v>127</v>
      </c>
      <c r="D55" s="333" t="s">
        <v>135</v>
      </c>
      <c r="E55" s="333" t="s">
        <v>502</v>
      </c>
      <c r="F55" s="433" t="s">
        <v>606</v>
      </c>
      <c r="G55" s="434"/>
      <c r="H55" s="434"/>
      <c r="I55" s="434"/>
      <c r="J55" s="434"/>
      <c r="K55" s="434"/>
      <c r="L55" s="434"/>
      <c r="M55" s="435"/>
      <c r="N55" s="332"/>
      <c r="O55" s="338"/>
      <c r="P55" s="436"/>
      <c r="Q55" s="437"/>
      <c r="R55" s="436"/>
      <c r="S55" s="438"/>
      <c r="T55" s="438"/>
      <c r="U55" s="437"/>
      <c r="V55" s="439"/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112</v>
      </c>
      <c r="B56" s="432"/>
      <c r="C56" s="333" t="s">
        <v>136</v>
      </c>
      <c r="D56" s="333" t="s">
        <v>135</v>
      </c>
      <c r="E56" s="333" t="s">
        <v>601</v>
      </c>
      <c r="F56" s="433" t="s">
        <v>606</v>
      </c>
      <c r="G56" s="434"/>
      <c r="H56" s="434"/>
      <c r="I56" s="434"/>
      <c r="J56" s="434"/>
      <c r="K56" s="434"/>
      <c r="L56" s="434"/>
      <c r="M56" s="435"/>
      <c r="N56" s="332"/>
      <c r="O56" s="338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121</v>
      </c>
      <c r="B57" s="432"/>
      <c r="C57" s="333" t="s">
        <v>148</v>
      </c>
      <c r="D57" s="333" t="s">
        <v>115</v>
      </c>
      <c r="E57" s="333" t="s">
        <v>596</v>
      </c>
      <c r="F57" s="433" t="s">
        <v>118</v>
      </c>
      <c r="G57" s="434"/>
      <c r="H57" s="434"/>
      <c r="I57" s="434"/>
      <c r="J57" s="434"/>
      <c r="K57" s="434"/>
      <c r="L57" s="434"/>
      <c r="M57" s="435"/>
      <c r="N57" s="332"/>
      <c r="O57" s="338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594</v>
      </c>
      <c r="B58" s="432"/>
      <c r="C58" s="333" t="s">
        <v>223</v>
      </c>
      <c r="D58" s="333" t="s">
        <v>595</v>
      </c>
      <c r="E58" s="333" t="s">
        <v>593</v>
      </c>
      <c r="F58" s="433" t="s">
        <v>118</v>
      </c>
      <c r="G58" s="434"/>
      <c r="H58" s="434"/>
      <c r="I58" s="434"/>
      <c r="J58" s="434"/>
      <c r="K58" s="434"/>
      <c r="L58" s="434"/>
      <c r="M58" s="435"/>
      <c r="N58" s="332"/>
      <c r="O58" s="338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333"/>
      <c r="D59" s="333"/>
      <c r="E59" s="333"/>
      <c r="F59" s="433"/>
      <c r="G59" s="434"/>
      <c r="H59" s="434"/>
      <c r="I59" s="434"/>
      <c r="J59" s="434"/>
      <c r="K59" s="434"/>
      <c r="L59" s="434"/>
      <c r="M59" s="435"/>
      <c r="N59" s="332"/>
      <c r="O59" s="338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333"/>
      <c r="D60" s="333"/>
      <c r="E60" s="333"/>
      <c r="F60" s="433"/>
      <c r="G60" s="434"/>
      <c r="H60" s="434"/>
      <c r="I60" s="434"/>
      <c r="J60" s="434"/>
      <c r="K60" s="434"/>
      <c r="L60" s="434"/>
      <c r="M60" s="435"/>
      <c r="N60" s="332"/>
      <c r="O60" s="338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333"/>
      <c r="D61" s="333"/>
      <c r="E61" s="333"/>
      <c r="F61" s="433"/>
      <c r="G61" s="434"/>
      <c r="H61" s="434"/>
      <c r="I61" s="434"/>
      <c r="J61" s="434"/>
      <c r="K61" s="434"/>
      <c r="L61" s="434"/>
      <c r="M61" s="435"/>
      <c r="N61" s="332"/>
      <c r="O61" s="338"/>
      <c r="P61" s="432"/>
      <c r="Q61" s="432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  <c r="AF61" s="84">
        <f>8*3000</f>
        <v>24000</v>
      </c>
    </row>
    <row r="62" spans="1:32" ht="27" customHeight="1" thickBot="1">
      <c r="A62" s="441"/>
      <c r="B62" s="442"/>
      <c r="C62" s="334"/>
      <c r="D62" s="335"/>
      <c r="E62" s="335"/>
      <c r="F62" s="443"/>
      <c r="G62" s="444"/>
      <c r="H62" s="444"/>
      <c r="I62" s="444"/>
      <c r="J62" s="444"/>
      <c r="K62" s="444"/>
      <c r="L62" s="444"/>
      <c r="M62" s="445"/>
      <c r="N62" s="112"/>
      <c r="O62" s="103"/>
      <c r="P62" s="446"/>
      <c r="Q62" s="446"/>
      <c r="R62" s="446"/>
      <c r="S62" s="446"/>
      <c r="T62" s="446"/>
      <c r="U62" s="446"/>
      <c r="V62" s="447"/>
      <c r="W62" s="447"/>
      <c r="X62" s="447"/>
      <c r="Y62" s="447"/>
      <c r="Z62" s="447"/>
      <c r="AA62" s="447"/>
      <c r="AB62" s="447"/>
      <c r="AC62" s="447"/>
      <c r="AD62" s="448"/>
      <c r="AF62" s="84">
        <f>16*3000</f>
        <v>48000</v>
      </c>
    </row>
    <row r="63" spans="1:32" ht="27.75" thickBot="1">
      <c r="A63" s="449" t="s">
        <v>610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0" t="s">
        <v>111</v>
      </c>
      <c r="B64" s="451"/>
      <c r="C64" s="336" t="s">
        <v>2</v>
      </c>
      <c r="D64" s="336" t="s">
        <v>37</v>
      </c>
      <c r="E64" s="336" t="s">
        <v>3</v>
      </c>
      <c r="F64" s="451" t="s">
        <v>109</v>
      </c>
      <c r="G64" s="451"/>
      <c r="H64" s="451"/>
      <c r="I64" s="451"/>
      <c r="J64" s="451"/>
      <c r="K64" s="451" t="s">
        <v>39</v>
      </c>
      <c r="L64" s="451"/>
      <c r="M64" s="336" t="s">
        <v>40</v>
      </c>
      <c r="N64" s="451" t="s">
        <v>41</v>
      </c>
      <c r="O64" s="451"/>
      <c r="P64" s="452" t="s">
        <v>42</v>
      </c>
      <c r="Q64" s="453"/>
      <c r="R64" s="452" t="s">
        <v>43</v>
      </c>
      <c r="S64" s="454"/>
      <c r="T64" s="454"/>
      <c r="U64" s="454"/>
      <c r="V64" s="454"/>
      <c r="W64" s="454"/>
      <c r="X64" s="454"/>
      <c r="Y64" s="454"/>
      <c r="Z64" s="454"/>
      <c r="AA64" s="453"/>
      <c r="AB64" s="451" t="s">
        <v>44</v>
      </c>
      <c r="AC64" s="451"/>
      <c r="AD64" s="455"/>
      <c r="AF64" s="84">
        <f>SUM(AF61:AF63)</f>
        <v>96000</v>
      </c>
    </row>
    <row r="65" spans="1:32" ht="25.5" customHeight="1">
      <c r="A65" s="456">
        <v>1</v>
      </c>
      <c r="B65" s="457"/>
      <c r="C65" s="105" t="s">
        <v>112</v>
      </c>
      <c r="D65" s="340"/>
      <c r="E65" s="337" t="s">
        <v>135</v>
      </c>
      <c r="F65" s="458" t="s">
        <v>601</v>
      </c>
      <c r="G65" s="459"/>
      <c r="H65" s="459"/>
      <c r="I65" s="459"/>
      <c r="J65" s="460"/>
      <c r="K65" s="461" t="s">
        <v>131</v>
      </c>
      <c r="L65" s="461"/>
      <c r="M65" s="51" t="s">
        <v>237</v>
      </c>
      <c r="N65" s="462" t="s">
        <v>136</v>
      </c>
      <c r="O65" s="462"/>
      <c r="P65" s="463">
        <v>50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4"/>
      <c r="AC65" s="465"/>
      <c r="AD65" s="466"/>
      <c r="AF65" s="50"/>
    </row>
    <row r="66" spans="1:32" ht="25.5" customHeight="1">
      <c r="A66" s="456">
        <v>2</v>
      </c>
      <c r="B66" s="457"/>
      <c r="C66" s="105" t="s">
        <v>120</v>
      </c>
      <c r="D66" s="340"/>
      <c r="E66" s="337" t="s">
        <v>135</v>
      </c>
      <c r="F66" s="458" t="s">
        <v>502</v>
      </c>
      <c r="G66" s="459"/>
      <c r="H66" s="459"/>
      <c r="I66" s="459"/>
      <c r="J66" s="460"/>
      <c r="K66" s="461" t="s">
        <v>611</v>
      </c>
      <c r="L66" s="461"/>
      <c r="M66" s="51" t="s">
        <v>237</v>
      </c>
      <c r="N66" s="462" t="s">
        <v>127</v>
      </c>
      <c r="O66" s="462"/>
      <c r="P66" s="463">
        <v>50</v>
      </c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3</v>
      </c>
      <c r="B67" s="457"/>
      <c r="C67" s="105" t="s">
        <v>123</v>
      </c>
      <c r="D67" s="340"/>
      <c r="E67" s="337"/>
      <c r="F67" s="458" t="s">
        <v>612</v>
      </c>
      <c r="G67" s="459"/>
      <c r="H67" s="459"/>
      <c r="I67" s="459"/>
      <c r="J67" s="460"/>
      <c r="K67" s="461" t="s">
        <v>119</v>
      </c>
      <c r="L67" s="461"/>
      <c r="M67" s="51" t="s">
        <v>237</v>
      </c>
      <c r="N67" s="462" t="s">
        <v>190</v>
      </c>
      <c r="O67" s="462"/>
      <c r="P67" s="463">
        <v>50</v>
      </c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4</v>
      </c>
      <c r="B68" s="457"/>
      <c r="C68" s="105" t="s">
        <v>121</v>
      </c>
      <c r="D68" s="340"/>
      <c r="E68" s="337" t="s">
        <v>294</v>
      </c>
      <c r="F68" s="458" t="s">
        <v>579</v>
      </c>
      <c r="G68" s="459"/>
      <c r="H68" s="459"/>
      <c r="I68" s="459"/>
      <c r="J68" s="460"/>
      <c r="K68" s="461" t="s">
        <v>125</v>
      </c>
      <c r="L68" s="461"/>
      <c r="M68" s="51" t="s">
        <v>237</v>
      </c>
      <c r="N68" s="462" t="s">
        <v>219</v>
      </c>
      <c r="O68" s="462"/>
      <c r="P68" s="463"/>
      <c r="Q68" s="463"/>
      <c r="R68" s="439" t="s">
        <v>613</v>
      </c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5</v>
      </c>
      <c r="B69" s="457"/>
      <c r="C69" s="105" t="s">
        <v>120</v>
      </c>
      <c r="D69" s="340"/>
      <c r="E69" s="337" t="s">
        <v>161</v>
      </c>
      <c r="F69" s="458" t="s">
        <v>602</v>
      </c>
      <c r="G69" s="459"/>
      <c r="H69" s="459"/>
      <c r="I69" s="459"/>
      <c r="J69" s="460"/>
      <c r="K69" s="461">
        <v>7301</v>
      </c>
      <c r="L69" s="461"/>
      <c r="M69" s="51" t="s">
        <v>465</v>
      </c>
      <c r="N69" s="462" t="s">
        <v>189</v>
      </c>
      <c r="O69" s="462"/>
      <c r="P69" s="463">
        <v>50</v>
      </c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6</v>
      </c>
      <c r="B70" s="457"/>
      <c r="C70" s="105" t="s">
        <v>112</v>
      </c>
      <c r="D70" s="340"/>
      <c r="E70" s="337" t="s">
        <v>616</v>
      </c>
      <c r="F70" s="458" t="s">
        <v>614</v>
      </c>
      <c r="G70" s="459"/>
      <c r="H70" s="459"/>
      <c r="I70" s="459"/>
      <c r="J70" s="460"/>
      <c r="K70" s="461" t="s">
        <v>281</v>
      </c>
      <c r="L70" s="461"/>
      <c r="M70" s="51" t="s">
        <v>154</v>
      </c>
      <c r="N70" s="462" t="s">
        <v>233</v>
      </c>
      <c r="O70" s="462"/>
      <c r="P70" s="463">
        <v>100</v>
      </c>
      <c r="Q70" s="463"/>
      <c r="R70" s="439" t="s">
        <v>615</v>
      </c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7</v>
      </c>
      <c r="B71" s="457"/>
      <c r="C71" s="105"/>
      <c r="D71" s="340"/>
      <c r="E71" s="337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8</v>
      </c>
      <c r="B72" s="457"/>
      <c r="C72" s="105"/>
      <c r="D72" s="340"/>
      <c r="E72" s="337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9</v>
      </c>
      <c r="B73" s="457"/>
      <c r="C73" s="105"/>
      <c r="D73" s="340"/>
      <c r="E73" s="337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10</v>
      </c>
      <c r="B74" s="457"/>
      <c r="C74" s="105"/>
      <c r="D74" s="340"/>
      <c r="E74" s="337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6.25" customHeight="1" thickBot="1">
      <c r="A75" s="469" t="s">
        <v>617</v>
      </c>
      <c r="B75" s="469"/>
      <c r="C75" s="469"/>
      <c r="D75" s="469"/>
      <c r="E75" s="46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0" t="s">
        <v>111</v>
      </c>
      <c r="B76" s="471"/>
      <c r="C76" s="339" t="s">
        <v>2</v>
      </c>
      <c r="D76" s="339" t="s">
        <v>37</v>
      </c>
      <c r="E76" s="339" t="s">
        <v>3</v>
      </c>
      <c r="F76" s="471" t="s">
        <v>38</v>
      </c>
      <c r="G76" s="471"/>
      <c r="H76" s="471"/>
      <c r="I76" s="471"/>
      <c r="J76" s="471"/>
      <c r="K76" s="472" t="s">
        <v>58</v>
      </c>
      <c r="L76" s="473"/>
      <c r="M76" s="473"/>
      <c r="N76" s="473"/>
      <c r="O76" s="473"/>
      <c r="P76" s="473"/>
      <c r="Q76" s="473"/>
      <c r="R76" s="473"/>
      <c r="S76" s="474"/>
      <c r="T76" s="471" t="s">
        <v>49</v>
      </c>
      <c r="U76" s="471"/>
      <c r="V76" s="472" t="s">
        <v>50</v>
      </c>
      <c r="W76" s="474"/>
      <c r="X76" s="473" t="s">
        <v>51</v>
      </c>
      <c r="Y76" s="473"/>
      <c r="Z76" s="473"/>
      <c r="AA76" s="473"/>
      <c r="AB76" s="473"/>
      <c r="AC76" s="473"/>
      <c r="AD76" s="475"/>
      <c r="AF76" s="50"/>
    </row>
    <row r="77" spans="1:32" ht="33.75" customHeight="1">
      <c r="A77" s="484">
        <v>1</v>
      </c>
      <c r="B77" s="485"/>
      <c r="C77" s="341" t="s">
        <v>112</v>
      </c>
      <c r="D77" s="341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76">
        <f>A77+1</f>
        <v>2</v>
      </c>
      <c r="B78" s="477"/>
      <c r="C78" s="340"/>
      <c r="D78" s="340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ref="A79:A83" si="21">A78+1</f>
        <v>3</v>
      </c>
      <c r="B79" s="477"/>
      <c r="C79" s="340"/>
      <c r="D79" s="340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21"/>
        <v>4</v>
      </c>
      <c r="B80" s="477"/>
      <c r="C80" s="340"/>
      <c r="D80" s="340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21"/>
        <v>5</v>
      </c>
      <c r="B81" s="477"/>
      <c r="C81" s="340"/>
      <c r="D81" s="340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21"/>
        <v>6</v>
      </c>
      <c r="B82" s="477"/>
      <c r="C82" s="340"/>
      <c r="D82" s="340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21"/>
        <v>7</v>
      </c>
      <c r="B83" s="477"/>
      <c r="C83" s="340"/>
      <c r="D83" s="340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6" thickBot="1">
      <c r="A84" s="469" t="s">
        <v>618</v>
      </c>
      <c r="B84" s="469"/>
      <c r="C84" s="469"/>
      <c r="D84" s="469"/>
      <c r="E84" s="46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0" t="s">
        <v>111</v>
      </c>
      <c r="B85" s="471"/>
      <c r="C85" s="497" t="s">
        <v>52</v>
      </c>
      <c r="D85" s="497"/>
      <c r="E85" s="497" t="s">
        <v>53</v>
      </c>
      <c r="F85" s="497"/>
      <c r="G85" s="497"/>
      <c r="H85" s="497"/>
      <c r="I85" s="497"/>
      <c r="J85" s="497"/>
      <c r="K85" s="497" t="s">
        <v>54</v>
      </c>
      <c r="L85" s="497"/>
      <c r="M85" s="497"/>
      <c r="N85" s="497"/>
      <c r="O85" s="497"/>
      <c r="P85" s="497"/>
      <c r="Q85" s="497"/>
      <c r="R85" s="497"/>
      <c r="S85" s="497"/>
      <c r="T85" s="497" t="s">
        <v>55</v>
      </c>
      <c r="U85" s="497"/>
      <c r="V85" s="497" t="s">
        <v>56</v>
      </c>
      <c r="W85" s="497"/>
      <c r="X85" s="497"/>
      <c r="Y85" s="497" t="s">
        <v>51</v>
      </c>
      <c r="Z85" s="497"/>
      <c r="AA85" s="497"/>
      <c r="AB85" s="497"/>
      <c r="AC85" s="497"/>
      <c r="AD85" s="498"/>
      <c r="AF85" s="50"/>
    </row>
    <row r="86" spans="1:32" ht="30.75" customHeight="1">
      <c r="A86" s="484">
        <v>1</v>
      </c>
      <c r="B86" s="485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500"/>
      <c r="W86" s="500"/>
      <c r="X86" s="500"/>
      <c r="Y86" s="501"/>
      <c r="Z86" s="501"/>
      <c r="AA86" s="501"/>
      <c r="AB86" s="501"/>
      <c r="AC86" s="501"/>
      <c r="AD86" s="502"/>
      <c r="AF86" s="50"/>
    </row>
    <row r="87" spans="1:32" ht="30.75" customHeight="1">
      <c r="A87" s="476">
        <v>2</v>
      </c>
      <c r="B87" s="477"/>
      <c r="C87" s="510"/>
      <c r="D87" s="510"/>
      <c r="E87" s="510"/>
      <c r="F87" s="510"/>
      <c r="G87" s="510"/>
      <c r="H87" s="510"/>
      <c r="I87" s="510"/>
      <c r="J87" s="510"/>
      <c r="K87" s="510"/>
      <c r="L87" s="510"/>
      <c r="M87" s="510"/>
      <c r="N87" s="510"/>
      <c r="O87" s="510"/>
      <c r="P87" s="510"/>
      <c r="Q87" s="510"/>
      <c r="R87" s="510"/>
      <c r="S87" s="510"/>
      <c r="T87" s="511"/>
      <c r="U87" s="511"/>
      <c r="V87" s="512"/>
      <c r="W87" s="512"/>
      <c r="X87" s="512"/>
      <c r="Y87" s="503"/>
      <c r="Z87" s="503"/>
      <c r="AA87" s="503"/>
      <c r="AB87" s="503"/>
      <c r="AC87" s="503"/>
      <c r="AD87" s="504"/>
      <c r="AF87" s="50"/>
    </row>
    <row r="88" spans="1:32" ht="30.75" customHeight="1" thickBot="1">
      <c r="A88" s="505">
        <v>3</v>
      </c>
      <c r="B88" s="506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07"/>
      <c r="X88" s="507"/>
      <c r="Y88" s="508"/>
      <c r="Z88" s="508"/>
      <c r="AA88" s="508"/>
      <c r="AB88" s="508"/>
      <c r="AC88" s="508"/>
      <c r="AD88" s="509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6614-AB32-47E6-8C24-2A2C63D58636}">
  <dimension ref="A1:AF88"/>
  <sheetViews>
    <sheetView view="pageBreakPreview" zoomScale="70" zoomScaleNormal="72" zoomScaleSheetLayoutView="70" workbookViewId="0">
      <selection activeCell="AE9" sqref="AE9:AE1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619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353" t="s">
        <v>17</v>
      </c>
      <c r="L5" s="353" t="s">
        <v>18</v>
      </c>
      <c r="M5" s="353" t="s">
        <v>19</v>
      </c>
      <c r="N5" s="35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135</v>
      </c>
      <c r="E6" s="53" t="s">
        <v>601</v>
      </c>
      <c r="F6" s="30" t="s">
        <v>131</v>
      </c>
      <c r="G6" s="12">
        <v>1</v>
      </c>
      <c r="H6" s="13">
        <v>24</v>
      </c>
      <c r="I6" s="31">
        <v>7000</v>
      </c>
      <c r="J6" s="5">
        <v>2717</v>
      </c>
      <c r="K6" s="15">
        <f>L6+4808</f>
        <v>7525</v>
      </c>
      <c r="L6" s="15">
        <v>2717</v>
      </c>
      <c r="M6" s="15">
        <f t="shared" ref="M6:M22" si="0">L6-N6</f>
        <v>2717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10</v>
      </c>
      <c r="Q6" s="40">
        <f t="shared" ref="Q6:Q22" si="3">SUM(R6:AA6)</f>
        <v>14</v>
      </c>
      <c r="R6" s="7"/>
      <c r="S6" s="6"/>
      <c r="T6" s="16"/>
      <c r="U6" s="16"/>
      <c r="V6" s="17"/>
      <c r="W6" s="5">
        <v>14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0.41666666666666669</v>
      </c>
      <c r="AD6" s="10">
        <f t="shared" ref="AD6:AD22" si="6">AC6*AB6*(1-O6)</f>
        <v>0.41666666666666669</v>
      </c>
      <c r="AE6" s="36">
        <f>$AD$23</f>
        <v>0.51225490196078438</v>
      </c>
      <c r="AF6" s="84">
        <f t="shared" ref="AF6:AF22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502</v>
      </c>
      <c r="F7" s="12" t="s">
        <v>509</v>
      </c>
      <c r="G7" s="12">
        <v>1</v>
      </c>
      <c r="H7" s="13">
        <v>24</v>
      </c>
      <c r="I7" s="31">
        <v>15000</v>
      </c>
      <c r="J7" s="14">
        <v>6277</v>
      </c>
      <c r="K7" s="15">
        <f>L7+5902</f>
        <v>12179</v>
      </c>
      <c r="L7" s="15">
        <f>3170+3107</f>
        <v>6277</v>
      </c>
      <c r="M7" s="15">
        <f t="shared" si="0"/>
        <v>6277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>$AD$23</f>
        <v>0.51225490196078438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492</v>
      </c>
      <c r="F8" s="30" t="s">
        <v>132</v>
      </c>
      <c r="G8" s="33">
        <v>1</v>
      </c>
      <c r="H8" s="35">
        <v>24</v>
      </c>
      <c r="I8" s="7">
        <v>10000</v>
      </c>
      <c r="J8" s="14">
        <v>5243</v>
      </c>
      <c r="K8" s="15">
        <f>L8+4254+1756+3035+3563+1503+4510</f>
        <v>23864</v>
      </c>
      <c r="L8" s="15">
        <f>2678+2565</f>
        <v>5243</v>
      </c>
      <c r="M8" s="15">
        <f t="shared" si="0"/>
        <v>5243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>$AD$23</f>
        <v>0.51225490196078438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495</v>
      </c>
      <c r="E9" s="53" t="s">
        <v>620</v>
      </c>
      <c r="F9" s="30" t="s">
        <v>139</v>
      </c>
      <c r="G9" s="33">
        <v>1</v>
      </c>
      <c r="H9" s="35">
        <v>24</v>
      </c>
      <c r="I9" s="7">
        <v>500</v>
      </c>
      <c r="J9" s="14">
        <v>1167</v>
      </c>
      <c r="K9" s="15">
        <f>L9</f>
        <v>1167</v>
      </c>
      <c r="L9" s="15">
        <f>600+567</f>
        <v>1167</v>
      </c>
      <c r="M9" s="15">
        <f t="shared" si="0"/>
        <v>1167</v>
      </c>
      <c r="N9" s="15">
        <v>0</v>
      </c>
      <c r="O9" s="58">
        <f t="shared" si="1"/>
        <v>0</v>
      </c>
      <c r="P9" s="39">
        <f t="shared" si="2"/>
        <v>7</v>
      </c>
      <c r="Q9" s="40">
        <f t="shared" si="3"/>
        <v>17</v>
      </c>
      <c r="R9" s="7"/>
      <c r="S9" s="6"/>
      <c r="T9" s="16"/>
      <c r="U9" s="16"/>
      <c r="V9" s="17"/>
      <c r="W9" s="5"/>
      <c r="X9" s="16"/>
      <c r="Y9" s="16"/>
      <c r="Z9" s="16"/>
      <c r="AA9" s="18">
        <v>17</v>
      </c>
      <c r="AB9" s="8">
        <f t="shared" si="4"/>
        <v>1</v>
      </c>
      <c r="AC9" s="9">
        <f t="shared" si="5"/>
        <v>0.29166666666666669</v>
      </c>
      <c r="AD9" s="10">
        <f t="shared" si="6"/>
        <v>0.29166666666666669</v>
      </c>
      <c r="AE9" s="36">
        <f>$AD$23</f>
        <v>0.51225490196078438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476</v>
      </c>
      <c r="E10" s="53" t="s">
        <v>477</v>
      </c>
      <c r="F10" s="30" t="s">
        <v>478</v>
      </c>
      <c r="G10" s="33">
        <v>2</v>
      </c>
      <c r="H10" s="35">
        <v>24</v>
      </c>
      <c r="I10" s="7">
        <v>10000</v>
      </c>
      <c r="J10" s="5">
        <v>5006</v>
      </c>
      <c r="K10" s="15">
        <f>L10+4950+7828+8384+8688+8842+5006</f>
        <v>43698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ref="AE10:AE16" si="8">$AD$23</f>
        <v>0.51225490196078438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511</v>
      </c>
      <c r="E11" s="53" t="s">
        <v>535</v>
      </c>
      <c r="F11" s="30" t="s">
        <v>513</v>
      </c>
      <c r="G11" s="33">
        <v>16</v>
      </c>
      <c r="H11" s="35">
        <v>24</v>
      </c>
      <c r="I11" s="7">
        <v>300000</v>
      </c>
      <c r="J11" s="14">
        <v>57030</v>
      </c>
      <c r="K11" s="15">
        <f>L11+36740+61170+59460</f>
        <v>214400</v>
      </c>
      <c r="L11" s="15">
        <f>2891*10+2812*10</f>
        <v>57030</v>
      </c>
      <c r="M11" s="15">
        <f t="shared" si="0"/>
        <v>57030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5" si="9">AC11*AB11*(1-O11)</f>
        <v>1</v>
      </c>
      <c r="AE11" s="36">
        <f t="shared" si="8"/>
        <v>0.51225490196078438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207</v>
      </c>
      <c r="E12" s="53" t="s">
        <v>621</v>
      </c>
      <c r="F12" s="30" t="s">
        <v>138</v>
      </c>
      <c r="G12" s="33">
        <v>1</v>
      </c>
      <c r="H12" s="35">
        <v>24</v>
      </c>
      <c r="I12" s="7">
        <v>1000</v>
      </c>
      <c r="J12" s="14">
        <v>1100</v>
      </c>
      <c r="K12" s="15">
        <f>L12</f>
        <v>1100</v>
      </c>
      <c r="L12" s="15">
        <f>1100</f>
        <v>1100</v>
      </c>
      <c r="M12" s="15">
        <f t="shared" si="0"/>
        <v>1100</v>
      </c>
      <c r="N12" s="15">
        <v>0</v>
      </c>
      <c r="O12" s="58">
        <f t="shared" si="1"/>
        <v>0</v>
      </c>
      <c r="P12" s="39">
        <f t="shared" si="2"/>
        <v>7</v>
      </c>
      <c r="Q12" s="40">
        <f t="shared" si="3"/>
        <v>17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17</v>
      </c>
      <c r="AB12" s="8">
        <f t="shared" si="4"/>
        <v>1</v>
      </c>
      <c r="AC12" s="9">
        <f t="shared" si="5"/>
        <v>0.29166666666666669</v>
      </c>
      <c r="AD12" s="10">
        <f t="shared" si="9"/>
        <v>0.29166666666666669</v>
      </c>
      <c r="AE12" s="36">
        <f t="shared" si="8"/>
        <v>0.51225490196078438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115</v>
      </c>
      <c r="E13" s="53" t="s">
        <v>608</v>
      </c>
      <c r="F13" s="30" t="s">
        <v>195</v>
      </c>
      <c r="G13" s="33">
        <v>1</v>
      </c>
      <c r="H13" s="35">
        <v>24</v>
      </c>
      <c r="I13" s="7">
        <v>500</v>
      </c>
      <c r="J13" s="5">
        <v>531</v>
      </c>
      <c r="K13" s="15">
        <f>L13</f>
        <v>531</v>
      </c>
      <c r="L13" s="15">
        <f>531</f>
        <v>531</v>
      </c>
      <c r="M13" s="15">
        <f t="shared" si="0"/>
        <v>531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/>
      <c r="T13" s="16"/>
      <c r="U13" s="16"/>
      <c r="V13" s="17"/>
      <c r="W13" s="5">
        <v>18</v>
      </c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>AC13*AB13*(1-O13)</f>
        <v>0.25</v>
      </c>
      <c r="AE13" s="36">
        <f t="shared" si="8"/>
        <v>0.51225490196078438</v>
      </c>
      <c r="AF13" s="84">
        <f t="shared" si="7"/>
        <v>8</v>
      </c>
    </row>
    <row r="14" spans="1:32" ht="27" customHeight="1">
      <c r="A14" s="96">
        <v>8</v>
      </c>
      <c r="B14" s="11" t="s">
        <v>57</v>
      </c>
      <c r="C14" s="34" t="s">
        <v>112</v>
      </c>
      <c r="D14" s="52" t="s">
        <v>294</v>
      </c>
      <c r="E14" s="53" t="s">
        <v>622</v>
      </c>
      <c r="F14" s="30" t="s">
        <v>132</v>
      </c>
      <c r="G14" s="33">
        <v>1</v>
      </c>
      <c r="H14" s="35">
        <v>24</v>
      </c>
      <c r="I14" s="7">
        <v>1600</v>
      </c>
      <c r="J14" s="5">
        <v>1727</v>
      </c>
      <c r="K14" s="15">
        <f>L14</f>
        <v>1727</v>
      </c>
      <c r="L14" s="15">
        <f>1175+552</f>
        <v>1727</v>
      </c>
      <c r="M14" s="15">
        <f t="shared" si="0"/>
        <v>1727</v>
      </c>
      <c r="N14" s="15">
        <v>0</v>
      </c>
      <c r="O14" s="58">
        <f t="shared" si="1"/>
        <v>0</v>
      </c>
      <c r="P14" s="39">
        <f t="shared" si="2"/>
        <v>10</v>
      </c>
      <c r="Q14" s="40">
        <f t="shared" si="3"/>
        <v>14</v>
      </c>
      <c r="R14" s="7"/>
      <c r="S14" s="6"/>
      <c r="T14" s="16">
        <v>8</v>
      </c>
      <c r="U14" s="16"/>
      <c r="V14" s="17"/>
      <c r="W14" s="5">
        <v>6</v>
      </c>
      <c r="X14" s="16"/>
      <c r="Y14" s="16"/>
      <c r="Z14" s="16"/>
      <c r="AA14" s="18"/>
      <c r="AB14" s="8">
        <f t="shared" si="4"/>
        <v>1</v>
      </c>
      <c r="AC14" s="9">
        <f t="shared" si="5"/>
        <v>0.41666666666666669</v>
      </c>
      <c r="AD14" s="10">
        <f>AC14*AB14*(1-O14)</f>
        <v>0.41666666666666669</v>
      </c>
      <c r="AE14" s="36">
        <f t="shared" si="8"/>
        <v>0.51225490196078438</v>
      </c>
      <c r="AF14" s="84">
        <f t="shared" si="7"/>
        <v>8</v>
      </c>
    </row>
    <row r="15" spans="1:32" ht="27" customHeight="1">
      <c r="A15" s="106">
        <v>9</v>
      </c>
      <c r="B15" s="11" t="s">
        <v>57</v>
      </c>
      <c r="C15" s="34" t="s">
        <v>121</v>
      </c>
      <c r="D15" s="52" t="s">
        <v>586</v>
      </c>
      <c r="E15" s="53"/>
      <c r="F15" s="30" t="s">
        <v>125</v>
      </c>
      <c r="G15" s="33" t="s">
        <v>587</v>
      </c>
      <c r="H15" s="35">
        <v>24</v>
      </c>
      <c r="I15" s="7">
        <v>5000</v>
      </c>
      <c r="J15" s="5">
        <v>3142</v>
      </c>
      <c r="K15" s="15">
        <f>L15+2880+3392</f>
        <v>9414</v>
      </c>
      <c r="L15" s="15">
        <f>1571*2</f>
        <v>3142</v>
      </c>
      <c r="M15" s="15">
        <f t="shared" si="0"/>
        <v>3142</v>
      </c>
      <c r="N15" s="15">
        <v>0</v>
      </c>
      <c r="O15" s="58">
        <f t="shared" si="1"/>
        <v>0</v>
      </c>
      <c r="P15" s="39">
        <f t="shared" si="2"/>
        <v>11</v>
      </c>
      <c r="Q15" s="40">
        <f t="shared" si="3"/>
        <v>13</v>
      </c>
      <c r="R15" s="7"/>
      <c r="S15" s="6"/>
      <c r="T15" s="16"/>
      <c r="U15" s="16"/>
      <c r="V15" s="17">
        <v>13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0.45833333333333331</v>
      </c>
      <c r="AD15" s="10">
        <f t="shared" si="9"/>
        <v>0.45833333333333331</v>
      </c>
      <c r="AE15" s="36">
        <f t="shared" si="8"/>
        <v>0.51225490196078438</v>
      </c>
      <c r="AF15" s="84">
        <f t="shared" si="7"/>
        <v>9</v>
      </c>
    </row>
    <row r="16" spans="1:32" ht="27" customHeight="1">
      <c r="A16" s="95">
        <v>10</v>
      </c>
      <c r="B16" s="11" t="s">
        <v>57</v>
      </c>
      <c r="C16" s="34" t="s">
        <v>123</v>
      </c>
      <c r="D16" s="52"/>
      <c r="E16" s="53" t="s">
        <v>494</v>
      </c>
      <c r="F16" s="12" t="s">
        <v>152</v>
      </c>
      <c r="G16" s="12">
        <v>1</v>
      </c>
      <c r="H16" s="13">
        <v>24</v>
      </c>
      <c r="I16" s="31">
        <v>2300</v>
      </c>
      <c r="J16" s="14">
        <v>4412</v>
      </c>
      <c r="K16" s="15">
        <f>L16+4412</f>
        <v>4412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8"/>
        <v>0.51225490196078438</v>
      </c>
      <c r="AF16" s="84">
        <f t="shared" si="7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207</v>
      </c>
      <c r="E17" s="53" t="s">
        <v>204</v>
      </c>
      <c r="F17" s="30" t="s">
        <v>138</v>
      </c>
      <c r="G17" s="12">
        <v>2</v>
      </c>
      <c r="H17" s="13">
        <v>24</v>
      </c>
      <c r="I17" s="7">
        <v>300000</v>
      </c>
      <c r="J17" s="14">
        <v>1640</v>
      </c>
      <c r="K17" s="15">
        <f>L17+6564+12528+9524+11762+12146+1640</f>
        <v>54164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ref="AE17:AE22" si="10">$AD$23</f>
        <v>0.51225490196078438</v>
      </c>
      <c r="AF17" s="84">
        <f t="shared" si="7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 t="s">
        <v>135</v>
      </c>
      <c r="E18" s="53" t="s">
        <v>609</v>
      </c>
      <c r="F18" s="30" t="s">
        <v>131</v>
      </c>
      <c r="G18" s="12">
        <v>1</v>
      </c>
      <c r="H18" s="13">
        <v>24</v>
      </c>
      <c r="I18" s="7">
        <v>300</v>
      </c>
      <c r="J18" s="14">
        <v>592</v>
      </c>
      <c r="K18" s="15">
        <f>L18</f>
        <v>592</v>
      </c>
      <c r="L18" s="15">
        <f>592</f>
        <v>592</v>
      </c>
      <c r="M18" s="15">
        <f t="shared" si="0"/>
        <v>592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20</v>
      </c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10"/>
        <v>0.51225490196078438</v>
      </c>
      <c r="AF18" s="84">
        <f t="shared" si="7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211</v>
      </c>
      <c r="F19" s="30" t="s">
        <v>139</v>
      </c>
      <c r="G19" s="33">
        <v>1</v>
      </c>
      <c r="H19" s="35">
        <v>24</v>
      </c>
      <c r="I19" s="7">
        <v>20000</v>
      </c>
      <c r="J19" s="14">
        <v>4938</v>
      </c>
      <c r="K19" s="15">
        <f>L19+3143+5226+5251+4739</f>
        <v>23297</v>
      </c>
      <c r="L19" s="15">
        <f>2459+2479</f>
        <v>4938</v>
      </c>
      <c r="M19" s="15">
        <f t="shared" si="0"/>
        <v>4938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10"/>
        <v>0.51225490196078438</v>
      </c>
      <c r="AF19" s="84">
        <f t="shared" si="7"/>
        <v>13</v>
      </c>
    </row>
    <row r="20" spans="1:32" ht="27" customHeight="1">
      <c r="A20" s="96">
        <v>14</v>
      </c>
      <c r="B20" s="11" t="s">
        <v>57</v>
      </c>
      <c r="C20" s="34" t="s">
        <v>594</v>
      </c>
      <c r="D20" s="52" t="s">
        <v>595</v>
      </c>
      <c r="E20" s="53" t="s">
        <v>593</v>
      </c>
      <c r="F20" s="30" t="s">
        <v>603</v>
      </c>
      <c r="G20" s="33" t="s">
        <v>157</v>
      </c>
      <c r="H20" s="35">
        <v>24</v>
      </c>
      <c r="I20" s="7">
        <v>7000</v>
      </c>
      <c r="J20" s="5">
        <v>6995</v>
      </c>
      <c r="K20" s="15">
        <f>L20+6183</f>
        <v>13178</v>
      </c>
      <c r="L20" s="15">
        <f>3209+3632+154</f>
        <v>6995</v>
      </c>
      <c r="M20" s="15">
        <f t="shared" si="0"/>
        <v>6995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>AC20*AB20*(1-O20)</f>
        <v>1</v>
      </c>
      <c r="AE20" s="36">
        <f t="shared" si="10"/>
        <v>0.51225490196078438</v>
      </c>
      <c r="AF20" s="84">
        <f t="shared" si="7"/>
        <v>14</v>
      </c>
    </row>
    <row r="21" spans="1:32" ht="27" customHeight="1">
      <c r="A21" s="113">
        <v>15</v>
      </c>
      <c r="B21" s="11" t="s">
        <v>57</v>
      </c>
      <c r="C21" s="34" t="s">
        <v>121</v>
      </c>
      <c r="D21" s="52" t="s">
        <v>115</v>
      </c>
      <c r="E21" s="53" t="s">
        <v>604</v>
      </c>
      <c r="F21" s="30" t="s">
        <v>119</v>
      </c>
      <c r="G21" s="12">
        <v>1</v>
      </c>
      <c r="H21" s="13">
        <v>28</v>
      </c>
      <c r="I21" s="31">
        <v>10000</v>
      </c>
      <c r="J21" s="5">
        <v>4285</v>
      </c>
      <c r="K21" s="15">
        <f>L21+3810</f>
        <v>8095</v>
      </c>
      <c r="L21" s="15">
        <f>2111+2174</f>
        <v>4285</v>
      </c>
      <c r="M21" s="15">
        <f t="shared" si="0"/>
        <v>4285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ref="AD21" si="11">AC21*AB21*(1-O21)</f>
        <v>1</v>
      </c>
      <c r="AE21" s="36">
        <f t="shared" si="10"/>
        <v>0.51225490196078438</v>
      </c>
      <c r="AF21" s="84">
        <f t="shared" si="7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144</v>
      </c>
      <c r="F22" s="12" t="s">
        <v>114</v>
      </c>
      <c r="G22" s="12">
        <v>4</v>
      </c>
      <c r="H22" s="35">
        <v>20</v>
      </c>
      <c r="I22" s="7">
        <v>300000</v>
      </c>
      <c r="J22" s="14">
        <v>29980</v>
      </c>
      <c r="K22" s="15">
        <f>L22+66912+52516</f>
        <v>149408</v>
      </c>
      <c r="L22" s="15">
        <f>7495*4</f>
        <v>29980</v>
      </c>
      <c r="M22" s="15">
        <f t="shared" si="0"/>
        <v>29980</v>
      </c>
      <c r="N22" s="15">
        <v>0</v>
      </c>
      <c r="O22" s="58">
        <f t="shared" si="1"/>
        <v>0</v>
      </c>
      <c r="P22" s="39">
        <f t="shared" si="2"/>
        <v>10</v>
      </c>
      <c r="Q22" s="40">
        <f t="shared" si="3"/>
        <v>14</v>
      </c>
      <c r="R22" s="7"/>
      <c r="S22" s="6"/>
      <c r="T22" s="16"/>
      <c r="U22" s="16"/>
      <c r="V22" s="17">
        <v>14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0.41666666666666669</v>
      </c>
      <c r="AD22" s="10">
        <f t="shared" si="6"/>
        <v>0.41666666666666669</v>
      </c>
      <c r="AE22" s="36">
        <f t="shared" si="10"/>
        <v>0.51225490196078438</v>
      </c>
      <c r="AF22" s="84">
        <f t="shared" si="7"/>
        <v>16</v>
      </c>
    </row>
    <row r="23" spans="1:32" ht="31.5" customHeight="1" thickBot="1">
      <c r="A23" s="405" t="s">
        <v>34</v>
      </c>
      <c r="B23" s="406"/>
      <c r="C23" s="406"/>
      <c r="D23" s="406"/>
      <c r="E23" s="406"/>
      <c r="F23" s="406"/>
      <c r="G23" s="406"/>
      <c r="H23" s="407"/>
      <c r="I23" s="22">
        <f t="shared" ref="I23:N23" si="12">SUM(I6:I22)</f>
        <v>990200</v>
      </c>
      <c r="J23" s="19">
        <f t="shared" si="12"/>
        <v>136782</v>
      </c>
      <c r="K23" s="20">
        <f t="shared" si="12"/>
        <v>568751</v>
      </c>
      <c r="L23" s="21">
        <f t="shared" si="12"/>
        <v>125724</v>
      </c>
      <c r="M23" s="20">
        <f t="shared" si="12"/>
        <v>125724</v>
      </c>
      <c r="N23" s="21">
        <f t="shared" si="12"/>
        <v>0</v>
      </c>
      <c r="O23" s="41">
        <f t="shared" si="1"/>
        <v>0</v>
      </c>
      <c r="P23" s="42">
        <f t="shared" ref="P23:AA23" si="13">SUM(P6:P22)</f>
        <v>209</v>
      </c>
      <c r="Q23" s="43">
        <f t="shared" si="13"/>
        <v>199</v>
      </c>
      <c r="R23" s="23">
        <f t="shared" si="13"/>
        <v>24</v>
      </c>
      <c r="S23" s="24">
        <f t="shared" si="13"/>
        <v>0</v>
      </c>
      <c r="T23" s="24">
        <f t="shared" si="13"/>
        <v>8</v>
      </c>
      <c r="U23" s="24">
        <f t="shared" si="13"/>
        <v>0</v>
      </c>
      <c r="V23" s="25">
        <f t="shared" si="13"/>
        <v>27</v>
      </c>
      <c r="W23" s="26">
        <f t="shared" si="13"/>
        <v>38</v>
      </c>
      <c r="X23" s="27">
        <f t="shared" si="13"/>
        <v>0</v>
      </c>
      <c r="Y23" s="27">
        <f t="shared" si="13"/>
        <v>0</v>
      </c>
      <c r="Z23" s="27">
        <f t="shared" si="13"/>
        <v>0</v>
      </c>
      <c r="AA23" s="27">
        <f t="shared" si="13"/>
        <v>102</v>
      </c>
      <c r="AB23" s="28">
        <f>AVERAGE(AB6:AB22)</f>
        <v>0.82352941176470584</v>
      </c>
      <c r="AC23" s="4">
        <f>AVERAGE(AC6:AC22)</f>
        <v>0.51225490196078438</v>
      </c>
      <c r="AD23" s="4">
        <f>AVERAGE(AD6:AD22)</f>
        <v>0.51225490196078438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08" t="s">
        <v>45</v>
      </c>
      <c r="B50" s="408"/>
      <c r="C50" s="408"/>
      <c r="D50" s="408"/>
      <c r="E50" s="40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09" t="s">
        <v>623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1"/>
      <c r="N51" s="412" t="s">
        <v>624</v>
      </c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4"/>
    </row>
    <row r="52" spans="1:32" ht="27" customHeight="1">
      <c r="A52" s="415" t="s">
        <v>2</v>
      </c>
      <c r="B52" s="416"/>
      <c r="C52" s="352" t="s">
        <v>46</v>
      </c>
      <c r="D52" s="352" t="s">
        <v>47</v>
      </c>
      <c r="E52" s="352" t="s">
        <v>107</v>
      </c>
      <c r="F52" s="417" t="s">
        <v>106</v>
      </c>
      <c r="G52" s="418"/>
      <c r="H52" s="418"/>
      <c r="I52" s="418"/>
      <c r="J52" s="418"/>
      <c r="K52" s="418"/>
      <c r="L52" s="418"/>
      <c r="M52" s="419"/>
      <c r="N52" s="67" t="s">
        <v>110</v>
      </c>
      <c r="O52" s="352" t="s">
        <v>46</v>
      </c>
      <c r="P52" s="417" t="s">
        <v>47</v>
      </c>
      <c r="Q52" s="420"/>
      <c r="R52" s="417" t="s">
        <v>38</v>
      </c>
      <c r="S52" s="418"/>
      <c r="T52" s="418"/>
      <c r="U52" s="420"/>
      <c r="V52" s="417" t="s">
        <v>48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31" t="s">
        <v>120</v>
      </c>
      <c r="B53" s="432"/>
      <c r="C53" s="349" t="s">
        <v>190</v>
      </c>
      <c r="D53" s="349" t="s">
        <v>495</v>
      </c>
      <c r="E53" s="349" t="s">
        <v>620</v>
      </c>
      <c r="F53" s="433" t="s">
        <v>289</v>
      </c>
      <c r="G53" s="434"/>
      <c r="H53" s="434"/>
      <c r="I53" s="434"/>
      <c r="J53" s="434"/>
      <c r="K53" s="434"/>
      <c r="L53" s="434"/>
      <c r="M53" s="435"/>
      <c r="N53" s="348" t="s">
        <v>112</v>
      </c>
      <c r="O53" s="346" t="s">
        <v>140</v>
      </c>
      <c r="P53" s="436" t="s">
        <v>141</v>
      </c>
      <c r="Q53" s="437"/>
      <c r="R53" s="436" t="s">
        <v>625</v>
      </c>
      <c r="S53" s="438"/>
      <c r="T53" s="438"/>
      <c r="U53" s="437"/>
      <c r="V53" s="439" t="s">
        <v>118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120</v>
      </c>
      <c r="B54" s="432"/>
      <c r="C54" s="349" t="s">
        <v>140</v>
      </c>
      <c r="D54" s="349" t="s">
        <v>207</v>
      </c>
      <c r="E54" s="349" t="s">
        <v>621</v>
      </c>
      <c r="F54" s="433" t="s">
        <v>289</v>
      </c>
      <c r="G54" s="434"/>
      <c r="H54" s="434"/>
      <c r="I54" s="434"/>
      <c r="J54" s="434"/>
      <c r="K54" s="434"/>
      <c r="L54" s="434"/>
      <c r="M54" s="435"/>
      <c r="N54" s="348" t="s">
        <v>112</v>
      </c>
      <c r="O54" s="346" t="s">
        <v>189</v>
      </c>
      <c r="P54" s="436" t="s">
        <v>115</v>
      </c>
      <c r="Q54" s="437"/>
      <c r="R54" s="436" t="s">
        <v>626</v>
      </c>
      <c r="S54" s="438"/>
      <c r="T54" s="438"/>
      <c r="U54" s="437"/>
      <c r="V54" s="439" t="s">
        <v>118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112</v>
      </c>
      <c r="B55" s="432"/>
      <c r="C55" s="349" t="s">
        <v>189</v>
      </c>
      <c r="D55" s="349" t="s">
        <v>115</v>
      </c>
      <c r="E55" s="349" t="s">
        <v>608</v>
      </c>
      <c r="F55" s="433" t="s">
        <v>118</v>
      </c>
      <c r="G55" s="434"/>
      <c r="H55" s="434"/>
      <c r="I55" s="434"/>
      <c r="J55" s="434"/>
      <c r="K55" s="434"/>
      <c r="L55" s="434"/>
      <c r="M55" s="435"/>
      <c r="N55" s="348" t="s">
        <v>112</v>
      </c>
      <c r="O55" s="346" t="s">
        <v>187</v>
      </c>
      <c r="P55" s="436" t="s">
        <v>294</v>
      </c>
      <c r="Q55" s="437"/>
      <c r="R55" s="436" t="s">
        <v>627</v>
      </c>
      <c r="S55" s="438"/>
      <c r="T55" s="438"/>
      <c r="U55" s="437"/>
      <c r="V55" s="439" t="s">
        <v>118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112</v>
      </c>
      <c r="B56" s="432"/>
      <c r="C56" s="349" t="s">
        <v>189</v>
      </c>
      <c r="D56" s="349" t="s">
        <v>294</v>
      </c>
      <c r="E56" s="349" t="s">
        <v>622</v>
      </c>
      <c r="F56" s="433" t="s">
        <v>118</v>
      </c>
      <c r="G56" s="434"/>
      <c r="H56" s="434"/>
      <c r="I56" s="434"/>
      <c r="J56" s="434"/>
      <c r="K56" s="434"/>
      <c r="L56" s="434"/>
      <c r="M56" s="435"/>
      <c r="N56" s="348" t="s">
        <v>112</v>
      </c>
      <c r="O56" s="346" t="s">
        <v>187</v>
      </c>
      <c r="P56" s="436" t="s">
        <v>115</v>
      </c>
      <c r="Q56" s="437"/>
      <c r="R56" s="436" t="s">
        <v>628</v>
      </c>
      <c r="S56" s="438"/>
      <c r="T56" s="438"/>
      <c r="U56" s="437"/>
      <c r="V56" s="439" t="s">
        <v>118</v>
      </c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120</v>
      </c>
      <c r="B57" s="432"/>
      <c r="C57" s="349" t="s">
        <v>233</v>
      </c>
      <c r="D57" s="349" t="s">
        <v>135</v>
      </c>
      <c r="E57" s="349" t="s">
        <v>609</v>
      </c>
      <c r="F57" s="433" t="s">
        <v>118</v>
      </c>
      <c r="G57" s="434"/>
      <c r="H57" s="434"/>
      <c r="I57" s="434"/>
      <c r="J57" s="434"/>
      <c r="K57" s="434"/>
      <c r="L57" s="434"/>
      <c r="M57" s="435"/>
      <c r="N57" s="348"/>
      <c r="O57" s="346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/>
      <c r="B58" s="432"/>
      <c r="C58" s="349"/>
      <c r="D58" s="349"/>
      <c r="E58" s="349"/>
      <c r="F58" s="433"/>
      <c r="G58" s="434"/>
      <c r="H58" s="434"/>
      <c r="I58" s="434"/>
      <c r="J58" s="434"/>
      <c r="K58" s="434"/>
      <c r="L58" s="434"/>
      <c r="M58" s="435"/>
      <c r="N58" s="348"/>
      <c r="O58" s="346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349"/>
      <c r="D59" s="349"/>
      <c r="E59" s="349"/>
      <c r="F59" s="433"/>
      <c r="G59" s="434"/>
      <c r="H59" s="434"/>
      <c r="I59" s="434"/>
      <c r="J59" s="434"/>
      <c r="K59" s="434"/>
      <c r="L59" s="434"/>
      <c r="M59" s="435"/>
      <c r="N59" s="348"/>
      <c r="O59" s="346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349"/>
      <c r="D60" s="349"/>
      <c r="E60" s="349"/>
      <c r="F60" s="433"/>
      <c r="G60" s="434"/>
      <c r="H60" s="434"/>
      <c r="I60" s="434"/>
      <c r="J60" s="434"/>
      <c r="K60" s="434"/>
      <c r="L60" s="434"/>
      <c r="M60" s="435"/>
      <c r="N60" s="348"/>
      <c r="O60" s="346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349"/>
      <c r="D61" s="349"/>
      <c r="E61" s="349"/>
      <c r="F61" s="433"/>
      <c r="G61" s="434"/>
      <c r="H61" s="434"/>
      <c r="I61" s="434"/>
      <c r="J61" s="434"/>
      <c r="K61" s="434"/>
      <c r="L61" s="434"/>
      <c r="M61" s="435"/>
      <c r="N61" s="348"/>
      <c r="O61" s="346"/>
      <c r="P61" s="432"/>
      <c r="Q61" s="432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  <c r="AF61" s="84">
        <f>8*3000</f>
        <v>24000</v>
      </c>
    </row>
    <row r="62" spans="1:32" ht="27" customHeight="1" thickBot="1">
      <c r="A62" s="441"/>
      <c r="B62" s="442"/>
      <c r="C62" s="350"/>
      <c r="D62" s="351"/>
      <c r="E62" s="351"/>
      <c r="F62" s="443"/>
      <c r="G62" s="444"/>
      <c r="H62" s="444"/>
      <c r="I62" s="444"/>
      <c r="J62" s="444"/>
      <c r="K62" s="444"/>
      <c r="L62" s="444"/>
      <c r="M62" s="445"/>
      <c r="N62" s="112"/>
      <c r="O62" s="103"/>
      <c r="P62" s="446"/>
      <c r="Q62" s="446"/>
      <c r="R62" s="446"/>
      <c r="S62" s="446"/>
      <c r="T62" s="446"/>
      <c r="U62" s="446"/>
      <c r="V62" s="447"/>
      <c r="W62" s="447"/>
      <c r="X62" s="447"/>
      <c r="Y62" s="447"/>
      <c r="Z62" s="447"/>
      <c r="AA62" s="447"/>
      <c r="AB62" s="447"/>
      <c r="AC62" s="447"/>
      <c r="AD62" s="448"/>
      <c r="AF62" s="84">
        <f>16*3000</f>
        <v>48000</v>
      </c>
    </row>
    <row r="63" spans="1:32" ht="27.75" thickBot="1">
      <c r="A63" s="449" t="s">
        <v>629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0" t="s">
        <v>111</v>
      </c>
      <c r="B64" s="451"/>
      <c r="C64" s="347" t="s">
        <v>2</v>
      </c>
      <c r="D64" s="347" t="s">
        <v>37</v>
      </c>
      <c r="E64" s="347" t="s">
        <v>3</v>
      </c>
      <c r="F64" s="451" t="s">
        <v>109</v>
      </c>
      <c r="G64" s="451"/>
      <c r="H64" s="451"/>
      <c r="I64" s="451"/>
      <c r="J64" s="451"/>
      <c r="K64" s="451" t="s">
        <v>39</v>
      </c>
      <c r="L64" s="451"/>
      <c r="M64" s="347" t="s">
        <v>40</v>
      </c>
      <c r="N64" s="451" t="s">
        <v>41</v>
      </c>
      <c r="O64" s="451"/>
      <c r="P64" s="452" t="s">
        <v>42</v>
      </c>
      <c r="Q64" s="453"/>
      <c r="R64" s="452" t="s">
        <v>43</v>
      </c>
      <c r="S64" s="454"/>
      <c r="T64" s="454"/>
      <c r="U64" s="454"/>
      <c r="V64" s="454"/>
      <c r="W64" s="454"/>
      <c r="X64" s="454"/>
      <c r="Y64" s="454"/>
      <c r="Z64" s="454"/>
      <c r="AA64" s="453"/>
      <c r="AB64" s="451" t="s">
        <v>44</v>
      </c>
      <c r="AC64" s="451"/>
      <c r="AD64" s="455"/>
      <c r="AF64" s="84">
        <f>SUM(AF61:AF63)</f>
        <v>96000</v>
      </c>
    </row>
    <row r="65" spans="1:32" ht="25.5" customHeight="1">
      <c r="A65" s="456">
        <v>1</v>
      </c>
      <c r="B65" s="457"/>
      <c r="C65" s="105" t="s">
        <v>112</v>
      </c>
      <c r="D65" s="342"/>
      <c r="E65" s="345" t="s">
        <v>141</v>
      </c>
      <c r="F65" s="458" t="s">
        <v>433</v>
      </c>
      <c r="G65" s="459"/>
      <c r="H65" s="459"/>
      <c r="I65" s="459"/>
      <c r="J65" s="460"/>
      <c r="K65" s="461" t="s">
        <v>138</v>
      </c>
      <c r="L65" s="461"/>
      <c r="M65" s="51" t="s">
        <v>380</v>
      </c>
      <c r="N65" s="462" t="s">
        <v>190</v>
      </c>
      <c r="O65" s="462"/>
      <c r="P65" s="463">
        <v>100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4"/>
      <c r="AC65" s="465"/>
      <c r="AD65" s="466"/>
      <c r="AF65" s="50"/>
    </row>
    <row r="66" spans="1:32" ht="25.5" customHeight="1">
      <c r="A66" s="456">
        <v>2</v>
      </c>
      <c r="B66" s="457"/>
      <c r="C66" s="105" t="s">
        <v>112</v>
      </c>
      <c r="D66" s="342"/>
      <c r="E66" s="345" t="s">
        <v>115</v>
      </c>
      <c r="F66" s="458" t="s">
        <v>435</v>
      </c>
      <c r="G66" s="459"/>
      <c r="H66" s="459"/>
      <c r="I66" s="459"/>
      <c r="J66" s="460"/>
      <c r="K66" s="461">
        <v>7301</v>
      </c>
      <c r="L66" s="461"/>
      <c r="M66" s="51" t="s">
        <v>380</v>
      </c>
      <c r="N66" s="462" t="s">
        <v>190</v>
      </c>
      <c r="O66" s="462"/>
      <c r="P66" s="463">
        <v>100</v>
      </c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3</v>
      </c>
      <c r="B67" s="457"/>
      <c r="C67" s="105" t="s">
        <v>120</v>
      </c>
      <c r="D67" s="342"/>
      <c r="E67" s="345" t="s">
        <v>495</v>
      </c>
      <c r="F67" s="458" t="s">
        <v>620</v>
      </c>
      <c r="G67" s="459"/>
      <c r="H67" s="459"/>
      <c r="I67" s="459"/>
      <c r="J67" s="460"/>
      <c r="K67" s="461">
        <v>7301</v>
      </c>
      <c r="L67" s="461"/>
      <c r="M67" s="51" t="s">
        <v>465</v>
      </c>
      <c r="N67" s="462" t="s">
        <v>190</v>
      </c>
      <c r="O67" s="462"/>
      <c r="P67" s="463">
        <v>50</v>
      </c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4</v>
      </c>
      <c r="B68" s="457"/>
      <c r="C68" s="105" t="s">
        <v>121</v>
      </c>
      <c r="D68" s="342"/>
      <c r="E68" s="345" t="s">
        <v>115</v>
      </c>
      <c r="F68" s="458" t="s">
        <v>524</v>
      </c>
      <c r="G68" s="459"/>
      <c r="H68" s="459"/>
      <c r="I68" s="459"/>
      <c r="J68" s="460"/>
      <c r="K68" s="461" t="s">
        <v>125</v>
      </c>
      <c r="L68" s="461"/>
      <c r="M68" s="51" t="s">
        <v>237</v>
      </c>
      <c r="N68" s="462" t="s">
        <v>219</v>
      </c>
      <c r="O68" s="462"/>
      <c r="P68" s="463">
        <v>100</v>
      </c>
      <c r="Q68" s="463"/>
      <c r="R68" s="439" t="s">
        <v>525</v>
      </c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5</v>
      </c>
      <c r="B69" s="457"/>
      <c r="C69" s="105" t="s">
        <v>120</v>
      </c>
      <c r="D69" s="342"/>
      <c r="E69" s="345" t="s">
        <v>207</v>
      </c>
      <c r="F69" s="458" t="s">
        <v>621</v>
      </c>
      <c r="G69" s="459"/>
      <c r="H69" s="459"/>
      <c r="I69" s="459"/>
      <c r="J69" s="460"/>
      <c r="K69" s="461" t="s">
        <v>138</v>
      </c>
      <c r="L69" s="461"/>
      <c r="M69" s="51" t="s">
        <v>465</v>
      </c>
      <c r="N69" s="462" t="s">
        <v>140</v>
      </c>
      <c r="O69" s="462"/>
      <c r="P69" s="463">
        <v>50</v>
      </c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6</v>
      </c>
      <c r="B70" s="457"/>
      <c r="C70" s="105" t="s">
        <v>121</v>
      </c>
      <c r="D70" s="342"/>
      <c r="E70" s="345" t="s">
        <v>294</v>
      </c>
      <c r="F70" s="458" t="s">
        <v>630</v>
      </c>
      <c r="G70" s="459"/>
      <c r="H70" s="459"/>
      <c r="I70" s="459"/>
      <c r="J70" s="460"/>
      <c r="K70" s="461" t="s">
        <v>125</v>
      </c>
      <c r="L70" s="461"/>
      <c r="M70" s="51" t="s">
        <v>237</v>
      </c>
      <c r="N70" s="462" t="s">
        <v>140</v>
      </c>
      <c r="O70" s="462"/>
      <c r="P70" s="463">
        <v>100</v>
      </c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7</v>
      </c>
      <c r="B71" s="457"/>
      <c r="C71" s="105" t="s">
        <v>112</v>
      </c>
      <c r="D71" s="342"/>
      <c r="E71" s="345" t="s">
        <v>135</v>
      </c>
      <c r="F71" s="468" t="s">
        <v>631</v>
      </c>
      <c r="G71" s="461"/>
      <c r="H71" s="461"/>
      <c r="I71" s="461"/>
      <c r="J71" s="461"/>
      <c r="K71" s="461">
        <v>8301</v>
      </c>
      <c r="L71" s="461"/>
      <c r="M71" s="51" t="s">
        <v>374</v>
      </c>
      <c r="N71" s="462" t="s">
        <v>254</v>
      </c>
      <c r="O71" s="462"/>
      <c r="P71" s="463">
        <v>50</v>
      </c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8</v>
      </c>
      <c r="B72" s="457"/>
      <c r="C72" s="105" t="s">
        <v>120</v>
      </c>
      <c r="D72" s="342"/>
      <c r="E72" s="345" t="s">
        <v>135</v>
      </c>
      <c r="F72" s="468" t="s">
        <v>632</v>
      </c>
      <c r="G72" s="461"/>
      <c r="H72" s="461"/>
      <c r="I72" s="461"/>
      <c r="J72" s="461"/>
      <c r="K72" s="461">
        <v>8301</v>
      </c>
      <c r="L72" s="461"/>
      <c r="M72" s="51" t="s">
        <v>465</v>
      </c>
      <c r="N72" s="462" t="s">
        <v>233</v>
      </c>
      <c r="O72" s="462"/>
      <c r="P72" s="463">
        <v>50</v>
      </c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9</v>
      </c>
      <c r="B73" s="457"/>
      <c r="C73" s="105" t="s">
        <v>121</v>
      </c>
      <c r="D73" s="342"/>
      <c r="E73" s="345" t="s">
        <v>191</v>
      </c>
      <c r="F73" s="468" t="s">
        <v>633</v>
      </c>
      <c r="G73" s="461"/>
      <c r="H73" s="461"/>
      <c r="I73" s="461"/>
      <c r="J73" s="461"/>
      <c r="K73" s="461" t="s">
        <v>325</v>
      </c>
      <c r="L73" s="461"/>
      <c r="M73" s="51" t="s">
        <v>237</v>
      </c>
      <c r="N73" s="462" t="s">
        <v>233</v>
      </c>
      <c r="O73" s="462"/>
      <c r="P73" s="463">
        <v>100</v>
      </c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10</v>
      </c>
      <c r="B74" s="457"/>
      <c r="C74" s="105"/>
      <c r="D74" s="342"/>
      <c r="E74" s="345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6.25" customHeight="1" thickBot="1">
      <c r="A75" s="469" t="s">
        <v>634</v>
      </c>
      <c r="B75" s="469"/>
      <c r="C75" s="469"/>
      <c r="D75" s="469"/>
      <c r="E75" s="46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0" t="s">
        <v>111</v>
      </c>
      <c r="B76" s="471"/>
      <c r="C76" s="344" t="s">
        <v>2</v>
      </c>
      <c r="D76" s="344" t="s">
        <v>37</v>
      </c>
      <c r="E76" s="344" t="s">
        <v>3</v>
      </c>
      <c r="F76" s="471" t="s">
        <v>38</v>
      </c>
      <c r="G76" s="471"/>
      <c r="H76" s="471"/>
      <c r="I76" s="471"/>
      <c r="J76" s="471"/>
      <c r="K76" s="472" t="s">
        <v>58</v>
      </c>
      <c r="L76" s="473"/>
      <c r="M76" s="473"/>
      <c r="N76" s="473"/>
      <c r="O76" s="473"/>
      <c r="P76" s="473"/>
      <c r="Q76" s="473"/>
      <c r="R76" s="473"/>
      <c r="S76" s="474"/>
      <c r="T76" s="471" t="s">
        <v>49</v>
      </c>
      <c r="U76" s="471"/>
      <c r="V76" s="472" t="s">
        <v>50</v>
      </c>
      <c r="W76" s="474"/>
      <c r="X76" s="473" t="s">
        <v>51</v>
      </c>
      <c r="Y76" s="473"/>
      <c r="Z76" s="473"/>
      <c r="AA76" s="473"/>
      <c r="AB76" s="473"/>
      <c r="AC76" s="473"/>
      <c r="AD76" s="475"/>
      <c r="AF76" s="50"/>
    </row>
    <row r="77" spans="1:32" ht="33.75" customHeight="1">
      <c r="A77" s="484">
        <v>1</v>
      </c>
      <c r="B77" s="485"/>
      <c r="C77" s="343" t="s">
        <v>112</v>
      </c>
      <c r="D77" s="343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76">
        <f>A77+1</f>
        <v>2</v>
      </c>
      <c r="B78" s="477"/>
      <c r="C78" s="342"/>
      <c r="D78" s="342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ref="A79:A83" si="14">A78+1</f>
        <v>3</v>
      </c>
      <c r="B79" s="477"/>
      <c r="C79" s="342"/>
      <c r="D79" s="342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14"/>
        <v>4</v>
      </c>
      <c r="B80" s="477"/>
      <c r="C80" s="342"/>
      <c r="D80" s="342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14"/>
        <v>5</v>
      </c>
      <c r="B81" s="477"/>
      <c r="C81" s="342"/>
      <c r="D81" s="342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14"/>
        <v>6</v>
      </c>
      <c r="B82" s="477"/>
      <c r="C82" s="342"/>
      <c r="D82" s="342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14"/>
        <v>7</v>
      </c>
      <c r="B83" s="477"/>
      <c r="C83" s="342"/>
      <c r="D83" s="342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6" thickBot="1">
      <c r="A84" s="469" t="s">
        <v>635</v>
      </c>
      <c r="B84" s="469"/>
      <c r="C84" s="469"/>
      <c r="D84" s="469"/>
      <c r="E84" s="46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0" t="s">
        <v>111</v>
      </c>
      <c r="B85" s="471"/>
      <c r="C85" s="497" t="s">
        <v>52</v>
      </c>
      <c r="D85" s="497"/>
      <c r="E85" s="497" t="s">
        <v>53</v>
      </c>
      <c r="F85" s="497"/>
      <c r="G85" s="497"/>
      <c r="H85" s="497"/>
      <c r="I85" s="497"/>
      <c r="J85" s="497"/>
      <c r="K85" s="497" t="s">
        <v>54</v>
      </c>
      <c r="L85" s="497"/>
      <c r="M85" s="497"/>
      <c r="N85" s="497"/>
      <c r="O85" s="497"/>
      <c r="P85" s="497"/>
      <c r="Q85" s="497"/>
      <c r="R85" s="497"/>
      <c r="S85" s="497"/>
      <c r="T85" s="497" t="s">
        <v>55</v>
      </c>
      <c r="U85" s="497"/>
      <c r="V85" s="497" t="s">
        <v>56</v>
      </c>
      <c r="W85" s="497"/>
      <c r="X85" s="497"/>
      <c r="Y85" s="497" t="s">
        <v>51</v>
      </c>
      <c r="Z85" s="497"/>
      <c r="AA85" s="497"/>
      <c r="AB85" s="497"/>
      <c r="AC85" s="497"/>
      <c r="AD85" s="498"/>
      <c r="AF85" s="50"/>
    </row>
    <row r="86" spans="1:32" ht="30.75" customHeight="1">
      <c r="A86" s="484">
        <v>1</v>
      </c>
      <c r="B86" s="485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500"/>
      <c r="W86" s="500"/>
      <c r="X86" s="500"/>
      <c r="Y86" s="501"/>
      <c r="Z86" s="501"/>
      <c r="AA86" s="501"/>
      <c r="AB86" s="501"/>
      <c r="AC86" s="501"/>
      <c r="AD86" s="502"/>
      <c r="AF86" s="50"/>
    </row>
    <row r="87" spans="1:32" ht="30.75" customHeight="1">
      <c r="A87" s="476">
        <v>2</v>
      </c>
      <c r="B87" s="477"/>
      <c r="C87" s="510"/>
      <c r="D87" s="510"/>
      <c r="E87" s="510"/>
      <c r="F87" s="510"/>
      <c r="G87" s="510"/>
      <c r="H87" s="510"/>
      <c r="I87" s="510"/>
      <c r="J87" s="510"/>
      <c r="K87" s="510"/>
      <c r="L87" s="510"/>
      <c r="M87" s="510"/>
      <c r="N87" s="510"/>
      <c r="O87" s="510"/>
      <c r="P87" s="510"/>
      <c r="Q87" s="510"/>
      <c r="R87" s="510"/>
      <c r="S87" s="510"/>
      <c r="T87" s="511"/>
      <c r="U87" s="511"/>
      <c r="V87" s="512"/>
      <c r="W87" s="512"/>
      <c r="X87" s="512"/>
      <c r="Y87" s="503"/>
      <c r="Z87" s="503"/>
      <c r="AA87" s="503"/>
      <c r="AB87" s="503"/>
      <c r="AC87" s="503"/>
      <c r="AD87" s="504"/>
      <c r="AF87" s="50"/>
    </row>
    <row r="88" spans="1:32" ht="30.75" customHeight="1" thickBot="1">
      <c r="A88" s="505">
        <v>3</v>
      </c>
      <c r="B88" s="506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07"/>
      <c r="X88" s="507"/>
      <c r="Y88" s="508"/>
      <c r="Z88" s="508"/>
      <c r="AA88" s="508"/>
      <c r="AB88" s="508"/>
      <c r="AC88" s="508"/>
      <c r="AD88" s="509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735C-B71F-4A18-8CB9-BAF57E4C864D}"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636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354" t="s">
        <v>17</v>
      </c>
      <c r="L5" s="354" t="s">
        <v>18</v>
      </c>
      <c r="M5" s="354" t="s">
        <v>19</v>
      </c>
      <c r="N5" s="35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135</v>
      </c>
      <c r="E6" s="53" t="s">
        <v>601</v>
      </c>
      <c r="F6" s="30" t="s">
        <v>131</v>
      </c>
      <c r="G6" s="12">
        <v>1</v>
      </c>
      <c r="H6" s="13">
        <v>24</v>
      </c>
      <c r="I6" s="31">
        <v>7000</v>
      </c>
      <c r="J6" s="5">
        <v>2717</v>
      </c>
      <c r="K6" s="15">
        <f>L6+4808+2717</f>
        <v>7525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>$AD$23</f>
        <v>0.42401960784313725</v>
      </c>
      <c r="AF6" s="84">
        <f t="shared" ref="AF6:AF22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502</v>
      </c>
      <c r="F7" s="12" t="s">
        <v>509</v>
      </c>
      <c r="G7" s="12">
        <v>1</v>
      </c>
      <c r="H7" s="13">
        <v>24</v>
      </c>
      <c r="I7" s="31">
        <v>15000</v>
      </c>
      <c r="J7" s="14">
        <v>5300</v>
      </c>
      <c r="K7" s="15">
        <f>L7+5902+6277</f>
        <v>17479</v>
      </c>
      <c r="L7" s="15">
        <f>3470+1830</f>
        <v>5300</v>
      </c>
      <c r="M7" s="15">
        <f t="shared" si="0"/>
        <v>5300</v>
      </c>
      <c r="N7" s="15">
        <v>0</v>
      </c>
      <c r="O7" s="58">
        <f t="shared" si="1"/>
        <v>0</v>
      </c>
      <c r="P7" s="39">
        <f t="shared" si="2"/>
        <v>22</v>
      </c>
      <c r="Q7" s="40">
        <f t="shared" si="3"/>
        <v>2</v>
      </c>
      <c r="R7" s="7"/>
      <c r="S7" s="6">
        <v>2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0.91666666666666663</v>
      </c>
      <c r="AD7" s="10">
        <f t="shared" si="6"/>
        <v>0.91666666666666663</v>
      </c>
      <c r="AE7" s="36">
        <f>$AD$23</f>
        <v>0.42401960784313725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492</v>
      </c>
      <c r="F8" s="30" t="s">
        <v>132</v>
      </c>
      <c r="G8" s="33">
        <v>1</v>
      </c>
      <c r="H8" s="35">
        <v>24</v>
      </c>
      <c r="I8" s="7">
        <v>10000</v>
      </c>
      <c r="J8" s="14">
        <v>2454</v>
      </c>
      <c r="K8" s="15">
        <f>L8+4254+1756+3035+3563+1503+4510+5243</f>
        <v>26318</v>
      </c>
      <c r="L8" s="15">
        <v>2454</v>
      </c>
      <c r="M8" s="15">
        <f t="shared" si="0"/>
        <v>2454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>
        <v>11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0.54166666666666663</v>
      </c>
      <c r="AD8" s="10">
        <f t="shared" si="6"/>
        <v>0.54166666666666663</v>
      </c>
      <c r="AE8" s="36">
        <f>$AD$23</f>
        <v>0.42401960784313725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495</v>
      </c>
      <c r="E9" s="53" t="s">
        <v>620</v>
      </c>
      <c r="F9" s="30" t="s">
        <v>139</v>
      </c>
      <c r="G9" s="33">
        <v>1</v>
      </c>
      <c r="H9" s="35">
        <v>24</v>
      </c>
      <c r="I9" s="7">
        <v>500</v>
      </c>
      <c r="J9" s="14">
        <v>1167</v>
      </c>
      <c r="K9" s="15">
        <f>L9+1167</f>
        <v>1167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>$AD$23</f>
        <v>0.42401960784313725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476</v>
      </c>
      <c r="E10" s="53" t="s">
        <v>477</v>
      </c>
      <c r="F10" s="30" t="s">
        <v>478</v>
      </c>
      <c r="G10" s="33">
        <v>2</v>
      </c>
      <c r="H10" s="35">
        <v>24</v>
      </c>
      <c r="I10" s="7">
        <v>10000</v>
      </c>
      <c r="J10" s="5">
        <v>5006</v>
      </c>
      <c r="K10" s="15">
        <f>L10+4950+7828+8384+8688+8842+5006</f>
        <v>43698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ref="AE10:AE14" si="8">$AD$23</f>
        <v>0.42401960784313725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511</v>
      </c>
      <c r="E11" s="53" t="s">
        <v>535</v>
      </c>
      <c r="F11" s="30" t="s">
        <v>513</v>
      </c>
      <c r="G11" s="33">
        <v>16</v>
      </c>
      <c r="H11" s="35">
        <v>24</v>
      </c>
      <c r="I11" s="7">
        <v>300000</v>
      </c>
      <c r="J11" s="14">
        <v>61760</v>
      </c>
      <c r="K11" s="15">
        <f>L11+36740+61170+59460+57030</f>
        <v>276160</v>
      </c>
      <c r="L11" s="15">
        <f>3162*10+3014*10</f>
        <v>61760</v>
      </c>
      <c r="M11" s="15">
        <f t="shared" si="0"/>
        <v>61760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8"/>
        <v>0.42401960784313725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141</v>
      </c>
      <c r="E12" s="53" t="s">
        <v>625</v>
      </c>
      <c r="F12" s="30" t="s">
        <v>478</v>
      </c>
      <c r="G12" s="33">
        <v>1</v>
      </c>
      <c r="H12" s="35">
        <v>24</v>
      </c>
      <c r="I12" s="7">
        <v>1600</v>
      </c>
      <c r="J12" s="14">
        <v>1662</v>
      </c>
      <c r="K12" s="15">
        <f>L12</f>
        <v>1662</v>
      </c>
      <c r="L12" s="15">
        <v>1662</v>
      </c>
      <c r="M12" s="15">
        <f t="shared" si="0"/>
        <v>1662</v>
      </c>
      <c r="N12" s="15">
        <v>0</v>
      </c>
      <c r="O12" s="58">
        <f t="shared" si="1"/>
        <v>0</v>
      </c>
      <c r="P12" s="39">
        <f t="shared" si="2"/>
        <v>8</v>
      </c>
      <c r="Q12" s="40">
        <f t="shared" si="3"/>
        <v>16</v>
      </c>
      <c r="R12" s="7"/>
      <c r="S12" s="6"/>
      <c r="T12" s="16"/>
      <c r="U12" s="16"/>
      <c r="V12" s="17"/>
      <c r="W12" s="5">
        <v>16</v>
      </c>
      <c r="X12" s="16"/>
      <c r="Y12" s="16"/>
      <c r="Z12" s="16"/>
      <c r="AA12" s="18"/>
      <c r="AB12" s="8">
        <f t="shared" si="4"/>
        <v>1</v>
      </c>
      <c r="AC12" s="9">
        <f t="shared" si="5"/>
        <v>0.33333333333333331</v>
      </c>
      <c r="AD12" s="10">
        <f t="shared" si="9"/>
        <v>0.33333333333333331</v>
      </c>
      <c r="AE12" s="36">
        <f t="shared" si="8"/>
        <v>0.42401960784313725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115</v>
      </c>
      <c r="E13" s="53" t="s">
        <v>626</v>
      </c>
      <c r="F13" s="30" t="s">
        <v>132</v>
      </c>
      <c r="G13" s="33">
        <v>1</v>
      </c>
      <c r="H13" s="35">
        <v>24</v>
      </c>
      <c r="I13" s="7">
        <v>1600</v>
      </c>
      <c r="J13" s="5">
        <v>1744</v>
      </c>
      <c r="K13" s="15">
        <f>L13</f>
        <v>1744</v>
      </c>
      <c r="L13" s="15">
        <v>1744</v>
      </c>
      <c r="M13" s="15">
        <f t="shared" si="0"/>
        <v>1744</v>
      </c>
      <c r="N13" s="15">
        <v>0</v>
      </c>
      <c r="O13" s="58">
        <f t="shared" si="1"/>
        <v>0</v>
      </c>
      <c r="P13" s="39">
        <f t="shared" si="2"/>
        <v>9</v>
      </c>
      <c r="Q13" s="40">
        <f t="shared" si="3"/>
        <v>15</v>
      </c>
      <c r="R13" s="7"/>
      <c r="S13" s="6"/>
      <c r="T13" s="16"/>
      <c r="U13" s="16"/>
      <c r="V13" s="17"/>
      <c r="W13" s="5">
        <v>15</v>
      </c>
      <c r="X13" s="16"/>
      <c r="Y13" s="16"/>
      <c r="Z13" s="16"/>
      <c r="AA13" s="18"/>
      <c r="AB13" s="8">
        <f t="shared" si="4"/>
        <v>1</v>
      </c>
      <c r="AC13" s="9">
        <f t="shared" si="5"/>
        <v>0.375</v>
      </c>
      <c r="AD13" s="10">
        <f>AC13*AB13*(1-O13)</f>
        <v>0.375</v>
      </c>
      <c r="AE13" s="36">
        <f t="shared" si="8"/>
        <v>0.42401960784313725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121</v>
      </c>
      <c r="D14" s="52" t="s">
        <v>586</v>
      </c>
      <c r="E14" s="53"/>
      <c r="F14" s="30" t="s">
        <v>125</v>
      </c>
      <c r="G14" s="33" t="s">
        <v>587</v>
      </c>
      <c r="H14" s="35">
        <v>24</v>
      </c>
      <c r="I14" s="7">
        <v>5000</v>
      </c>
      <c r="J14" s="5">
        <v>3358</v>
      </c>
      <c r="K14" s="15">
        <f>L14+2880+3392+3142</f>
        <v>12772</v>
      </c>
      <c r="L14" s="15">
        <f>1679*2</f>
        <v>3358</v>
      </c>
      <c r="M14" s="15">
        <f t="shared" si="0"/>
        <v>3358</v>
      </c>
      <c r="N14" s="15">
        <v>0</v>
      </c>
      <c r="O14" s="58">
        <f t="shared" si="1"/>
        <v>0</v>
      </c>
      <c r="P14" s="39">
        <f t="shared" si="2"/>
        <v>12</v>
      </c>
      <c r="Q14" s="40">
        <f t="shared" si="3"/>
        <v>12</v>
      </c>
      <c r="R14" s="7"/>
      <c r="S14" s="6"/>
      <c r="T14" s="16"/>
      <c r="U14" s="16"/>
      <c r="V14" s="17">
        <v>12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</v>
      </c>
      <c r="AD14" s="10">
        <f t="shared" si="9"/>
        <v>0.5</v>
      </c>
      <c r="AE14" s="36">
        <f t="shared" si="8"/>
        <v>0.42401960784313725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494</v>
      </c>
      <c r="F15" s="12" t="s">
        <v>152</v>
      </c>
      <c r="G15" s="12">
        <v>1</v>
      </c>
      <c r="H15" s="13">
        <v>24</v>
      </c>
      <c r="I15" s="31">
        <v>2300</v>
      </c>
      <c r="J15" s="14">
        <v>4412</v>
      </c>
      <c r="K15" s="15">
        <f>L15+4412</f>
        <v>4412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ref="AE15:AE22" si="10">$AD$23</f>
        <v>0.42401960784313725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L16+6564+12528+9524+11762+12146+1640</f>
        <v>54164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10"/>
        <v>0.42401960784313725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135</v>
      </c>
      <c r="E17" s="53" t="s">
        <v>609</v>
      </c>
      <c r="F17" s="30" t="s">
        <v>131</v>
      </c>
      <c r="G17" s="12">
        <v>1</v>
      </c>
      <c r="H17" s="13">
        <v>24</v>
      </c>
      <c r="I17" s="7">
        <v>300</v>
      </c>
      <c r="J17" s="14">
        <v>592</v>
      </c>
      <c r="K17" s="15">
        <f>L17+592</f>
        <v>592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20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20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10"/>
        <v>0.42401960784313725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211</v>
      </c>
      <c r="F18" s="30" t="s">
        <v>139</v>
      </c>
      <c r="G18" s="33">
        <v>1</v>
      </c>
      <c r="H18" s="35">
        <v>24</v>
      </c>
      <c r="I18" s="7">
        <v>20000</v>
      </c>
      <c r="J18" s="14">
        <v>5342</v>
      </c>
      <c r="K18" s="15">
        <f>L18+3143+5226+5251+4739+4938</f>
        <v>28639</v>
      </c>
      <c r="L18" s="15">
        <f>2736+2606</f>
        <v>5342</v>
      </c>
      <c r="M18" s="15">
        <f t="shared" si="0"/>
        <v>5342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10"/>
        <v>0.42401960784313725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294</v>
      </c>
      <c r="E19" s="53" t="s">
        <v>627</v>
      </c>
      <c r="F19" s="30" t="s">
        <v>132</v>
      </c>
      <c r="G19" s="33">
        <v>1</v>
      </c>
      <c r="H19" s="35">
        <v>24</v>
      </c>
      <c r="I19" s="7">
        <v>1000</v>
      </c>
      <c r="J19" s="5">
        <v>1124</v>
      </c>
      <c r="K19" s="15">
        <f>L19</f>
        <v>1124</v>
      </c>
      <c r="L19" s="15">
        <v>1124</v>
      </c>
      <c r="M19" s="15">
        <f t="shared" ref="M19" si="11">L19-N19</f>
        <v>1124</v>
      </c>
      <c r="N19" s="15">
        <v>0</v>
      </c>
      <c r="O19" s="58">
        <f t="shared" ref="O19" si="12">IF(L19=0,"0",N19/L19)</f>
        <v>0</v>
      </c>
      <c r="P19" s="39">
        <f t="shared" ref="P19" si="13">IF(L19=0,"0",(24-Q19))</f>
        <v>6</v>
      </c>
      <c r="Q19" s="40">
        <f t="shared" ref="Q19" si="14">SUM(R19:AA19)</f>
        <v>18</v>
      </c>
      <c r="R19" s="7"/>
      <c r="S19" s="6"/>
      <c r="T19" s="16"/>
      <c r="U19" s="16"/>
      <c r="V19" s="17"/>
      <c r="W19" s="5">
        <v>18</v>
      </c>
      <c r="X19" s="16"/>
      <c r="Y19" s="16"/>
      <c r="Z19" s="16"/>
      <c r="AA19" s="18"/>
      <c r="AB19" s="8">
        <f t="shared" ref="AB19" si="15">IF(J19=0,"0",(L19/J19))</f>
        <v>1</v>
      </c>
      <c r="AC19" s="9">
        <f t="shared" ref="AC19" si="16">IF(P19=0,"0",(P19/24))</f>
        <v>0.25</v>
      </c>
      <c r="AD19" s="10">
        <f>AC19*AB19*(1-O19)</f>
        <v>0.25</v>
      </c>
      <c r="AE19" s="36">
        <f t="shared" si="10"/>
        <v>0.42401960784313725</v>
      </c>
      <c r="AF19" s="84">
        <f t="shared" ref="AF19" si="17">A19</f>
        <v>14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115</v>
      </c>
      <c r="E20" s="53" t="s">
        <v>628</v>
      </c>
      <c r="F20" s="30" t="s">
        <v>132</v>
      </c>
      <c r="G20" s="33">
        <v>1</v>
      </c>
      <c r="H20" s="35">
        <v>24</v>
      </c>
      <c r="I20" s="7">
        <v>300</v>
      </c>
      <c r="J20" s="5">
        <v>527</v>
      </c>
      <c r="K20" s="15">
        <f>L20</f>
        <v>527</v>
      </c>
      <c r="L20" s="15">
        <f>190+337</f>
        <v>527</v>
      </c>
      <c r="M20" s="15">
        <f t="shared" si="0"/>
        <v>527</v>
      </c>
      <c r="N20" s="15">
        <v>0</v>
      </c>
      <c r="O20" s="58">
        <f t="shared" si="1"/>
        <v>0</v>
      </c>
      <c r="P20" s="39">
        <f t="shared" si="2"/>
        <v>7</v>
      </c>
      <c r="Q20" s="40">
        <f t="shared" si="3"/>
        <v>17</v>
      </c>
      <c r="R20" s="7"/>
      <c r="S20" s="6">
        <v>10</v>
      </c>
      <c r="T20" s="16">
        <v>7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0.29166666666666669</v>
      </c>
      <c r="AD20" s="10">
        <f>AC20*AB20*(1-O20)</f>
        <v>0.29166666666666669</v>
      </c>
      <c r="AE20" s="36">
        <f t="shared" si="10"/>
        <v>0.42401960784313725</v>
      </c>
      <c r="AF20" s="84">
        <f t="shared" si="7"/>
        <v>14</v>
      </c>
    </row>
    <row r="21" spans="1:32" ht="27" customHeight="1">
      <c r="A21" s="113">
        <v>15</v>
      </c>
      <c r="B21" s="11" t="s">
        <v>57</v>
      </c>
      <c r="C21" s="34" t="s">
        <v>121</v>
      </c>
      <c r="D21" s="52" t="s">
        <v>115</v>
      </c>
      <c r="E21" s="53" t="s">
        <v>604</v>
      </c>
      <c r="F21" s="30" t="s">
        <v>119</v>
      </c>
      <c r="G21" s="12">
        <v>1</v>
      </c>
      <c r="H21" s="13">
        <v>28</v>
      </c>
      <c r="I21" s="31">
        <v>10000</v>
      </c>
      <c r="J21" s="5">
        <v>4661</v>
      </c>
      <c r="K21" s="15">
        <f>L21+3810+4285</f>
        <v>12756</v>
      </c>
      <c r="L21" s="15">
        <f>2280+2381</f>
        <v>4661</v>
      </c>
      <c r="M21" s="15">
        <f t="shared" si="0"/>
        <v>4661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ref="AD21" si="18">AC21*AB21*(1-O21)</f>
        <v>1</v>
      </c>
      <c r="AE21" s="36">
        <f t="shared" si="10"/>
        <v>0.42401960784313725</v>
      </c>
      <c r="AF21" s="84">
        <f t="shared" si="7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144</v>
      </c>
      <c r="F22" s="12" t="s">
        <v>114</v>
      </c>
      <c r="G22" s="12">
        <v>4</v>
      </c>
      <c r="H22" s="35">
        <v>20</v>
      </c>
      <c r="I22" s="7">
        <v>300000</v>
      </c>
      <c r="J22" s="14">
        <v>71540</v>
      </c>
      <c r="K22" s="15">
        <f>L22+66912+52516+29980</f>
        <v>220948</v>
      </c>
      <c r="L22" s="15">
        <f>8797*4+9088*4</f>
        <v>71540</v>
      </c>
      <c r="M22" s="15">
        <f t="shared" si="0"/>
        <v>71540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10"/>
        <v>0.42401960784313725</v>
      </c>
      <c r="AF22" s="84">
        <f t="shared" si="7"/>
        <v>16</v>
      </c>
    </row>
    <row r="23" spans="1:32" ht="31.5" customHeight="1" thickBot="1">
      <c r="A23" s="405" t="s">
        <v>34</v>
      </c>
      <c r="B23" s="406"/>
      <c r="C23" s="406"/>
      <c r="D23" s="406"/>
      <c r="E23" s="406"/>
      <c r="F23" s="406"/>
      <c r="G23" s="406"/>
      <c r="H23" s="407"/>
      <c r="I23" s="22">
        <f t="shared" ref="I23:N23" si="19">SUM(I6:I22)</f>
        <v>984600</v>
      </c>
      <c r="J23" s="19">
        <f t="shared" si="19"/>
        <v>175006</v>
      </c>
      <c r="K23" s="20">
        <f t="shared" si="19"/>
        <v>711687</v>
      </c>
      <c r="L23" s="21">
        <f t="shared" si="19"/>
        <v>159472</v>
      </c>
      <c r="M23" s="20">
        <f t="shared" si="19"/>
        <v>159472</v>
      </c>
      <c r="N23" s="21">
        <f t="shared" si="19"/>
        <v>0</v>
      </c>
      <c r="O23" s="41">
        <f t="shared" si="1"/>
        <v>0</v>
      </c>
      <c r="P23" s="42">
        <f t="shared" ref="P23:AA23" si="20">SUM(P6:P22)</f>
        <v>173</v>
      </c>
      <c r="Q23" s="43">
        <f t="shared" si="20"/>
        <v>231</v>
      </c>
      <c r="R23" s="23">
        <f t="shared" si="20"/>
        <v>24</v>
      </c>
      <c r="S23" s="24">
        <f t="shared" si="20"/>
        <v>23</v>
      </c>
      <c r="T23" s="24">
        <f t="shared" si="20"/>
        <v>7</v>
      </c>
      <c r="U23" s="24">
        <f t="shared" si="20"/>
        <v>0</v>
      </c>
      <c r="V23" s="25">
        <f t="shared" si="20"/>
        <v>12</v>
      </c>
      <c r="W23" s="26">
        <f t="shared" si="20"/>
        <v>97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68</v>
      </c>
      <c r="AB23" s="28">
        <f>AVERAGE(AB6:AB22)</f>
        <v>0.6470588235294118</v>
      </c>
      <c r="AC23" s="4">
        <f>AVERAGE(AC6:AC22)</f>
        <v>0.42401960784313725</v>
      </c>
      <c r="AD23" s="4">
        <f>AVERAGE(AD6:AD22)</f>
        <v>0.42401960784313725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08" t="s">
        <v>45</v>
      </c>
      <c r="B50" s="408"/>
      <c r="C50" s="408"/>
      <c r="D50" s="408"/>
      <c r="E50" s="40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09" t="s">
        <v>637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1"/>
      <c r="N51" s="412" t="s">
        <v>638</v>
      </c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4"/>
    </row>
    <row r="52" spans="1:32" ht="27" customHeight="1">
      <c r="A52" s="415" t="s">
        <v>2</v>
      </c>
      <c r="B52" s="416"/>
      <c r="C52" s="355" t="s">
        <v>46</v>
      </c>
      <c r="D52" s="355" t="s">
        <v>47</v>
      </c>
      <c r="E52" s="355" t="s">
        <v>107</v>
      </c>
      <c r="F52" s="417" t="s">
        <v>106</v>
      </c>
      <c r="G52" s="418"/>
      <c r="H52" s="418"/>
      <c r="I52" s="418"/>
      <c r="J52" s="418"/>
      <c r="K52" s="418"/>
      <c r="L52" s="418"/>
      <c r="M52" s="419"/>
      <c r="N52" s="67" t="s">
        <v>110</v>
      </c>
      <c r="O52" s="355" t="s">
        <v>46</v>
      </c>
      <c r="P52" s="417" t="s">
        <v>47</v>
      </c>
      <c r="Q52" s="420"/>
      <c r="R52" s="417" t="s">
        <v>38</v>
      </c>
      <c r="S52" s="418"/>
      <c r="T52" s="418"/>
      <c r="U52" s="420"/>
      <c r="V52" s="417" t="s">
        <v>48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31" t="s">
        <v>112</v>
      </c>
      <c r="B53" s="432"/>
      <c r="C53" s="357" t="s">
        <v>223</v>
      </c>
      <c r="D53" s="357" t="s">
        <v>294</v>
      </c>
      <c r="E53" s="357" t="s">
        <v>627</v>
      </c>
      <c r="F53" s="433" t="s">
        <v>118</v>
      </c>
      <c r="G53" s="434"/>
      <c r="H53" s="434"/>
      <c r="I53" s="434"/>
      <c r="J53" s="434"/>
      <c r="K53" s="434"/>
      <c r="L53" s="434"/>
      <c r="M53" s="435"/>
      <c r="N53" s="356" t="s">
        <v>123</v>
      </c>
      <c r="O53" s="362" t="s">
        <v>136</v>
      </c>
      <c r="P53" s="436"/>
      <c r="Q53" s="437"/>
      <c r="R53" s="436" t="s">
        <v>639</v>
      </c>
      <c r="S53" s="438"/>
      <c r="T53" s="438"/>
      <c r="U53" s="437"/>
      <c r="V53" s="439" t="s">
        <v>118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112</v>
      </c>
      <c r="B54" s="432"/>
      <c r="C54" s="357" t="s">
        <v>223</v>
      </c>
      <c r="D54" s="357" t="s">
        <v>115</v>
      </c>
      <c r="E54" s="357" t="s">
        <v>628</v>
      </c>
      <c r="F54" s="433" t="s">
        <v>319</v>
      </c>
      <c r="G54" s="434"/>
      <c r="H54" s="434"/>
      <c r="I54" s="434"/>
      <c r="J54" s="434"/>
      <c r="K54" s="434"/>
      <c r="L54" s="434"/>
      <c r="M54" s="435"/>
      <c r="N54" s="356" t="s">
        <v>120</v>
      </c>
      <c r="O54" s="362" t="s">
        <v>127</v>
      </c>
      <c r="P54" s="436" t="s">
        <v>135</v>
      </c>
      <c r="Q54" s="437"/>
      <c r="R54" s="436" t="s">
        <v>502</v>
      </c>
      <c r="S54" s="438"/>
      <c r="T54" s="438"/>
      <c r="U54" s="437"/>
      <c r="V54" s="439" t="s">
        <v>133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112</v>
      </c>
      <c r="B55" s="432"/>
      <c r="C55" s="357" t="s">
        <v>140</v>
      </c>
      <c r="D55" s="357" t="s">
        <v>141</v>
      </c>
      <c r="E55" s="357" t="s">
        <v>625</v>
      </c>
      <c r="F55" s="433" t="s">
        <v>118</v>
      </c>
      <c r="G55" s="434"/>
      <c r="H55" s="434"/>
      <c r="I55" s="434"/>
      <c r="J55" s="434"/>
      <c r="K55" s="434"/>
      <c r="L55" s="434"/>
      <c r="M55" s="435"/>
      <c r="N55" s="356" t="s">
        <v>123</v>
      </c>
      <c r="O55" s="362" t="s">
        <v>140</v>
      </c>
      <c r="P55" s="436"/>
      <c r="Q55" s="437"/>
      <c r="R55" s="436" t="s">
        <v>640</v>
      </c>
      <c r="S55" s="438"/>
      <c r="T55" s="438"/>
      <c r="U55" s="437"/>
      <c r="V55" s="439" t="s">
        <v>118</v>
      </c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112</v>
      </c>
      <c r="B56" s="432"/>
      <c r="C56" s="357" t="s">
        <v>189</v>
      </c>
      <c r="D56" s="357" t="s">
        <v>115</v>
      </c>
      <c r="E56" s="357" t="s">
        <v>626</v>
      </c>
      <c r="F56" s="433" t="s">
        <v>118</v>
      </c>
      <c r="G56" s="434"/>
      <c r="H56" s="434"/>
      <c r="I56" s="434"/>
      <c r="J56" s="434"/>
      <c r="K56" s="434"/>
      <c r="L56" s="434"/>
      <c r="M56" s="435"/>
      <c r="N56" s="356"/>
      <c r="O56" s="362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120</v>
      </c>
      <c r="B57" s="432"/>
      <c r="C57" s="357" t="s">
        <v>127</v>
      </c>
      <c r="D57" s="357" t="s">
        <v>135</v>
      </c>
      <c r="E57" s="357" t="s">
        <v>502</v>
      </c>
      <c r="F57" s="433" t="s">
        <v>351</v>
      </c>
      <c r="G57" s="434"/>
      <c r="H57" s="434"/>
      <c r="I57" s="434"/>
      <c r="J57" s="434"/>
      <c r="K57" s="434"/>
      <c r="L57" s="434"/>
      <c r="M57" s="435"/>
      <c r="N57" s="356"/>
      <c r="O57" s="362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/>
      <c r="B58" s="432"/>
      <c r="C58" s="357"/>
      <c r="D58" s="357"/>
      <c r="E58" s="357"/>
      <c r="F58" s="433"/>
      <c r="G58" s="434"/>
      <c r="H58" s="434"/>
      <c r="I58" s="434"/>
      <c r="J58" s="434"/>
      <c r="K58" s="434"/>
      <c r="L58" s="434"/>
      <c r="M58" s="435"/>
      <c r="N58" s="356"/>
      <c r="O58" s="362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357"/>
      <c r="D59" s="357"/>
      <c r="E59" s="357"/>
      <c r="F59" s="433"/>
      <c r="G59" s="434"/>
      <c r="H59" s="434"/>
      <c r="I59" s="434"/>
      <c r="J59" s="434"/>
      <c r="K59" s="434"/>
      <c r="L59" s="434"/>
      <c r="M59" s="435"/>
      <c r="N59" s="356"/>
      <c r="O59" s="362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357"/>
      <c r="D60" s="357"/>
      <c r="E60" s="357"/>
      <c r="F60" s="433"/>
      <c r="G60" s="434"/>
      <c r="H60" s="434"/>
      <c r="I60" s="434"/>
      <c r="J60" s="434"/>
      <c r="K60" s="434"/>
      <c r="L60" s="434"/>
      <c r="M60" s="435"/>
      <c r="N60" s="356"/>
      <c r="O60" s="362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357"/>
      <c r="D61" s="357"/>
      <c r="E61" s="357"/>
      <c r="F61" s="433"/>
      <c r="G61" s="434"/>
      <c r="H61" s="434"/>
      <c r="I61" s="434"/>
      <c r="J61" s="434"/>
      <c r="K61" s="434"/>
      <c r="L61" s="434"/>
      <c r="M61" s="435"/>
      <c r="N61" s="356"/>
      <c r="O61" s="362"/>
      <c r="P61" s="432"/>
      <c r="Q61" s="432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  <c r="AF61" s="84">
        <f>8*3000</f>
        <v>24000</v>
      </c>
    </row>
    <row r="62" spans="1:32" ht="27" customHeight="1" thickBot="1">
      <c r="A62" s="441"/>
      <c r="B62" s="442"/>
      <c r="C62" s="358"/>
      <c r="D62" s="359"/>
      <c r="E62" s="359"/>
      <c r="F62" s="443"/>
      <c r="G62" s="444"/>
      <c r="H62" s="444"/>
      <c r="I62" s="444"/>
      <c r="J62" s="444"/>
      <c r="K62" s="444"/>
      <c r="L62" s="444"/>
      <c r="M62" s="445"/>
      <c r="N62" s="112"/>
      <c r="O62" s="103"/>
      <c r="P62" s="446"/>
      <c r="Q62" s="446"/>
      <c r="R62" s="446"/>
      <c r="S62" s="446"/>
      <c r="T62" s="446"/>
      <c r="U62" s="446"/>
      <c r="V62" s="447"/>
      <c r="W62" s="447"/>
      <c r="X62" s="447"/>
      <c r="Y62" s="447"/>
      <c r="Z62" s="447"/>
      <c r="AA62" s="447"/>
      <c r="AB62" s="447"/>
      <c r="AC62" s="447"/>
      <c r="AD62" s="448"/>
      <c r="AF62" s="84">
        <f>16*3000</f>
        <v>48000</v>
      </c>
    </row>
    <row r="63" spans="1:32" ht="27.75" thickBot="1">
      <c r="A63" s="449" t="s">
        <v>641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0" t="s">
        <v>111</v>
      </c>
      <c r="B64" s="451"/>
      <c r="C64" s="360" t="s">
        <v>2</v>
      </c>
      <c r="D64" s="360" t="s">
        <v>37</v>
      </c>
      <c r="E64" s="360" t="s">
        <v>3</v>
      </c>
      <c r="F64" s="451" t="s">
        <v>109</v>
      </c>
      <c r="G64" s="451"/>
      <c r="H64" s="451"/>
      <c r="I64" s="451"/>
      <c r="J64" s="451"/>
      <c r="K64" s="451" t="s">
        <v>39</v>
      </c>
      <c r="L64" s="451"/>
      <c r="M64" s="360" t="s">
        <v>40</v>
      </c>
      <c r="N64" s="451" t="s">
        <v>41</v>
      </c>
      <c r="O64" s="451"/>
      <c r="P64" s="452" t="s">
        <v>42</v>
      </c>
      <c r="Q64" s="453"/>
      <c r="R64" s="452" t="s">
        <v>43</v>
      </c>
      <c r="S64" s="454"/>
      <c r="T64" s="454"/>
      <c r="U64" s="454"/>
      <c r="V64" s="454"/>
      <c r="W64" s="454"/>
      <c r="X64" s="454"/>
      <c r="Y64" s="454"/>
      <c r="Z64" s="454"/>
      <c r="AA64" s="453"/>
      <c r="AB64" s="451" t="s">
        <v>44</v>
      </c>
      <c r="AC64" s="451"/>
      <c r="AD64" s="455"/>
      <c r="AF64" s="84">
        <f>SUM(AF61:AF63)</f>
        <v>96000</v>
      </c>
    </row>
    <row r="65" spans="1:32" ht="25.5" customHeight="1">
      <c r="A65" s="456">
        <v>1</v>
      </c>
      <c r="B65" s="457"/>
      <c r="C65" s="105" t="s">
        <v>121</v>
      </c>
      <c r="D65" s="364"/>
      <c r="E65" s="361" t="s">
        <v>115</v>
      </c>
      <c r="F65" s="458" t="s">
        <v>466</v>
      </c>
      <c r="G65" s="459"/>
      <c r="H65" s="459"/>
      <c r="I65" s="459"/>
      <c r="J65" s="460"/>
      <c r="K65" s="461" t="s">
        <v>125</v>
      </c>
      <c r="L65" s="461"/>
      <c r="M65" s="51" t="s">
        <v>237</v>
      </c>
      <c r="N65" s="462" t="s">
        <v>219</v>
      </c>
      <c r="O65" s="462"/>
      <c r="P65" s="463">
        <v>40</v>
      </c>
      <c r="Q65" s="463"/>
      <c r="R65" s="439" t="s">
        <v>642</v>
      </c>
      <c r="S65" s="439"/>
      <c r="T65" s="439"/>
      <c r="U65" s="439"/>
      <c r="V65" s="439"/>
      <c r="W65" s="439"/>
      <c r="X65" s="439"/>
      <c r="Y65" s="439"/>
      <c r="Z65" s="439"/>
      <c r="AA65" s="439"/>
      <c r="AB65" s="464"/>
      <c r="AC65" s="465"/>
      <c r="AD65" s="466"/>
      <c r="AF65" s="50"/>
    </row>
    <row r="66" spans="1:32" ht="25.5" customHeight="1">
      <c r="A66" s="456">
        <v>2</v>
      </c>
      <c r="B66" s="457"/>
      <c r="C66" s="105" t="s">
        <v>123</v>
      </c>
      <c r="D66" s="364"/>
      <c r="E66" s="361"/>
      <c r="F66" s="458" t="s">
        <v>643</v>
      </c>
      <c r="G66" s="459"/>
      <c r="H66" s="459"/>
      <c r="I66" s="459"/>
      <c r="J66" s="460"/>
      <c r="K66" s="461" t="s">
        <v>119</v>
      </c>
      <c r="L66" s="461"/>
      <c r="M66" s="51" t="s">
        <v>237</v>
      </c>
      <c r="N66" s="462" t="s">
        <v>190</v>
      </c>
      <c r="O66" s="462"/>
      <c r="P66" s="463">
        <v>50</v>
      </c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3</v>
      </c>
      <c r="B67" s="457"/>
      <c r="C67" s="105" t="s">
        <v>120</v>
      </c>
      <c r="D67" s="364"/>
      <c r="E67" s="361" t="s">
        <v>191</v>
      </c>
      <c r="F67" s="458" t="s">
        <v>462</v>
      </c>
      <c r="G67" s="459"/>
      <c r="H67" s="459"/>
      <c r="I67" s="459"/>
      <c r="J67" s="460"/>
      <c r="K67" s="461" t="s">
        <v>464</v>
      </c>
      <c r="L67" s="461"/>
      <c r="M67" s="51" t="s">
        <v>644</v>
      </c>
      <c r="N67" s="462" t="s">
        <v>254</v>
      </c>
      <c r="O67" s="462"/>
      <c r="P67" s="463">
        <v>200</v>
      </c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4</v>
      </c>
      <c r="B68" s="457"/>
      <c r="C68" s="105"/>
      <c r="D68" s="364"/>
      <c r="E68" s="361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5</v>
      </c>
      <c r="B69" s="457"/>
      <c r="C69" s="105"/>
      <c r="D69" s="364"/>
      <c r="E69" s="361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6</v>
      </c>
      <c r="B70" s="457"/>
      <c r="C70" s="105"/>
      <c r="D70" s="364"/>
      <c r="E70" s="361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7</v>
      </c>
      <c r="B71" s="457"/>
      <c r="C71" s="105"/>
      <c r="D71" s="364"/>
      <c r="E71" s="361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8</v>
      </c>
      <c r="B72" s="457"/>
      <c r="C72" s="105"/>
      <c r="D72" s="364"/>
      <c r="E72" s="361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9</v>
      </c>
      <c r="B73" s="457"/>
      <c r="C73" s="105"/>
      <c r="D73" s="364"/>
      <c r="E73" s="361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10</v>
      </c>
      <c r="B74" s="457"/>
      <c r="C74" s="105"/>
      <c r="D74" s="364"/>
      <c r="E74" s="361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6.25" customHeight="1" thickBot="1">
      <c r="A75" s="469" t="s">
        <v>645</v>
      </c>
      <c r="B75" s="469"/>
      <c r="C75" s="469"/>
      <c r="D75" s="469"/>
      <c r="E75" s="46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0" t="s">
        <v>111</v>
      </c>
      <c r="B76" s="471"/>
      <c r="C76" s="363" t="s">
        <v>2</v>
      </c>
      <c r="D76" s="363" t="s">
        <v>37</v>
      </c>
      <c r="E76" s="363" t="s">
        <v>3</v>
      </c>
      <c r="F76" s="471" t="s">
        <v>38</v>
      </c>
      <c r="G76" s="471"/>
      <c r="H76" s="471"/>
      <c r="I76" s="471"/>
      <c r="J76" s="471"/>
      <c r="K76" s="472" t="s">
        <v>58</v>
      </c>
      <c r="L76" s="473"/>
      <c r="M76" s="473"/>
      <c r="N76" s="473"/>
      <c r="O76" s="473"/>
      <c r="P76" s="473"/>
      <c r="Q76" s="473"/>
      <c r="R76" s="473"/>
      <c r="S76" s="474"/>
      <c r="T76" s="471" t="s">
        <v>49</v>
      </c>
      <c r="U76" s="471"/>
      <c r="V76" s="472" t="s">
        <v>50</v>
      </c>
      <c r="W76" s="474"/>
      <c r="X76" s="473" t="s">
        <v>51</v>
      </c>
      <c r="Y76" s="473"/>
      <c r="Z76" s="473"/>
      <c r="AA76" s="473"/>
      <c r="AB76" s="473"/>
      <c r="AC76" s="473"/>
      <c r="AD76" s="475"/>
      <c r="AF76" s="50"/>
    </row>
    <row r="77" spans="1:32" ht="33.75" customHeight="1">
      <c r="A77" s="484">
        <v>1</v>
      </c>
      <c r="B77" s="485"/>
      <c r="C77" s="365" t="s">
        <v>112</v>
      </c>
      <c r="D77" s="365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76">
        <f>A77+1</f>
        <v>2</v>
      </c>
      <c r="B78" s="477"/>
      <c r="C78" s="364"/>
      <c r="D78" s="364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ref="A79:A83" si="21">A78+1</f>
        <v>3</v>
      </c>
      <c r="B79" s="477"/>
      <c r="C79" s="364"/>
      <c r="D79" s="364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21"/>
        <v>4</v>
      </c>
      <c r="B80" s="477"/>
      <c r="C80" s="364"/>
      <c r="D80" s="364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21"/>
        <v>5</v>
      </c>
      <c r="B81" s="477"/>
      <c r="C81" s="364"/>
      <c r="D81" s="364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21"/>
        <v>6</v>
      </c>
      <c r="B82" s="477"/>
      <c r="C82" s="364"/>
      <c r="D82" s="364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21"/>
        <v>7</v>
      </c>
      <c r="B83" s="477"/>
      <c r="C83" s="364"/>
      <c r="D83" s="364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6" thickBot="1">
      <c r="A84" s="469" t="s">
        <v>646</v>
      </c>
      <c r="B84" s="469"/>
      <c r="C84" s="469"/>
      <c r="D84" s="469"/>
      <c r="E84" s="46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0" t="s">
        <v>111</v>
      </c>
      <c r="B85" s="471"/>
      <c r="C85" s="497" t="s">
        <v>52</v>
      </c>
      <c r="D85" s="497"/>
      <c r="E85" s="497" t="s">
        <v>53</v>
      </c>
      <c r="F85" s="497"/>
      <c r="G85" s="497"/>
      <c r="H85" s="497"/>
      <c r="I85" s="497"/>
      <c r="J85" s="497"/>
      <c r="K85" s="497" t="s">
        <v>54</v>
      </c>
      <c r="L85" s="497"/>
      <c r="M85" s="497"/>
      <c r="N85" s="497"/>
      <c r="O85" s="497"/>
      <c r="P85" s="497"/>
      <c r="Q85" s="497"/>
      <c r="R85" s="497"/>
      <c r="S85" s="497"/>
      <c r="T85" s="497" t="s">
        <v>55</v>
      </c>
      <c r="U85" s="497"/>
      <c r="V85" s="497" t="s">
        <v>56</v>
      </c>
      <c r="W85" s="497"/>
      <c r="X85" s="497"/>
      <c r="Y85" s="497" t="s">
        <v>51</v>
      </c>
      <c r="Z85" s="497"/>
      <c r="AA85" s="497"/>
      <c r="AB85" s="497"/>
      <c r="AC85" s="497"/>
      <c r="AD85" s="498"/>
      <c r="AF85" s="50"/>
    </row>
    <row r="86" spans="1:32" ht="30.75" customHeight="1">
      <c r="A86" s="484">
        <v>1</v>
      </c>
      <c r="B86" s="485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500"/>
      <c r="W86" s="500"/>
      <c r="X86" s="500"/>
      <c r="Y86" s="501"/>
      <c r="Z86" s="501"/>
      <c r="AA86" s="501"/>
      <c r="AB86" s="501"/>
      <c r="AC86" s="501"/>
      <c r="AD86" s="502"/>
      <c r="AF86" s="50"/>
    </row>
    <row r="87" spans="1:32" ht="30.75" customHeight="1">
      <c r="A87" s="476">
        <v>2</v>
      </c>
      <c r="B87" s="477"/>
      <c r="C87" s="510"/>
      <c r="D87" s="510"/>
      <c r="E87" s="510"/>
      <c r="F87" s="510"/>
      <c r="G87" s="510"/>
      <c r="H87" s="510"/>
      <c r="I87" s="510"/>
      <c r="J87" s="510"/>
      <c r="K87" s="510"/>
      <c r="L87" s="510"/>
      <c r="M87" s="510"/>
      <c r="N87" s="510"/>
      <c r="O87" s="510"/>
      <c r="P87" s="510"/>
      <c r="Q87" s="510"/>
      <c r="R87" s="510"/>
      <c r="S87" s="510"/>
      <c r="T87" s="511"/>
      <c r="U87" s="511"/>
      <c r="V87" s="512"/>
      <c r="W87" s="512"/>
      <c r="X87" s="512"/>
      <c r="Y87" s="503"/>
      <c r="Z87" s="503"/>
      <c r="AA87" s="503"/>
      <c r="AB87" s="503"/>
      <c r="AC87" s="503"/>
      <c r="AD87" s="504"/>
      <c r="AF87" s="50"/>
    </row>
    <row r="88" spans="1:32" ht="30.75" customHeight="1" thickBot="1">
      <c r="A88" s="505">
        <v>3</v>
      </c>
      <c r="B88" s="506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07"/>
      <c r="X88" s="507"/>
      <c r="Y88" s="508"/>
      <c r="Z88" s="508"/>
      <c r="AA88" s="508"/>
      <c r="AB88" s="508"/>
      <c r="AC88" s="508"/>
      <c r="AD88" s="509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314F-D1ED-4721-8211-F5534D133F14}">
  <dimension ref="A1:AF88"/>
  <sheetViews>
    <sheetView view="pageBreakPreview" zoomScale="70" zoomScaleNormal="72" zoomScaleSheetLayoutView="70" workbookViewId="0">
      <selection activeCell="F82" sqref="F82:J8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647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377" t="s">
        <v>17</v>
      </c>
      <c r="L5" s="377" t="s">
        <v>18</v>
      </c>
      <c r="M5" s="377" t="s">
        <v>19</v>
      </c>
      <c r="N5" s="37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123</v>
      </c>
      <c r="D6" s="52" t="s">
        <v>135</v>
      </c>
      <c r="E6" s="53" t="s">
        <v>639</v>
      </c>
      <c r="F6" s="30" t="s">
        <v>152</v>
      </c>
      <c r="G6" s="12">
        <v>1</v>
      </c>
      <c r="H6" s="13">
        <v>24</v>
      </c>
      <c r="I6" s="31">
        <v>500</v>
      </c>
      <c r="J6" s="5">
        <v>718</v>
      </c>
      <c r="K6" s="15">
        <f>L6</f>
        <v>718</v>
      </c>
      <c r="L6" s="15">
        <v>718</v>
      </c>
      <c r="M6" s="15">
        <f t="shared" ref="M6:M22" si="0">L6-N6</f>
        <v>718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4</v>
      </c>
      <c r="Q6" s="40">
        <f t="shared" ref="Q6:Q22" si="3">SUM(R6:AA6)</f>
        <v>20</v>
      </c>
      <c r="R6" s="7"/>
      <c r="S6" s="6"/>
      <c r="T6" s="16"/>
      <c r="U6" s="16"/>
      <c r="V6" s="17"/>
      <c r="W6" s="5">
        <v>20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0.16666666666666666</v>
      </c>
      <c r="AD6" s="10">
        <f t="shared" ref="AD6:AD22" si="6">AC6*AB6*(1-O6)</f>
        <v>0.16666666666666666</v>
      </c>
      <c r="AE6" s="36">
        <f t="shared" ref="AE6:AE22" si="7">$AD$23</f>
        <v>0.39215686274509803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502</v>
      </c>
      <c r="F7" s="12" t="s">
        <v>509</v>
      </c>
      <c r="G7" s="12">
        <v>1</v>
      </c>
      <c r="H7" s="13">
        <v>24</v>
      </c>
      <c r="I7" s="31">
        <v>15000</v>
      </c>
      <c r="J7" s="14">
        <v>5300</v>
      </c>
      <c r="K7" s="15">
        <f>L7+5902+6277+5300</f>
        <v>17479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0.39215686274509803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492</v>
      </c>
      <c r="F8" s="30" t="s">
        <v>132</v>
      </c>
      <c r="G8" s="33">
        <v>1</v>
      </c>
      <c r="H8" s="35">
        <v>24</v>
      </c>
      <c r="I8" s="7">
        <v>10000</v>
      </c>
      <c r="J8" s="14">
        <v>2454</v>
      </c>
      <c r="K8" s="15">
        <f>L8+4254+1756+3035+3563+1503+4510+5243+2454</f>
        <v>26318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0.39215686274509803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435</v>
      </c>
      <c r="F9" s="30" t="s">
        <v>139</v>
      </c>
      <c r="G9" s="33">
        <v>1</v>
      </c>
      <c r="H9" s="35">
        <v>24</v>
      </c>
      <c r="I9" s="7">
        <v>73000</v>
      </c>
      <c r="J9" s="14">
        <v>1167</v>
      </c>
      <c r="K9" s="15">
        <f>L9</f>
        <v>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0.39215686274509803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161</v>
      </c>
      <c r="E10" s="53" t="s">
        <v>505</v>
      </c>
      <c r="F10" s="30" t="s">
        <v>125</v>
      </c>
      <c r="G10" s="33">
        <v>2</v>
      </c>
      <c r="H10" s="35">
        <v>24</v>
      </c>
      <c r="I10" s="7">
        <v>6000</v>
      </c>
      <c r="J10" s="5">
        <v>6524</v>
      </c>
      <c r="K10" s="15">
        <f>L10</f>
        <v>6524</v>
      </c>
      <c r="L10" s="15">
        <f>601*2+2661*2</f>
        <v>6524</v>
      </c>
      <c r="M10" s="15">
        <f t="shared" si="0"/>
        <v>6524</v>
      </c>
      <c r="N10" s="15">
        <v>0</v>
      </c>
      <c r="O10" s="58">
        <f t="shared" si="1"/>
        <v>0</v>
      </c>
      <c r="P10" s="39">
        <f t="shared" si="2"/>
        <v>17</v>
      </c>
      <c r="Q10" s="40">
        <f t="shared" si="3"/>
        <v>7</v>
      </c>
      <c r="R10" s="7"/>
      <c r="S10" s="6"/>
      <c r="T10" s="16">
        <v>7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0.70833333333333337</v>
      </c>
      <c r="AD10" s="10">
        <f>AC10*AB10*(1-O10)</f>
        <v>0.70833333333333337</v>
      </c>
      <c r="AE10" s="36">
        <f t="shared" si="7"/>
        <v>0.39215686274509803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511</v>
      </c>
      <c r="E11" s="53" t="s">
        <v>535</v>
      </c>
      <c r="F11" s="30" t="s">
        <v>513</v>
      </c>
      <c r="G11" s="33">
        <v>16</v>
      </c>
      <c r="H11" s="35">
        <v>24</v>
      </c>
      <c r="I11" s="7">
        <v>300000</v>
      </c>
      <c r="J11" s="14">
        <v>60180</v>
      </c>
      <c r="K11" s="15">
        <f>L11+36740+61170+59460+57030+61760</f>
        <v>336340</v>
      </c>
      <c r="L11" s="15">
        <f>3120*10+2898*10</f>
        <v>60180</v>
      </c>
      <c r="M11" s="15">
        <f t="shared" si="0"/>
        <v>60180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5" si="9">AC11*AB11*(1-O11)</f>
        <v>1</v>
      </c>
      <c r="AE11" s="36">
        <f t="shared" si="7"/>
        <v>0.39215686274509803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123</v>
      </c>
      <c r="D12" s="52" t="s">
        <v>115</v>
      </c>
      <c r="E12" s="53" t="s">
        <v>640</v>
      </c>
      <c r="F12" s="30" t="s">
        <v>514</v>
      </c>
      <c r="G12" s="33">
        <v>1</v>
      </c>
      <c r="H12" s="35">
        <v>24</v>
      </c>
      <c r="I12" s="7">
        <v>500</v>
      </c>
      <c r="J12" s="14">
        <v>692</v>
      </c>
      <c r="K12" s="15">
        <f>L12</f>
        <v>692</v>
      </c>
      <c r="L12" s="15">
        <f>346*2</f>
        <v>692</v>
      </c>
      <c r="M12" s="15">
        <f t="shared" si="0"/>
        <v>692</v>
      </c>
      <c r="N12" s="15">
        <v>0</v>
      </c>
      <c r="O12" s="58">
        <f t="shared" si="1"/>
        <v>0</v>
      </c>
      <c r="P12" s="39">
        <f t="shared" si="2"/>
        <v>4</v>
      </c>
      <c r="Q12" s="40">
        <f t="shared" si="3"/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si="4"/>
        <v>1</v>
      </c>
      <c r="AC12" s="9">
        <f t="shared" si="5"/>
        <v>0.16666666666666666</v>
      </c>
      <c r="AD12" s="10">
        <f t="shared" si="9"/>
        <v>0.16666666666666666</v>
      </c>
      <c r="AE12" s="36">
        <f t="shared" si="7"/>
        <v>0.39215686274509803</v>
      </c>
      <c r="AF12" s="84">
        <f t="shared" si="8"/>
        <v>7</v>
      </c>
    </row>
    <row r="13" spans="1:32" ht="27" customHeight="1">
      <c r="A13" s="96">
        <v>7</v>
      </c>
      <c r="B13" s="11" t="s">
        <v>57</v>
      </c>
      <c r="C13" s="11" t="s">
        <v>121</v>
      </c>
      <c r="D13" s="52" t="s">
        <v>294</v>
      </c>
      <c r="E13" s="53" t="s">
        <v>579</v>
      </c>
      <c r="F13" s="30" t="s">
        <v>125</v>
      </c>
      <c r="G13" s="33">
        <v>2</v>
      </c>
      <c r="H13" s="35">
        <v>24</v>
      </c>
      <c r="I13" s="7">
        <v>6000</v>
      </c>
      <c r="J13" s="14">
        <v>6344</v>
      </c>
      <c r="K13" s="15">
        <f>L13</f>
        <v>6344</v>
      </c>
      <c r="L13" s="15">
        <f>640*2+2532*2</f>
        <v>6344</v>
      </c>
      <c r="M13" s="15">
        <f t="shared" ref="M13" si="10">L13-N13</f>
        <v>6344</v>
      </c>
      <c r="N13" s="15">
        <v>0</v>
      </c>
      <c r="O13" s="58">
        <f t="shared" ref="O13" si="11">IF(L13=0,"0",N13/L13)</f>
        <v>0</v>
      </c>
      <c r="P13" s="39">
        <f t="shared" ref="P13" si="12">IF(L13=0,"0",(24-Q13))</f>
        <v>17</v>
      </c>
      <c r="Q13" s="40">
        <f t="shared" ref="Q13" si="13">SUM(R13:AA13)</f>
        <v>7</v>
      </c>
      <c r="R13" s="7"/>
      <c r="S13" s="6"/>
      <c r="T13" s="16">
        <v>7</v>
      </c>
      <c r="U13" s="16"/>
      <c r="V13" s="17"/>
      <c r="W13" s="5"/>
      <c r="X13" s="16"/>
      <c r="Y13" s="16"/>
      <c r="Z13" s="16"/>
      <c r="AA13" s="18"/>
      <c r="AB13" s="8">
        <f t="shared" ref="AB13" si="14">IF(J13=0,"0",(L13/J13))</f>
        <v>1</v>
      </c>
      <c r="AC13" s="9">
        <f t="shared" ref="AC13" si="15">IF(P13=0,"0",(P13/24))</f>
        <v>0.70833333333333337</v>
      </c>
      <c r="AD13" s="10">
        <f t="shared" ref="AD13" si="16">AC13*AB13*(1-O13)</f>
        <v>0.70833333333333337</v>
      </c>
      <c r="AE13" s="36">
        <f t="shared" si="7"/>
        <v>0.39215686274509803</v>
      </c>
      <c r="AF13" s="84">
        <f t="shared" ref="AF13" si="17">A13</f>
        <v>7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466</v>
      </c>
      <c r="F14" s="30" t="s">
        <v>125</v>
      </c>
      <c r="G14" s="33">
        <v>2</v>
      </c>
      <c r="H14" s="35">
        <v>24</v>
      </c>
      <c r="I14" s="7">
        <v>6000</v>
      </c>
      <c r="J14" s="5">
        <v>1744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>AC14*AB14*(1-O14)</f>
        <v>0</v>
      </c>
      <c r="AE14" s="36">
        <f t="shared" si="7"/>
        <v>0.39215686274509803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121</v>
      </c>
      <c r="D15" s="52" t="s">
        <v>586</v>
      </c>
      <c r="E15" s="53"/>
      <c r="F15" s="30" t="s">
        <v>125</v>
      </c>
      <c r="G15" s="33" t="s">
        <v>587</v>
      </c>
      <c r="H15" s="35">
        <v>24</v>
      </c>
      <c r="I15" s="7">
        <v>5000</v>
      </c>
      <c r="J15" s="5">
        <v>3358</v>
      </c>
      <c r="K15" s="15">
        <f>L15+2880+3392+3142+3358</f>
        <v>12772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0.39215686274509803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123</v>
      </c>
      <c r="D16" s="52"/>
      <c r="E16" s="53" t="s">
        <v>494</v>
      </c>
      <c r="F16" s="12" t="s">
        <v>152</v>
      </c>
      <c r="G16" s="12">
        <v>1</v>
      </c>
      <c r="H16" s="13">
        <v>24</v>
      </c>
      <c r="I16" s="31">
        <v>2300</v>
      </c>
      <c r="J16" s="14">
        <v>4412</v>
      </c>
      <c r="K16" s="15">
        <f>L16+4412</f>
        <v>4412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0.39215686274509803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207</v>
      </c>
      <c r="E17" s="53" t="s">
        <v>204</v>
      </c>
      <c r="F17" s="30" t="s">
        <v>138</v>
      </c>
      <c r="G17" s="12">
        <v>2</v>
      </c>
      <c r="H17" s="13">
        <v>24</v>
      </c>
      <c r="I17" s="7">
        <v>300000</v>
      </c>
      <c r="J17" s="14">
        <v>1640</v>
      </c>
      <c r="K17" s="15">
        <f>L17+6564+12528+9524+11762+12146+1640</f>
        <v>54164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0.39215686274509803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121</v>
      </c>
      <c r="D18" s="52" t="s">
        <v>191</v>
      </c>
      <c r="E18" s="53" t="s">
        <v>648</v>
      </c>
      <c r="F18" s="30" t="s">
        <v>325</v>
      </c>
      <c r="G18" s="12">
        <v>2</v>
      </c>
      <c r="H18" s="13">
        <v>24</v>
      </c>
      <c r="I18" s="7">
        <v>6000</v>
      </c>
      <c r="J18" s="14">
        <v>6690</v>
      </c>
      <c r="K18" s="15">
        <f>L18</f>
        <v>6690</v>
      </c>
      <c r="L18" s="15">
        <f>845*2+2500*2</f>
        <v>6690</v>
      </c>
      <c r="M18" s="15">
        <f t="shared" si="0"/>
        <v>6690</v>
      </c>
      <c r="N18" s="15">
        <v>0</v>
      </c>
      <c r="O18" s="58">
        <f t="shared" si="1"/>
        <v>0</v>
      </c>
      <c r="P18" s="39">
        <f t="shared" si="2"/>
        <v>17</v>
      </c>
      <c r="Q18" s="40">
        <f t="shared" si="3"/>
        <v>7</v>
      </c>
      <c r="R18" s="7"/>
      <c r="S18" s="6"/>
      <c r="T18" s="16">
        <v>7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0.70833333333333337</v>
      </c>
      <c r="AD18" s="10">
        <f t="shared" si="6"/>
        <v>0.70833333333333337</v>
      </c>
      <c r="AE18" s="36">
        <f t="shared" si="7"/>
        <v>0.39215686274509803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211</v>
      </c>
      <c r="F19" s="30" t="s">
        <v>139</v>
      </c>
      <c r="G19" s="33">
        <v>1</v>
      </c>
      <c r="H19" s="35">
        <v>24</v>
      </c>
      <c r="I19" s="7">
        <v>20000</v>
      </c>
      <c r="J19" s="14">
        <v>804</v>
      </c>
      <c r="K19" s="15">
        <f>L19+3143+5226+5251+4739+4938+5342</f>
        <v>29443</v>
      </c>
      <c r="L19" s="15">
        <v>804</v>
      </c>
      <c r="M19" s="15">
        <f t="shared" si="0"/>
        <v>804</v>
      </c>
      <c r="N19" s="15">
        <v>0</v>
      </c>
      <c r="O19" s="58">
        <f t="shared" si="1"/>
        <v>0</v>
      </c>
      <c r="P19" s="39">
        <f t="shared" si="2"/>
        <v>5</v>
      </c>
      <c r="Q19" s="40">
        <f t="shared" si="3"/>
        <v>19</v>
      </c>
      <c r="R19" s="7"/>
      <c r="S19" s="6">
        <v>19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0.20833333333333334</v>
      </c>
      <c r="AD19" s="10">
        <f t="shared" si="6"/>
        <v>0.20833333333333334</v>
      </c>
      <c r="AE19" s="36">
        <f t="shared" si="7"/>
        <v>0.39215686274509803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120</v>
      </c>
      <c r="D20" s="52" t="s">
        <v>183</v>
      </c>
      <c r="E20" s="53" t="s">
        <v>184</v>
      </c>
      <c r="F20" s="30" t="s">
        <v>139</v>
      </c>
      <c r="G20" s="33">
        <v>2</v>
      </c>
      <c r="H20" s="35">
        <v>24</v>
      </c>
      <c r="I20" s="7">
        <v>10000</v>
      </c>
      <c r="J20" s="5">
        <v>9026</v>
      </c>
      <c r="K20" s="15">
        <f>L20</f>
        <v>9026</v>
      </c>
      <c r="L20" s="15">
        <f>1869*2+2644*2</f>
        <v>9026</v>
      </c>
      <c r="M20" s="15">
        <f t="shared" si="0"/>
        <v>9026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>AC20*AB20*(1-O20)</f>
        <v>1</v>
      </c>
      <c r="AE20" s="36">
        <f t="shared" si="7"/>
        <v>0.39215686274509803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121</v>
      </c>
      <c r="D21" s="52" t="s">
        <v>115</v>
      </c>
      <c r="E21" s="53" t="s">
        <v>604</v>
      </c>
      <c r="F21" s="30" t="s">
        <v>119</v>
      </c>
      <c r="G21" s="12">
        <v>1</v>
      </c>
      <c r="H21" s="13">
        <v>28</v>
      </c>
      <c r="I21" s="31">
        <v>10000</v>
      </c>
      <c r="J21" s="5">
        <v>4561</v>
      </c>
      <c r="K21" s="15">
        <f>L21+3810+4285+4661</f>
        <v>17317</v>
      </c>
      <c r="L21" s="15">
        <f>2360+2201</f>
        <v>4561</v>
      </c>
      <c r="M21" s="15">
        <f t="shared" si="0"/>
        <v>4561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ref="AD21" si="18">AC21*AB21*(1-O21)</f>
        <v>1</v>
      </c>
      <c r="AE21" s="36">
        <f t="shared" si="7"/>
        <v>0.39215686274509803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144</v>
      </c>
      <c r="F22" s="12" t="s">
        <v>114</v>
      </c>
      <c r="G22" s="12">
        <v>4</v>
      </c>
      <c r="H22" s="35">
        <v>20</v>
      </c>
      <c r="I22" s="7">
        <v>300000</v>
      </c>
      <c r="J22" s="14">
        <v>64240</v>
      </c>
      <c r="K22" s="15">
        <f>L22+66912+52516+29980+71540</f>
        <v>285188</v>
      </c>
      <c r="L22" s="15">
        <f>8861*4+7199*4</f>
        <v>64240</v>
      </c>
      <c r="M22" s="15">
        <f t="shared" si="0"/>
        <v>64240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0.39215686274509803</v>
      </c>
      <c r="AF22" s="84">
        <f t="shared" si="8"/>
        <v>16</v>
      </c>
    </row>
    <row r="23" spans="1:32" ht="31.5" customHeight="1" thickBot="1">
      <c r="A23" s="405" t="s">
        <v>34</v>
      </c>
      <c r="B23" s="406"/>
      <c r="C23" s="406"/>
      <c r="D23" s="406"/>
      <c r="E23" s="406"/>
      <c r="F23" s="406"/>
      <c r="G23" s="406"/>
      <c r="H23" s="407"/>
      <c r="I23" s="22">
        <f t="shared" ref="I23:N23" si="19">SUM(I6:I22)</f>
        <v>1070300</v>
      </c>
      <c r="J23" s="19">
        <f t="shared" si="19"/>
        <v>179854</v>
      </c>
      <c r="K23" s="20">
        <f t="shared" si="19"/>
        <v>813427</v>
      </c>
      <c r="L23" s="21">
        <f t="shared" si="19"/>
        <v>159779</v>
      </c>
      <c r="M23" s="20">
        <f t="shared" si="19"/>
        <v>159779</v>
      </c>
      <c r="N23" s="21">
        <f t="shared" si="19"/>
        <v>0</v>
      </c>
      <c r="O23" s="41">
        <f t="shared" si="1"/>
        <v>0</v>
      </c>
      <c r="P23" s="42">
        <f t="shared" ref="P23:AA23" si="20">SUM(P6:P22)</f>
        <v>160</v>
      </c>
      <c r="Q23" s="43">
        <f t="shared" si="20"/>
        <v>248</v>
      </c>
      <c r="R23" s="23">
        <f t="shared" si="20"/>
        <v>24</v>
      </c>
      <c r="S23" s="24">
        <f t="shared" si="20"/>
        <v>91</v>
      </c>
      <c r="T23" s="24">
        <f t="shared" si="20"/>
        <v>21</v>
      </c>
      <c r="U23" s="24">
        <f t="shared" si="20"/>
        <v>0</v>
      </c>
      <c r="V23" s="25">
        <f t="shared" si="20"/>
        <v>0</v>
      </c>
      <c r="W23" s="26">
        <f t="shared" si="20"/>
        <v>40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72</v>
      </c>
      <c r="AB23" s="28">
        <f>AVERAGE(AB6:AB22)</f>
        <v>0.58823529411764708</v>
      </c>
      <c r="AC23" s="4">
        <f>AVERAGE(AC6:AC22)</f>
        <v>0.39215686274509803</v>
      </c>
      <c r="AD23" s="4">
        <f>AVERAGE(AD6:AD22)</f>
        <v>0.39215686274509803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08" t="s">
        <v>45</v>
      </c>
      <c r="B50" s="408"/>
      <c r="C50" s="408"/>
      <c r="D50" s="408"/>
      <c r="E50" s="40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09" t="s">
        <v>649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1"/>
      <c r="N51" s="412" t="s">
        <v>652</v>
      </c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4"/>
    </row>
    <row r="52" spans="1:32" ht="27" customHeight="1">
      <c r="A52" s="415" t="s">
        <v>2</v>
      </c>
      <c r="B52" s="416"/>
      <c r="C52" s="376" t="s">
        <v>46</v>
      </c>
      <c r="D52" s="376" t="s">
        <v>47</v>
      </c>
      <c r="E52" s="376" t="s">
        <v>107</v>
      </c>
      <c r="F52" s="417" t="s">
        <v>106</v>
      </c>
      <c r="G52" s="418"/>
      <c r="H52" s="418"/>
      <c r="I52" s="418"/>
      <c r="J52" s="418"/>
      <c r="K52" s="418"/>
      <c r="L52" s="418"/>
      <c r="M52" s="419"/>
      <c r="N52" s="67" t="s">
        <v>110</v>
      </c>
      <c r="O52" s="376" t="s">
        <v>46</v>
      </c>
      <c r="P52" s="417" t="s">
        <v>47</v>
      </c>
      <c r="Q52" s="420"/>
      <c r="R52" s="417" t="s">
        <v>38</v>
      </c>
      <c r="S52" s="418"/>
      <c r="T52" s="418"/>
      <c r="U52" s="420"/>
      <c r="V52" s="417" t="s">
        <v>48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31" t="s">
        <v>123</v>
      </c>
      <c r="B53" s="432"/>
      <c r="C53" s="373" t="s">
        <v>140</v>
      </c>
      <c r="D53" s="373"/>
      <c r="E53" s="373" t="s">
        <v>640</v>
      </c>
      <c r="F53" s="433" t="s">
        <v>118</v>
      </c>
      <c r="G53" s="434"/>
      <c r="H53" s="434"/>
      <c r="I53" s="434"/>
      <c r="J53" s="434"/>
      <c r="K53" s="434"/>
      <c r="L53" s="434"/>
      <c r="M53" s="435"/>
      <c r="N53" s="372" t="s">
        <v>121</v>
      </c>
      <c r="O53" s="370" t="s">
        <v>189</v>
      </c>
      <c r="P53" s="436" t="s">
        <v>115</v>
      </c>
      <c r="Q53" s="437"/>
      <c r="R53" s="436" t="s">
        <v>466</v>
      </c>
      <c r="S53" s="438"/>
      <c r="T53" s="438"/>
      <c r="U53" s="437"/>
      <c r="V53" s="439" t="s">
        <v>118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123</v>
      </c>
      <c r="B54" s="432"/>
      <c r="C54" s="373" t="s">
        <v>136</v>
      </c>
      <c r="D54" s="373"/>
      <c r="E54" s="373" t="s">
        <v>639</v>
      </c>
      <c r="F54" s="433" t="s">
        <v>118</v>
      </c>
      <c r="G54" s="434"/>
      <c r="H54" s="434"/>
      <c r="I54" s="434"/>
      <c r="J54" s="434"/>
      <c r="K54" s="434"/>
      <c r="L54" s="434"/>
      <c r="M54" s="435"/>
      <c r="N54" s="372" t="s">
        <v>120</v>
      </c>
      <c r="O54" s="370" t="s">
        <v>187</v>
      </c>
      <c r="P54" s="436" t="s">
        <v>115</v>
      </c>
      <c r="Q54" s="437"/>
      <c r="R54" s="436" t="s">
        <v>211</v>
      </c>
      <c r="S54" s="438"/>
      <c r="T54" s="438"/>
      <c r="U54" s="437"/>
      <c r="V54" s="439" t="s">
        <v>249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120</v>
      </c>
      <c r="B55" s="432"/>
      <c r="C55" s="373" t="s">
        <v>127</v>
      </c>
      <c r="D55" s="373" t="s">
        <v>135</v>
      </c>
      <c r="E55" s="373" t="s">
        <v>502</v>
      </c>
      <c r="F55" s="433" t="s">
        <v>650</v>
      </c>
      <c r="G55" s="434"/>
      <c r="H55" s="434"/>
      <c r="I55" s="434"/>
      <c r="J55" s="434"/>
      <c r="K55" s="434"/>
      <c r="L55" s="434"/>
      <c r="M55" s="435"/>
      <c r="N55" s="372"/>
      <c r="O55" s="370"/>
      <c r="P55" s="436"/>
      <c r="Q55" s="437"/>
      <c r="R55" s="436"/>
      <c r="S55" s="438"/>
      <c r="T55" s="438"/>
      <c r="U55" s="437"/>
      <c r="V55" s="439"/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121</v>
      </c>
      <c r="B56" s="432"/>
      <c r="C56" s="373" t="s">
        <v>219</v>
      </c>
      <c r="D56" s="373" t="s">
        <v>161</v>
      </c>
      <c r="E56" s="373" t="s">
        <v>505</v>
      </c>
      <c r="F56" s="433" t="s">
        <v>118</v>
      </c>
      <c r="G56" s="434"/>
      <c r="H56" s="434"/>
      <c r="I56" s="434"/>
      <c r="J56" s="434"/>
      <c r="K56" s="434"/>
      <c r="L56" s="434"/>
      <c r="M56" s="435"/>
      <c r="N56" s="372"/>
      <c r="O56" s="370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121</v>
      </c>
      <c r="B57" s="432"/>
      <c r="C57" s="373" t="s">
        <v>140</v>
      </c>
      <c r="D57" s="373" t="s">
        <v>294</v>
      </c>
      <c r="E57" s="373" t="s">
        <v>579</v>
      </c>
      <c r="F57" s="433" t="s">
        <v>118</v>
      </c>
      <c r="G57" s="434"/>
      <c r="H57" s="434"/>
      <c r="I57" s="434"/>
      <c r="J57" s="434"/>
      <c r="K57" s="434"/>
      <c r="L57" s="434"/>
      <c r="M57" s="435"/>
      <c r="N57" s="372"/>
      <c r="O57" s="370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121</v>
      </c>
      <c r="B58" s="432"/>
      <c r="C58" s="373" t="s">
        <v>233</v>
      </c>
      <c r="D58" s="373" t="s">
        <v>191</v>
      </c>
      <c r="E58" s="373" t="s">
        <v>651</v>
      </c>
      <c r="F58" s="433" t="s">
        <v>118</v>
      </c>
      <c r="G58" s="434"/>
      <c r="H58" s="434"/>
      <c r="I58" s="434"/>
      <c r="J58" s="434"/>
      <c r="K58" s="434"/>
      <c r="L58" s="434"/>
      <c r="M58" s="435"/>
      <c r="N58" s="372"/>
      <c r="O58" s="370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 t="s">
        <v>120</v>
      </c>
      <c r="B59" s="432"/>
      <c r="C59" s="373" t="s">
        <v>223</v>
      </c>
      <c r="D59" s="373" t="s">
        <v>183</v>
      </c>
      <c r="E59" s="373" t="s">
        <v>184</v>
      </c>
      <c r="F59" s="433" t="s">
        <v>133</v>
      </c>
      <c r="G59" s="434"/>
      <c r="H59" s="434"/>
      <c r="I59" s="434"/>
      <c r="J59" s="434"/>
      <c r="K59" s="434"/>
      <c r="L59" s="434"/>
      <c r="M59" s="435"/>
      <c r="N59" s="372"/>
      <c r="O59" s="370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 t="s">
        <v>120</v>
      </c>
      <c r="B60" s="432"/>
      <c r="C60" s="373" t="s">
        <v>187</v>
      </c>
      <c r="D60" s="373" t="s">
        <v>115</v>
      </c>
      <c r="E60" s="373" t="s">
        <v>211</v>
      </c>
      <c r="F60" s="433" t="s">
        <v>351</v>
      </c>
      <c r="G60" s="434"/>
      <c r="H60" s="434"/>
      <c r="I60" s="434"/>
      <c r="J60" s="434"/>
      <c r="K60" s="434"/>
      <c r="L60" s="434"/>
      <c r="M60" s="435"/>
      <c r="N60" s="372"/>
      <c r="O60" s="370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373"/>
      <c r="D61" s="373"/>
      <c r="E61" s="373"/>
      <c r="F61" s="433"/>
      <c r="G61" s="434"/>
      <c r="H61" s="434"/>
      <c r="I61" s="434"/>
      <c r="J61" s="434"/>
      <c r="K61" s="434"/>
      <c r="L61" s="434"/>
      <c r="M61" s="435"/>
      <c r="N61" s="372"/>
      <c r="O61" s="370"/>
      <c r="P61" s="432"/>
      <c r="Q61" s="432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  <c r="AF61" s="84">
        <f>8*3000</f>
        <v>24000</v>
      </c>
    </row>
    <row r="62" spans="1:32" ht="27" customHeight="1" thickBot="1">
      <c r="A62" s="441"/>
      <c r="B62" s="442"/>
      <c r="C62" s="374"/>
      <c r="D62" s="375"/>
      <c r="E62" s="375"/>
      <c r="F62" s="443"/>
      <c r="G62" s="444"/>
      <c r="H62" s="444"/>
      <c r="I62" s="444"/>
      <c r="J62" s="444"/>
      <c r="K62" s="444"/>
      <c r="L62" s="444"/>
      <c r="M62" s="445"/>
      <c r="N62" s="112"/>
      <c r="O62" s="103"/>
      <c r="P62" s="446"/>
      <c r="Q62" s="446"/>
      <c r="R62" s="446"/>
      <c r="S62" s="446"/>
      <c r="T62" s="446"/>
      <c r="U62" s="446"/>
      <c r="V62" s="447"/>
      <c r="W62" s="447"/>
      <c r="X62" s="447"/>
      <c r="Y62" s="447"/>
      <c r="Z62" s="447"/>
      <c r="AA62" s="447"/>
      <c r="AB62" s="447"/>
      <c r="AC62" s="447"/>
      <c r="AD62" s="448"/>
      <c r="AF62" s="84">
        <f>16*3000</f>
        <v>48000</v>
      </c>
    </row>
    <row r="63" spans="1:32" ht="27.75" thickBot="1">
      <c r="A63" s="449" t="s">
        <v>653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0" t="s">
        <v>111</v>
      </c>
      <c r="B64" s="451"/>
      <c r="C64" s="371" t="s">
        <v>2</v>
      </c>
      <c r="D64" s="371" t="s">
        <v>37</v>
      </c>
      <c r="E64" s="371" t="s">
        <v>3</v>
      </c>
      <c r="F64" s="451" t="s">
        <v>109</v>
      </c>
      <c r="G64" s="451"/>
      <c r="H64" s="451"/>
      <c r="I64" s="451"/>
      <c r="J64" s="451"/>
      <c r="K64" s="451" t="s">
        <v>39</v>
      </c>
      <c r="L64" s="451"/>
      <c r="M64" s="371" t="s">
        <v>40</v>
      </c>
      <c r="N64" s="451" t="s">
        <v>41</v>
      </c>
      <c r="O64" s="451"/>
      <c r="P64" s="452" t="s">
        <v>42</v>
      </c>
      <c r="Q64" s="453"/>
      <c r="R64" s="452" t="s">
        <v>43</v>
      </c>
      <c r="S64" s="454"/>
      <c r="T64" s="454"/>
      <c r="U64" s="454"/>
      <c r="V64" s="454"/>
      <c r="W64" s="454"/>
      <c r="X64" s="454"/>
      <c r="Y64" s="454"/>
      <c r="Z64" s="454"/>
      <c r="AA64" s="453"/>
      <c r="AB64" s="451" t="s">
        <v>44</v>
      </c>
      <c r="AC64" s="451"/>
      <c r="AD64" s="455"/>
      <c r="AF64" s="84">
        <f>SUM(AF61:AF63)</f>
        <v>96000</v>
      </c>
    </row>
    <row r="65" spans="1:32" ht="25.5" customHeight="1">
      <c r="A65" s="456">
        <v>1</v>
      </c>
      <c r="B65" s="457"/>
      <c r="C65" s="105" t="s">
        <v>112</v>
      </c>
      <c r="D65" s="366"/>
      <c r="E65" s="369" t="s">
        <v>115</v>
      </c>
      <c r="F65" s="458" t="s">
        <v>435</v>
      </c>
      <c r="G65" s="459"/>
      <c r="H65" s="459"/>
      <c r="I65" s="459"/>
      <c r="J65" s="460"/>
      <c r="K65" s="461" t="s">
        <v>654</v>
      </c>
      <c r="L65" s="461"/>
      <c r="M65" s="51" t="s">
        <v>237</v>
      </c>
      <c r="N65" s="462" t="s">
        <v>190</v>
      </c>
      <c r="O65" s="462"/>
      <c r="P65" s="463">
        <v>50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4"/>
      <c r="AC65" s="465"/>
      <c r="AD65" s="466"/>
      <c r="AF65" s="50"/>
    </row>
    <row r="66" spans="1:32" ht="25.5" customHeight="1">
      <c r="A66" s="456">
        <v>2</v>
      </c>
      <c r="B66" s="457"/>
      <c r="C66" s="105" t="s">
        <v>259</v>
      </c>
      <c r="D66" s="366"/>
      <c r="E66" s="369" t="s">
        <v>115</v>
      </c>
      <c r="F66" s="458" t="s">
        <v>258</v>
      </c>
      <c r="G66" s="459"/>
      <c r="H66" s="459"/>
      <c r="I66" s="459"/>
      <c r="J66" s="460"/>
      <c r="K66" s="461">
        <v>8301</v>
      </c>
      <c r="L66" s="461"/>
      <c r="M66" s="51" t="s">
        <v>374</v>
      </c>
      <c r="N66" s="462" t="s">
        <v>137</v>
      </c>
      <c r="O66" s="462"/>
      <c r="P66" s="463">
        <v>50</v>
      </c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3</v>
      </c>
      <c r="B67" s="457"/>
      <c r="C67" s="105" t="s">
        <v>259</v>
      </c>
      <c r="D67" s="366"/>
      <c r="E67" s="369" t="s">
        <v>115</v>
      </c>
      <c r="F67" s="458" t="s">
        <v>655</v>
      </c>
      <c r="G67" s="459"/>
      <c r="H67" s="459"/>
      <c r="I67" s="459"/>
      <c r="J67" s="460"/>
      <c r="K67" s="461" t="s">
        <v>484</v>
      </c>
      <c r="L67" s="461"/>
      <c r="M67" s="51" t="s">
        <v>237</v>
      </c>
      <c r="N67" s="462" t="s">
        <v>137</v>
      </c>
      <c r="O67" s="462"/>
      <c r="P67" s="463">
        <v>50</v>
      </c>
      <c r="Q67" s="463"/>
      <c r="R67" s="439" t="s">
        <v>656</v>
      </c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4</v>
      </c>
      <c r="B68" s="457"/>
      <c r="C68" s="105"/>
      <c r="D68" s="366"/>
      <c r="E68" s="369"/>
      <c r="F68" s="458"/>
      <c r="G68" s="459"/>
      <c r="H68" s="459"/>
      <c r="I68" s="459"/>
      <c r="J68" s="460"/>
      <c r="K68" s="461"/>
      <c r="L68" s="461"/>
      <c r="M68" s="51"/>
      <c r="N68" s="462"/>
      <c r="O68" s="462"/>
      <c r="P68" s="463"/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5</v>
      </c>
      <c r="B69" s="457"/>
      <c r="C69" s="105"/>
      <c r="D69" s="366"/>
      <c r="E69" s="369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6</v>
      </c>
      <c r="B70" s="457"/>
      <c r="C70" s="105"/>
      <c r="D70" s="366"/>
      <c r="E70" s="369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7</v>
      </c>
      <c r="B71" s="457"/>
      <c r="C71" s="105"/>
      <c r="D71" s="366"/>
      <c r="E71" s="369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8</v>
      </c>
      <c r="B72" s="457"/>
      <c r="C72" s="105"/>
      <c r="D72" s="366"/>
      <c r="E72" s="369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9</v>
      </c>
      <c r="B73" s="457"/>
      <c r="C73" s="105"/>
      <c r="D73" s="366"/>
      <c r="E73" s="369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10</v>
      </c>
      <c r="B74" s="457"/>
      <c r="C74" s="105"/>
      <c r="D74" s="366"/>
      <c r="E74" s="369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6.25" customHeight="1" thickBot="1">
      <c r="A75" s="469" t="s">
        <v>657</v>
      </c>
      <c r="B75" s="469"/>
      <c r="C75" s="469"/>
      <c r="D75" s="469"/>
      <c r="E75" s="46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0" t="s">
        <v>111</v>
      </c>
      <c r="B76" s="471"/>
      <c r="C76" s="368" t="s">
        <v>2</v>
      </c>
      <c r="D76" s="368" t="s">
        <v>37</v>
      </c>
      <c r="E76" s="368" t="s">
        <v>3</v>
      </c>
      <c r="F76" s="471" t="s">
        <v>38</v>
      </c>
      <c r="G76" s="471"/>
      <c r="H76" s="471"/>
      <c r="I76" s="471"/>
      <c r="J76" s="471"/>
      <c r="K76" s="472" t="s">
        <v>58</v>
      </c>
      <c r="L76" s="473"/>
      <c r="M76" s="473"/>
      <c r="N76" s="473"/>
      <c r="O76" s="473"/>
      <c r="P76" s="473"/>
      <c r="Q76" s="473"/>
      <c r="R76" s="473"/>
      <c r="S76" s="474"/>
      <c r="T76" s="471" t="s">
        <v>49</v>
      </c>
      <c r="U76" s="471"/>
      <c r="V76" s="472" t="s">
        <v>50</v>
      </c>
      <c r="W76" s="474"/>
      <c r="X76" s="473" t="s">
        <v>51</v>
      </c>
      <c r="Y76" s="473"/>
      <c r="Z76" s="473"/>
      <c r="AA76" s="473"/>
      <c r="AB76" s="473"/>
      <c r="AC76" s="473"/>
      <c r="AD76" s="475"/>
      <c r="AF76" s="50"/>
    </row>
    <row r="77" spans="1:32" ht="33.75" customHeight="1">
      <c r="A77" s="484">
        <v>1</v>
      </c>
      <c r="B77" s="485"/>
      <c r="C77" s="367" t="s">
        <v>112</v>
      </c>
      <c r="D77" s="367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76">
        <f>A77+1</f>
        <v>2</v>
      </c>
      <c r="B78" s="477"/>
      <c r="C78" s="366"/>
      <c r="D78" s="366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ref="A79:A83" si="21">A78+1</f>
        <v>3</v>
      </c>
      <c r="B79" s="477"/>
      <c r="C79" s="366"/>
      <c r="D79" s="366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21"/>
        <v>4</v>
      </c>
      <c r="B80" s="477"/>
      <c r="C80" s="366"/>
      <c r="D80" s="366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21"/>
        <v>5</v>
      </c>
      <c r="B81" s="477"/>
      <c r="C81" s="366"/>
      <c r="D81" s="366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21"/>
        <v>6</v>
      </c>
      <c r="B82" s="477"/>
      <c r="C82" s="366"/>
      <c r="D82" s="366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21"/>
        <v>7</v>
      </c>
      <c r="B83" s="477"/>
      <c r="C83" s="366"/>
      <c r="D83" s="366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6" thickBot="1">
      <c r="A84" s="469" t="s">
        <v>658</v>
      </c>
      <c r="B84" s="469"/>
      <c r="C84" s="469"/>
      <c r="D84" s="469"/>
      <c r="E84" s="46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0" t="s">
        <v>111</v>
      </c>
      <c r="B85" s="471"/>
      <c r="C85" s="497" t="s">
        <v>52</v>
      </c>
      <c r="D85" s="497"/>
      <c r="E85" s="497" t="s">
        <v>53</v>
      </c>
      <c r="F85" s="497"/>
      <c r="G85" s="497"/>
      <c r="H85" s="497"/>
      <c r="I85" s="497"/>
      <c r="J85" s="497"/>
      <c r="K85" s="497" t="s">
        <v>54</v>
      </c>
      <c r="L85" s="497"/>
      <c r="M85" s="497"/>
      <c r="N85" s="497"/>
      <c r="O85" s="497"/>
      <c r="P85" s="497"/>
      <c r="Q85" s="497"/>
      <c r="R85" s="497"/>
      <c r="S85" s="497"/>
      <c r="T85" s="497" t="s">
        <v>55</v>
      </c>
      <c r="U85" s="497"/>
      <c r="V85" s="497" t="s">
        <v>56</v>
      </c>
      <c r="W85" s="497"/>
      <c r="X85" s="497"/>
      <c r="Y85" s="497" t="s">
        <v>51</v>
      </c>
      <c r="Z85" s="497"/>
      <c r="AA85" s="497"/>
      <c r="AB85" s="497"/>
      <c r="AC85" s="497"/>
      <c r="AD85" s="498"/>
      <c r="AF85" s="50"/>
    </row>
    <row r="86" spans="1:32" ht="30.75" customHeight="1">
      <c r="A86" s="484">
        <v>1</v>
      </c>
      <c r="B86" s="485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500"/>
      <c r="W86" s="500"/>
      <c r="X86" s="500"/>
      <c r="Y86" s="501"/>
      <c r="Z86" s="501"/>
      <c r="AA86" s="501"/>
      <c r="AB86" s="501"/>
      <c r="AC86" s="501"/>
      <c r="AD86" s="502"/>
      <c r="AF86" s="50"/>
    </row>
    <row r="87" spans="1:32" ht="30.75" customHeight="1">
      <c r="A87" s="476">
        <v>2</v>
      </c>
      <c r="B87" s="477"/>
      <c r="C87" s="510"/>
      <c r="D87" s="510"/>
      <c r="E87" s="510"/>
      <c r="F87" s="510"/>
      <c r="G87" s="510"/>
      <c r="H87" s="510"/>
      <c r="I87" s="510"/>
      <c r="J87" s="510"/>
      <c r="K87" s="510"/>
      <c r="L87" s="510"/>
      <c r="M87" s="510"/>
      <c r="N87" s="510"/>
      <c r="O87" s="510"/>
      <c r="P87" s="510"/>
      <c r="Q87" s="510"/>
      <c r="R87" s="510"/>
      <c r="S87" s="510"/>
      <c r="T87" s="511"/>
      <c r="U87" s="511"/>
      <c r="V87" s="512"/>
      <c r="W87" s="512"/>
      <c r="X87" s="512"/>
      <c r="Y87" s="503"/>
      <c r="Z87" s="503"/>
      <c r="AA87" s="503"/>
      <c r="AB87" s="503"/>
      <c r="AC87" s="503"/>
      <c r="AD87" s="504"/>
      <c r="AF87" s="50"/>
    </row>
    <row r="88" spans="1:32" ht="30.75" customHeight="1" thickBot="1">
      <c r="A88" s="505">
        <v>3</v>
      </c>
      <c r="B88" s="506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07"/>
      <c r="X88" s="507"/>
      <c r="Y88" s="508"/>
      <c r="Z88" s="508"/>
      <c r="AA88" s="508"/>
      <c r="AB88" s="508"/>
      <c r="AC88" s="508"/>
      <c r="AD88" s="509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329F-8C68-4592-9932-D6CD6C8A28A0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659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378" t="s">
        <v>17</v>
      </c>
      <c r="L5" s="378" t="s">
        <v>18</v>
      </c>
      <c r="M5" s="378" t="s">
        <v>19</v>
      </c>
      <c r="N5" s="37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123</v>
      </c>
      <c r="D6" s="52" t="s">
        <v>135</v>
      </c>
      <c r="E6" s="53" t="s">
        <v>639</v>
      </c>
      <c r="F6" s="30" t="s">
        <v>152</v>
      </c>
      <c r="G6" s="12">
        <v>1</v>
      </c>
      <c r="H6" s="13">
        <v>24</v>
      </c>
      <c r="I6" s="31">
        <v>500</v>
      </c>
      <c r="J6" s="5">
        <v>718</v>
      </c>
      <c r="K6" s="15">
        <f>L6+718</f>
        <v>718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0.3046875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502</v>
      </c>
      <c r="F7" s="12" t="s">
        <v>509</v>
      </c>
      <c r="G7" s="12">
        <v>1</v>
      </c>
      <c r="H7" s="13">
        <v>24</v>
      </c>
      <c r="I7" s="31">
        <v>15000</v>
      </c>
      <c r="J7" s="14">
        <v>5300</v>
      </c>
      <c r="K7" s="15">
        <f>L7+5902+6277+5300</f>
        <v>17479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0.3046875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492</v>
      </c>
      <c r="F8" s="30" t="s">
        <v>132</v>
      </c>
      <c r="G8" s="33">
        <v>1</v>
      </c>
      <c r="H8" s="35">
        <v>24</v>
      </c>
      <c r="I8" s="7">
        <v>10000</v>
      </c>
      <c r="J8" s="14">
        <v>2454</v>
      </c>
      <c r="K8" s="15">
        <f>L8+4254+1756+3035+3563+1503+4510+5243+2454</f>
        <v>26318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0.3046875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435</v>
      </c>
      <c r="F9" s="30" t="s">
        <v>139</v>
      </c>
      <c r="G9" s="33">
        <v>1</v>
      </c>
      <c r="H9" s="35">
        <v>24</v>
      </c>
      <c r="I9" s="7">
        <v>73000</v>
      </c>
      <c r="J9" s="14">
        <v>1167</v>
      </c>
      <c r="K9" s="15">
        <f>L9</f>
        <v>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0.3046875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161</v>
      </c>
      <c r="E10" s="53" t="s">
        <v>505</v>
      </c>
      <c r="F10" s="30" t="s">
        <v>125</v>
      </c>
      <c r="G10" s="33">
        <v>2</v>
      </c>
      <c r="H10" s="35">
        <v>24</v>
      </c>
      <c r="I10" s="7">
        <v>6000</v>
      </c>
      <c r="J10" s="5">
        <v>6524</v>
      </c>
      <c r="K10" s="15">
        <f>L10+6524</f>
        <v>6524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0.3046875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511</v>
      </c>
      <c r="E11" s="53" t="s">
        <v>535</v>
      </c>
      <c r="F11" s="30" t="s">
        <v>513</v>
      </c>
      <c r="G11" s="33">
        <v>16</v>
      </c>
      <c r="H11" s="35">
        <v>24</v>
      </c>
      <c r="I11" s="7">
        <v>300000</v>
      </c>
      <c r="J11" s="14">
        <v>61720</v>
      </c>
      <c r="K11" s="15">
        <f>L11+36740+61170+59460+57030+61760+60180</f>
        <v>398060</v>
      </c>
      <c r="L11" s="15">
        <f>2982*10+3190*10</f>
        <v>61720</v>
      </c>
      <c r="M11" s="15">
        <f t="shared" si="0"/>
        <v>61720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0.3046875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123</v>
      </c>
      <c r="D12" s="52" t="s">
        <v>115</v>
      </c>
      <c r="E12" s="53" t="s">
        <v>640</v>
      </c>
      <c r="F12" s="30" t="s">
        <v>514</v>
      </c>
      <c r="G12" s="33">
        <v>1</v>
      </c>
      <c r="H12" s="35">
        <v>24</v>
      </c>
      <c r="I12" s="7">
        <v>500</v>
      </c>
      <c r="J12" s="14">
        <v>692</v>
      </c>
      <c r="K12" s="15">
        <f>L12+692</f>
        <v>692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0.3046875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660</v>
      </c>
      <c r="F13" s="30" t="s">
        <v>125</v>
      </c>
      <c r="G13" s="33">
        <v>2</v>
      </c>
      <c r="H13" s="35">
        <v>24</v>
      </c>
      <c r="I13" s="7">
        <v>6000</v>
      </c>
      <c r="J13" s="5">
        <v>426</v>
      </c>
      <c r="K13" s="15">
        <f>L13</f>
        <v>426</v>
      </c>
      <c r="L13" s="15">
        <f>213*2</f>
        <v>426</v>
      </c>
      <c r="M13" s="15">
        <f t="shared" si="0"/>
        <v>426</v>
      </c>
      <c r="N13" s="15">
        <v>0</v>
      </c>
      <c r="O13" s="58">
        <f t="shared" si="1"/>
        <v>0</v>
      </c>
      <c r="P13" s="39">
        <f t="shared" si="2"/>
        <v>2</v>
      </c>
      <c r="Q13" s="40">
        <f t="shared" si="3"/>
        <v>22</v>
      </c>
      <c r="R13" s="7"/>
      <c r="S13" s="6">
        <v>22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8.3333333333333329E-2</v>
      </c>
      <c r="AD13" s="10">
        <f>AC13*AB13*(1-O13)</f>
        <v>8.3333333333333329E-2</v>
      </c>
      <c r="AE13" s="36">
        <f t="shared" si="7"/>
        <v>0.3046875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121</v>
      </c>
      <c r="D14" s="52" t="s">
        <v>586</v>
      </c>
      <c r="E14" s="53"/>
      <c r="F14" s="30" t="s">
        <v>125</v>
      </c>
      <c r="G14" s="33" t="s">
        <v>587</v>
      </c>
      <c r="H14" s="35">
        <v>24</v>
      </c>
      <c r="I14" s="7">
        <v>5000</v>
      </c>
      <c r="J14" s="5">
        <v>3358</v>
      </c>
      <c r="K14" s="15">
        <f>L14+2880+3392+3142+3358</f>
        <v>12772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0.3046875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494</v>
      </c>
      <c r="F15" s="12" t="s">
        <v>152</v>
      </c>
      <c r="G15" s="12">
        <v>1</v>
      </c>
      <c r="H15" s="13">
        <v>24</v>
      </c>
      <c r="I15" s="31">
        <v>2300</v>
      </c>
      <c r="J15" s="14">
        <v>4412</v>
      </c>
      <c r="K15" s="15">
        <f>L15+4412</f>
        <v>4412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0.3046875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L16+6564+12528+9524+11762+12146+1640</f>
        <v>54164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0.3046875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191</v>
      </c>
      <c r="E17" s="53" t="s">
        <v>648</v>
      </c>
      <c r="F17" s="30" t="s">
        <v>325</v>
      </c>
      <c r="G17" s="12">
        <v>2</v>
      </c>
      <c r="H17" s="13">
        <v>24</v>
      </c>
      <c r="I17" s="7">
        <v>6000</v>
      </c>
      <c r="J17" s="14">
        <v>6690</v>
      </c>
      <c r="K17" s="15">
        <f>L17+6690</f>
        <v>6690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0.3046875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211</v>
      </c>
      <c r="F18" s="30" t="s">
        <v>139</v>
      </c>
      <c r="G18" s="33">
        <v>1</v>
      </c>
      <c r="H18" s="35">
        <v>24</v>
      </c>
      <c r="I18" s="7">
        <v>20000</v>
      </c>
      <c r="J18" s="14">
        <v>3385</v>
      </c>
      <c r="K18" s="15">
        <f>L18+3143+5226+5251+4739+4938+5342+804</f>
        <v>32828</v>
      </c>
      <c r="L18" s="15">
        <f>2058+1327</f>
        <v>3385</v>
      </c>
      <c r="M18" s="15">
        <f t="shared" si="0"/>
        <v>3385</v>
      </c>
      <c r="N18" s="15">
        <v>0</v>
      </c>
      <c r="O18" s="58">
        <f t="shared" si="1"/>
        <v>0</v>
      </c>
      <c r="P18" s="39">
        <f t="shared" si="2"/>
        <v>19</v>
      </c>
      <c r="Q18" s="40">
        <f t="shared" si="3"/>
        <v>5</v>
      </c>
      <c r="R18" s="7"/>
      <c r="S18" s="6">
        <v>5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0.79166666666666663</v>
      </c>
      <c r="AD18" s="10">
        <f t="shared" si="6"/>
        <v>0.79166666666666663</v>
      </c>
      <c r="AE18" s="36">
        <f t="shared" si="7"/>
        <v>0.3046875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120</v>
      </c>
      <c r="D19" s="52" t="s">
        <v>183</v>
      </c>
      <c r="E19" s="53" t="s">
        <v>184</v>
      </c>
      <c r="F19" s="30" t="s">
        <v>139</v>
      </c>
      <c r="G19" s="33">
        <v>2</v>
      </c>
      <c r="H19" s="35">
        <v>24</v>
      </c>
      <c r="I19" s="7">
        <v>10000</v>
      </c>
      <c r="J19" s="5">
        <v>10676</v>
      </c>
      <c r="K19" s="15">
        <f>L19+9026</f>
        <v>19702</v>
      </c>
      <c r="L19" s="15">
        <f>2431*2+2907*2</f>
        <v>10676</v>
      </c>
      <c r="M19" s="15">
        <f t="shared" si="0"/>
        <v>10676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 t="shared" si="7"/>
        <v>0.3046875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604</v>
      </c>
      <c r="F20" s="30" t="s">
        <v>119</v>
      </c>
      <c r="G20" s="12">
        <v>1</v>
      </c>
      <c r="H20" s="13">
        <v>28</v>
      </c>
      <c r="I20" s="31">
        <v>10000</v>
      </c>
      <c r="J20" s="5">
        <v>4719</v>
      </c>
      <c r="K20" s="15">
        <f>L20+3810+4285+4661+4561</f>
        <v>22036</v>
      </c>
      <c r="L20" s="15">
        <f>2397+2322</f>
        <v>4719</v>
      </c>
      <c r="M20" s="15">
        <f t="shared" si="0"/>
        <v>4719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ref="AD20" si="10">AC20*AB20*(1-O20)</f>
        <v>1</v>
      </c>
      <c r="AE20" s="36">
        <f t="shared" si="7"/>
        <v>0.3046875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144</v>
      </c>
      <c r="F21" s="12" t="s">
        <v>114</v>
      </c>
      <c r="G21" s="12">
        <v>4</v>
      </c>
      <c r="H21" s="35">
        <v>20</v>
      </c>
      <c r="I21" s="7">
        <v>300000</v>
      </c>
      <c r="J21" s="14">
        <v>72608</v>
      </c>
      <c r="K21" s="15">
        <f>L21+66912+52516+29980+71540+64240</f>
        <v>357796</v>
      </c>
      <c r="L21" s="15">
        <f>9431*4+8721*4</f>
        <v>72608</v>
      </c>
      <c r="M21" s="15">
        <f t="shared" si="0"/>
        <v>72608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0.3046875</v>
      </c>
      <c r="AF21" s="84">
        <f t="shared" si="8"/>
        <v>16</v>
      </c>
    </row>
    <row r="22" spans="1:32" ht="31.5" customHeight="1" thickBot="1">
      <c r="A22" s="405" t="s">
        <v>34</v>
      </c>
      <c r="B22" s="406"/>
      <c r="C22" s="406"/>
      <c r="D22" s="406"/>
      <c r="E22" s="406"/>
      <c r="F22" s="406"/>
      <c r="G22" s="406"/>
      <c r="H22" s="407"/>
      <c r="I22" s="22">
        <f t="shared" ref="I22:N22" si="11">SUM(I6:I21)</f>
        <v>1064300</v>
      </c>
      <c r="J22" s="19">
        <f t="shared" si="11"/>
        <v>186489</v>
      </c>
      <c r="K22" s="20">
        <f t="shared" si="11"/>
        <v>960617</v>
      </c>
      <c r="L22" s="21">
        <f t="shared" si="11"/>
        <v>153534</v>
      </c>
      <c r="M22" s="20">
        <f t="shared" si="11"/>
        <v>153534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117</v>
      </c>
      <c r="Q22" s="43">
        <f t="shared" si="12"/>
        <v>267</v>
      </c>
      <c r="R22" s="23">
        <f t="shared" si="12"/>
        <v>24</v>
      </c>
      <c r="S22" s="24">
        <f t="shared" si="12"/>
        <v>75</v>
      </c>
      <c r="T22" s="24">
        <f t="shared" si="12"/>
        <v>0</v>
      </c>
      <c r="U22" s="24">
        <f t="shared" si="12"/>
        <v>0</v>
      </c>
      <c r="V22" s="25">
        <f t="shared" si="12"/>
        <v>0</v>
      </c>
      <c r="W22" s="26">
        <f t="shared" si="12"/>
        <v>72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96</v>
      </c>
      <c r="AB22" s="28">
        <f>AVERAGE(AB6:AB21)</f>
        <v>0.375</v>
      </c>
      <c r="AC22" s="4">
        <f>AVERAGE(AC6:AC21)</f>
        <v>0.3046875</v>
      </c>
      <c r="AD22" s="4">
        <f>AVERAGE(AD6:AD21)</f>
        <v>0.3046875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08" t="s">
        <v>45</v>
      </c>
      <c r="B49" s="408"/>
      <c r="C49" s="408"/>
      <c r="D49" s="408"/>
      <c r="E49" s="40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09" t="s">
        <v>661</v>
      </c>
      <c r="B50" s="410"/>
      <c r="C50" s="410"/>
      <c r="D50" s="410"/>
      <c r="E50" s="410"/>
      <c r="F50" s="410"/>
      <c r="G50" s="410"/>
      <c r="H50" s="410"/>
      <c r="I50" s="410"/>
      <c r="J50" s="410"/>
      <c r="K50" s="410"/>
      <c r="L50" s="410"/>
      <c r="M50" s="411"/>
      <c r="N50" s="412" t="s">
        <v>664</v>
      </c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3"/>
      <c r="AA50" s="413"/>
      <c r="AB50" s="413"/>
      <c r="AC50" s="413"/>
      <c r="AD50" s="414"/>
    </row>
    <row r="51" spans="1:32" ht="27" customHeight="1">
      <c r="A51" s="415" t="s">
        <v>2</v>
      </c>
      <c r="B51" s="416"/>
      <c r="C51" s="379" t="s">
        <v>46</v>
      </c>
      <c r="D51" s="379" t="s">
        <v>47</v>
      </c>
      <c r="E51" s="379" t="s">
        <v>107</v>
      </c>
      <c r="F51" s="417" t="s">
        <v>106</v>
      </c>
      <c r="G51" s="418"/>
      <c r="H51" s="418"/>
      <c r="I51" s="418"/>
      <c r="J51" s="418"/>
      <c r="K51" s="418"/>
      <c r="L51" s="418"/>
      <c r="M51" s="419"/>
      <c r="N51" s="67" t="s">
        <v>110</v>
      </c>
      <c r="O51" s="379" t="s">
        <v>46</v>
      </c>
      <c r="P51" s="417" t="s">
        <v>47</v>
      </c>
      <c r="Q51" s="420"/>
      <c r="R51" s="417" t="s">
        <v>38</v>
      </c>
      <c r="S51" s="418"/>
      <c r="T51" s="418"/>
      <c r="U51" s="420"/>
      <c r="V51" s="417" t="s">
        <v>48</v>
      </c>
      <c r="W51" s="418"/>
      <c r="X51" s="418"/>
      <c r="Y51" s="418"/>
      <c r="Z51" s="418"/>
      <c r="AA51" s="418"/>
      <c r="AB51" s="418"/>
      <c r="AC51" s="418"/>
      <c r="AD51" s="419"/>
    </row>
    <row r="52" spans="1:32" ht="27" customHeight="1">
      <c r="A52" s="431" t="s">
        <v>121</v>
      </c>
      <c r="B52" s="432"/>
      <c r="C52" s="381" t="s">
        <v>189</v>
      </c>
      <c r="D52" s="381" t="s">
        <v>115</v>
      </c>
      <c r="E52" s="381" t="s">
        <v>660</v>
      </c>
      <c r="F52" s="433" t="s">
        <v>662</v>
      </c>
      <c r="G52" s="434"/>
      <c r="H52" s="434"/>
      <c r="I52" s="434"/>
      <c r="J52" s="434"/>
      <c r="K52" s="434"/>
      <c r="L52" s="434"/>
      <c r="M52" s="435"/>
      <c r="N52" s="380" t="s">
        <v>121</v>
      </c>
      <c r="O52" s="386" t="s">
        <v>189</v>
      </c>
      <c r="P52" s="436" t="s">
        <v>115</v>
      </c>
      <c r="Q52" s="437"/>
      <c r="R52" s="436" t="s">
        <v>660</v>
      </c>
      <c r="S52" s="438"/>
      <c r="T52" s="438"/>
      <c r="U52" s="437"/>
      <c r="V52" s="439" t="s">
        <v>133</v>
      </c>
      <c r="W52" s="439"/>
      <c r="X52" s="439"/>
      <c r="Y52" s="439"/>
      <c r="Z52" s="439"/>
      <c r="AA52" s="439"/>
      <c r="AB52" s="439"/>
      <c r="AC52" s="439"/>
      <c r="AD52" s="440"/>
    </row>
    <row r="53" spans="1:32" ht="27" customHeight="1">
      <c r="A53" s="431" t="s">
        <v>120</v>
      </c>
      <c r="B53" s="432"/>
      <c r="C53" s="381" t="s">
        <v>187</v>
      </c>
      <c r="D53" s="381" t="s">
        <v>115</v>
      </c>
      <c r="E53" s="381" t="s">
        <v>211</v>
      </c>
      <c r="F53" s="433" t="s">
        <v>663</v>
      </c>
      <c r="G53" s="434"/>
      <c r="H53" s="434"/>
      <c r="I53" s="434"/>
      <c r="J53" s="434"/>
      <c r="K53" s="434"/>
      <c r="L53" s="434"/>
      <c r="M53" s="435"/>
      <c r="N53" s="380" t="s">
        <v>120</v>
      </c>
      <c r="O53" s="386" t="s">
        <v>136</v>
      </c>
      <c r="P53" s="436" t="s">
        <v>135</v>
      </c>
      <c r="Q53" s="437"/>
      <c r="R53" s="436" t="s">
        <v>274</v>
      </c>
      <c r="S53" s="438"/>
      <c r="T53" s="438"/>
      <c r="U53" s="437"/>
      <c r="V53" s="439" t="s">
        <v>118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/>
      <c r="B54" s="432"/>
      <c r="C54" s="381"/>
      <c r="D54" s="381"/>
      <c r="E54" s="381"/>
      <c r="F54" s="433"/>
      <c r="G54" s="434"/>
      <c r="H54" s="434"/>
      <c r="I54" s="434"/>
      <c r="J54" s="434"/>
      <c r="K54" s="434"/>
      <c r="L54" s="434"/>
      <c r="M54" s="435"/>
      <c r="N54" s="380"/>
      <c r="O54" s="386"/>
      <c r="P54" s="436"/>
      <c r="Q54" s="437"/>
      <c r="R54" s="436"/>
      <c r="S54" s="438"/>
      <c r="T54" s="438"/>
      <c r="U54" s="437"/>
      <c r="V54" s="439"/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/>
      <c r="B55" s="432"/>
      <c r="C55" s="381"/>
      <c r="D55" s="381"/>
      <c r="E55" s="381"/>
      <c r="F55" s="433"/>
      <c r="G55" s="434"/>
      <c r="H55" s="434"/>
      <c r="I55" s="434"/>
      <c r="J55" s="434"/>
      <c r="K55" s="434"/>
      <c r="L55" s="434"/>
      <c r="M55" s="435"/>
      <c r="N55" s="380"/>
      <c r="O55" s="386"/>
      <c r="P55" s="436"/>
      <c r="Q55" s="437"/>
      <c r="R55" s="436"/>
      <c r="S55" s="438"/>
      <c r="T55" s="438"/>
      <c r="U55" s="437"/>
      <c r="V55" s="439"/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/>
      <c r="B56" s="432"/>
      <c r="C56" s="381"/>
      <c r="D56" s="381"/>
      <c r="E56" s="381"/>
      <c r="F56" s="433"/>
      <c r="G56" s="434"/>
      <c r="H56" s="434"/>
      <c r="I56" s="434"/>
      <c r="J56" s="434"/>
      <c r="K56" s="434"/>
      <c r="L56" s="434"/>
      <c r="M56" s="435"/>
      <c r="N56" s="380"/>
      <c r="O56" s="386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/>
      <c r="B57" s="432"/>
      <c r="C57" s="381"/>
      <c r="D57" s="381"/>
      <c r="E57" s="381"/>
      <c r="F57" s="433"/>
      <c r="G57" s="434"/>
      <c r="H57" s="434"/>
      <c r="I57" s="434"/>
      <c r="J57" s="434"/>
      <c r="K57" s="434"/>
      <c r="L57" s="434"/>
      <c r="M57" s="435"/>
      <c r="N57" s="380"/>
      <c r="O57" s="386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/>
      <c r="B58" s="432"/>
      <c r="C58" s="381"/>
      <c r="D58" s="381"/>
      <c r="E58" s="381"/>
      <c r="F58" s="433"/>
      <c r="G58" s="434"/>
      <c r="H58" s="434"/>
      <c r="I58" s="434"/>
      <c r="J58" s="434"/>
      <c r="K58" s="434"/>
      <c r="L58" s="434"/>
      <c r="M58" s="435"/>
      <c r="N58" s="380"/>
      <c r="O58" s="386"/>
      <c r="P58" s="436"/>
      <c r="Q58" s="437"/>
      <c r="R58" s="432"/>
      <c r="S58" s="432"/>
      <c r="T58" s="432"/>
      <c r="U58" s="432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/>
      <c r="B59" s="432"/>
      <c r="C59" s="381"/>
      <c r="D59" s="381"/>
      <c r="E59" s="381"/>
      <c r="F59" s="433"/>
      <c r="G59" s="434"/>
      <c r="H59" s="434"/>
      <c r="I59" s="434"/>
      <c r="J59" s="434"/>
      <c r="K59" s="434"/>
      <c r="L59" s="434"/>
      <c r="M59" s="435"/>
      <c r="N59" s="380"/>
      <c r="O59" s="386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381"/>
      <c r="D60" s="381"/>
      <c r="E60" s="381"/>
      <c r="F60" s="433"/>
      <c r="G60" s="434"/>
      <c r="H60" s="434"/>
      <c r="I60" s="434"/>
      <c r="J60" s="434"/>
      <c r="K60" s="434"/>
      <c r="L60" s="434"/>
      <c r="M60" s="435"/>
      <c r="N60" s="380"/>
      <c r="O60" s="386"/>
      <c r="P60" s="432"/>
      <c r="Q60" s="432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  <c r="AF60" s="84">
        <f>8*3000</f>
        <v>24000</v>
      </c>
    </row>
    <row r="61" spans="1:32" ht="27" customHeight="1" thickBot="1">
      <c r="A61" s="441"/>
      <c r="B61" s="442"/>
      <c r="C61" s="382"/>
      <c r="D61" s="383"/>
      <c r="E61" s="383"/>
      <c r="F61" s="443"/>
      <c r="G61" s="444"/>
      <c r="H61" s="444"/>
      <c r="I61" s="444"/>
      <c r="J61" s="444"/>
      <c r="K61" s="444"/>
      <c r="L61" s="444"/>
      <c r="M61" s="445"/>
      <c r="N61" s="112"/>
      <c r="O61" s="103"/>
      <c r="P61" s="446"/>
      <c r="Q61" s="446"/>
      <c r="R61" s="446"/>
      <c r="S61" s="446"/>
      <c r="T61" s="446"/>
      <c r="U61" s="446"/>
      <c r="V61" s="447"/>
      <c r="W61" s="447"/>
      <c r="X61" s="447"/>
      <c r="Y61" s="447"/>
      <c r="Z61" s="447"/>
      <c r="AA61" s="447"/>
      <c r="AB61" s="447"/>
      <c r="AC61" s="447"/>
      <c r="AD61" s="448"/>
      <c r="AF61" s="84">
        <f>16*3000</f>
        <v>48000</v>
      </c>
    </row>
    <row r="62" spans="1:32" ht="27.75" thickBot="1">
      <c r="A62" s="449" t="s">
        <v>665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50" t="s">
        <v>111</v>
      </c>
      <c r="B63" s="451"/>
      <c r="C63" s="384" t="s">
        <v>2</v>
      </c>
      <c r="D63" s="384" t="s">
        <v>37</v>
      </c>
      <c r="E63" s="384" t="s">
        <v>3</v>
      </c>
      <c r="F63" s="451" t="s">
        <v>109</v>
      </c>
      <c r="G63" s="451"/>
      <c r="H63" s="451"/>
      <c r="I63" s="451"/>
      <c r="J63" s="451"/>
      <c r="K63" s="451" t="s">
        <v>39</v>
      </c>
      <c r="L63" s="451"/>
      <c r="M63" s="384" t="s">
        <v>40</v>
      </c>
      <c r="N63" s="451" t="s">
        <v>41</v>
      </c>
      <c r="O63" s="451"/>
      <c r="P63" s="452" t="s">
        <v>42</v>
      </c>
      <c r="Q63" s="453"/>
      <c r="R63" s="452" t="s">
        <v>43</v>
      </c>
      <c r="S63" s="454"/>
      <c r="T63" s="454"/>
      <c r="U63" s="454"/>
      <c r="V63" s="454"/>
      <c r="W63" s="454"/>
      <c r="X63" s="454"/>
      <c r="Y63" s="454"/>
      <c r="Z63" s="454"/>
      <c r="AA63" s="453"/>
      <c r="AB63" s="451" t="s">
        <v>44</v>
      </c>
      <c r="AC63" s="451"/>
      <c r="AD63" s="455"/>
      <c r="AF63" s="84">
        <f>SUM(AF60:AF62)</f>
        <v>96000</v>
      </c>
    </row>
    <row r="64" spans="1:32" ht="25.5" customHeight="1">
      <c r="A64" s="456">
        <v>1</v>
      </c>
      <c r="B64" s="457"/>
      <c r="C64" s="105" t="s">
        <v>112</v>
      </c>
      <c r="D64" s="388"/>
      <c r="E64" s="385" t="s">
        <v>115</v>
      </c>
      <c r="F64" s="458" t="s">
        <v>435</v>
      </c>
      <c r="G64" s="459"/>
      <c r="H64" s="459"/>
      <c r="I64" s="459"/>
      <c r="J64" s="460"/>
      <c r="K64" s="461" t="s">
        <v>666</v>
      </c>
      <c r="L64" s="461"/>
      <c r="M64" s="51" t="s">
        <v>237</v>
      </c>
      <c r="N64" s="462" t="s">
        <v>190</v>
      </c>
      <c r="O64" s="462"/>
      <c r="P64" s="463">
        <v>50</v>
      </c>
      <c r="Q64" s="463"/>
      <c r="R64" s="439"/>
      <c r="S64" s="439"/>
      <c r="T64" s="439"/>
      <c r="U64" s="439"/>
      <c r="V64" s="439"/>
      <c r="W64" s="439"/>
      <c r="X64" s="439"/>
      <c r="Y64" s="439"/>
      <c r="Z64" s="439"/>
      <c r="AA64" s="439"/>
      <c r="AB64" s="464"/>
      <c r="AC64" s="465"/>
      <c r="AD64" s="466"/>
      <c r="AF64" s="50"/>
    </row>
    <row r="65" spans="1:32" ht="25.5" customHeight="1">
      <c r="A65" s="456">
        <v>2</v>
      </c>
      <c r="B65" s="457"/>
      <c r="C65" s="105" t="s">
        <v>121</v>
      </c>
      <c r="D65" s="388"/>
      <c r="E65" s="385" t="s">
        <v>161</v>
      </c>
      <c r="F65" s="458" t="s">
        <v>523</v>
      </c>
      <c r="G65" s="459"/>
      <c r="H65" s="459"/>
      <c r="I65" s="459"/>
      <c r="J65" s="460"/>
      <c r="K65" s="461" t="s">
        <v>125</v>
      </c>
      <c r="L65" s="461"/>
      <c r="M65" s="51" t="s">
        <v>237</v>
      </c>
      <c r="N65" s="462" t="s">
        <v>219</v>
      </c>
      <c r="O65" s="462"/>
      <c r="P65" s="463">
        <v>100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1"/>
      <c r="AC65" s="461"/>
      <c r="AD65" s="467"/>
      <c r="AF65" s="50"/>
    </row>
    <row r="66" spans="1:32" ht="25.5" customHeight="1">
      <c r="A66" s="456">
        <v>3</v>
      </c>
      <c r="B66" s="457"/>
      <c r="C66" s="105" t="s">
        <v>259</v>
      </c>
      <c r="D66" s="388"/>
      <c r="E66" s="385" t="s">
        <v>668</v>
      </c>
      <c r="F66" s="458" t="s">
        <v>667</v>
      </c>
      <c r="G66" s="459"/>
      <c r="H66" s="459"/>
      <c r="I66" s="459"/>
      <c r="J66" s="460"/>
      <c r="K66" s="461">
        <v>7301</v>
      </c>
      <c r="L66" s="461"/>
      <c r="M66" s="51" t="s">
        <v>237</v>
      </c>
      <c r="N66" s="462" t="s">
        <v>137</v>
      </c>
      <c r="O66" s="462"/>
      <c r="P66" s="463">
        <v>30</v>
      </c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4</v>
      </c>
      <c r="B67" s="457"/>
      <c r="C67" s="105" t="s">
        <v>112</v>
      </c>
      <c r="D67" s="388"/>
      <c r="E67" s="385" t="s">
        <v>135</v>
      </c>
      <c r="F67" s="458" t="s">
        <v>669</v>
      </c>
      <c r="G67" s="459"/>
      <c r="H67" s="459"/>
      <c r="I67" s="459"/>
      <c r="J67" s="460"/>
      <c r="K67" s="461">
        <v>8301</v>
      </c>
      <c r="L67" s="461"/>
      <c r="M67" s="51" t="s">
        <v>237</v>
      </c>
      <c r="N67" s="462" t="s">
        <v>254</v>
      </c>
      <c r="O67" s="462"/>
      <c r="P67" s="463">
        <v>100</v>
      </c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5</v>
      </c>
      <c r="B68" s="457"/>
      <c r="C68" s="105" t="s">
        <v>120</v>
      </c>
      <c r="D68" s="388"/>
      <c r="E68" s="385" t="s">
        <v>126</v>
      </c>
      <c r="F68" s="458" t="s">
        <v>463</v>
      </c>
      <c r="G68" s="459"/>
      <c r="H68" s="459"/>
      <c r="I68" s="459"/>
      <c r="J68" s="460"/>
      <c r="K68" s="461" t="s">
        <v>464</v>
      </c>
      <c r="L68" s="461"/>
      <c r="M68" s="51" t="s">
        <v>237</v>
      </c>
      <c r="N68" s="462" t="s">
        <v>233</v>
      </c>
      <c r="O68" s="462"/>
      <c r="P68" s="463">
        <v>200</v>
      </c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6</v>
      </c>
      <c r="B69" s="457"/>
      <c r="C69" s="105"/>
      <c r="D69" s="388"/>
      <c r="E69" s="385"/>
      <c r="F69" s="458"/>
      <c r="G69" s="459"/>
      <c r="H69" s="459"/>
      <c r="I69" s="459"/>
      <c r="J69" s="460"/>
      <c r="K69" s="461"/>
      <c r="L69" s="461"/>
      <c r="M69" s="51"/>
      <c r="N69" s="462"/>
      <c r="O69" s="462"/>
      <c r="P69" s="463"/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7</v>
      </c>
      <c r="B70" s="457"/>
      <c r="C70" s="105"/>
      <c r="D70" s="388"/>
      <c r="E70" s="385"/>
      <c r="F70" s="468"/>
      <c r="G70" s="461"/>
      <c r="H70" s="461"/>
      <c r="I70" s="461"/>
      <c r="J70" s="461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8</v>
      </c>
      <c r="B71" s="457"/>
      <c r="C71" s="105"/>
      <c r="D71" s="388"/>
      <c r="E71" s="385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9</v>
      </c>
      <c r="B72" s="457"/>
      <c r="C72" s="105"/>
      <c r="D72" s="388"/>
      <c r="E72" s="385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10</v>
      </c>
      <c r="B73" s="457"/>
      <c r="C73" s="105"/>
      <c r="D73" s="388"/>
      <c r="E73" s="385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6.25" customHeight="1" thickBot="1">
      <c r="A74" s="469" t="s">
        <v>670</v>
      </c>
      <c r="B74" s="469"/>
      <c r="C74" s="469"/>
      <c r="D74" s="469"/>
      <c r="E74" s="469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70" t="s">
        <v>111</v>
      </c>
      <c r="B75" s="471"/>
      <c r="C75" s="387" t="s">
        <v>2</v>
      </c>
      <c r="D75" s="387" t="s">
        <v>37</v>
      </c>
      <c r="E75" s="387" t="s">
        <v>3</v>
      </c>
      <c r="F75" s="471" t="s">
        <v>38</v>
      </c>
      <c r="G75" s="471"/>
      <c r="H75" s="471"/>
      <c r="I75" s="471"/>
      <c r="J75" s="471"/>
      <c r="K75" s="472" t="s">
        <v>58</v>
      </c>
      <c r="L75" s="473"/>
      <c r="M75" s="473"/>
      <c r="N75" s="473"/>
      <c r="O75" s="473"/>
      <c r="P75" s="473"/>
      <c r="Q75" s="473"/>
      <c r="R75" s="473"/>
      <c r="S75" s="474"/>
      <c r="T75" s="471" t="s">
        <v>49</v>
      </c>
      <c r="U75" s="471"/>
      <c r="V75" s="472" t="s">
        <v>50</v>
      </c>
      <c r="W75" s="474"/>
      <c r="X75" s="473" t="s">
        <v>51</v>
      </c>
      <c r="Y75" s="473"/>
      <c r="Z75" s="473"/>
      <c r="AA75" s="473"/>
      <c r="AB75" s="473"/>
      <c r="AC75" s="473"/>
      <c r="AD75" s="475"/>
      <c r="AF75" s="50"/>
    </row>
    <row r="76" spans="1:32" ht="33.75" customHeight="1">
      <c r="A76" s="484">
        <v>1</v>
      </c>
      <c r="B76" s="485"/>
      <c r="C76" s="389" t="s">
        <v>112</v>
      </c>
      <c r="D76" s="389"/>
      <c r="E76" s="65" t="s">
        <v>117</v>
      </c>
      <c r="F76" s="486" t="s">
        <v>116</v>
      </c>
      <c r="G76" s="487"/>
      <c r="H76" s="487"/>
      <c r="I76" s="487"/>
      <c r="J76" s="488"/>
      <c r="K76" s="489" t="s">
        <v>122</v>
      </c>
      <c r="L76" s="490"/>
      <c r="M76" s="490"/>
      <c r="N76" s="490"/>
      <c r="O76" s="490"/>
      <c r="P76" s="490"/>
      <c r="Q76" s="490"/>
      <c r="R76" s="490"/>
      <c r="S76" s="491"/>
      <c r="T76" s="492">
        <v>43675</v>
      </c>
      <c r="U76" s="493"/>
      <c r="V76" s="494"/>
      <c r="W76" s="494"/>
      <c r="X76" s="495"/>
      <c r="Y76" s="495"/>
      <c r="Z76" s="495"/>
      <c r="AA76" s="495"/>
      <c r="AB76" s="495"/>
      <c r="AC76" s="495"/>
      <c r="AD76" s="496"/>
      <c r="AF76" s="50"/>
    </row>
    <row r="77" spans="1:32" ht="30" customHeight="1">
      <c r="A77" s="476">
        <f>A76+1</f>
        <v>2</v>
      </c>
      <c r="B77" s="477"/>
      <c r="C77" s="388"/>
      <c r="D77" s="388"/>
      <c r="E77" s="32"/>
      <c r="F77" s="477"/>
      <c r="G77" s="477"/>
      <c r="H77" s="477"/>
      <c r="I77" s="477"/>
      <c r="J77" s="477"/>
      <c r="K77" s="478"/>
      <c r="L77" s="479"/>
      <c r="M77" s="479"/>
      <c r="N77" s="479"/>
      <c r="O77" s="479"/>
      <c r="P77" s="479"/>
      <c r="Q77" s="479"/>
      <c r="R77" s="479"/>
      <c r="S77" s="480"/>
      <c r="T77" s="481"/>
      <c r="U77" s="481"/>
      <c r="V77" s="481"/>
      <c r="W77" s="481"/>
      <c r="X77" s="482"/>
      <c r="Y77" s="482"/>
      <c r="Z77" s="482"/>
      <c r="AA77" s="482"/>
      <c r="AB77" s="482"/>
      <c r="AC77" s="482"/>
      <c r="AD77" s="483"/>
      <c r="AF77" s="50"/>
    </row>
    <row r="78" spans="1:32" ht="30" customHeight="1">
      <c r="A78" s="476">
        <f t="shared" ref="A78:A82" si="13">A77+1</f>
        <v>3</v>
      </c>
      <c r="B78" s="477"/>
      <c r="C78" s="388"/>
      <c r="D78" s="388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si="13"/>
        <v>4</v>
      </c>
      <c r="B79" s="477"/>
      <c r="C79" s="388"/>
      <c r="D79" s="388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13"/>
        <v>5</v>
      </c>
      <c r="B80" s="477"/>
      <c r="C80" s="388"/>
      <c r="D80" s="388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13"/>
        <v>6</v>
      </c>
      <c r="B81" s="477"/>
      <c r="C81" s="388"/>
      <c r="D81" s="388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13"/>
        <v>7</v>
      </c>
      <c r="B82" s="477"/>
      <c r="C82" s="388"/>
      <c r="D82" s="388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6" thickBot="1">
      <c r="A83" s="469" t="s">
        <v>671</v>
      </c>
      <c r="B83" s="469"/>
      <c r="C83" s="469"/>
      <c r="D83" s="469"/>
      <c r="E83" s="469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0" t="s">
        <v>111</v>
      </c>
      <c r="B84" s="471"/>
      <c r="C84" s="497" t="s">
        <v>52</v>
      </c>
      <c r="D84" s="497"/>
      <c r="E84" s="497" t="s">
        <v>53</v>
      </c>
      <c r="F84" s="497"/>
      <c r="G84" s="497"/>
      <c r="H84" s="497"/>
      <c r="I84" s="497"/>
      <c r="J84" s="497"/>
      <c r="K84" s="497" t="s">
        <v>54</v>
      </c>
      <c r="L84" s="497"/>
      <c r="M84" s="497"/>
      <c r="N84" s="497"/>
      <c r="O84" s="497"/>
      <c r="P84" s="497"/>
      <c r="Q84" s="497"/>
      <c r="R84" s="497"/>
      <c r="S84" s="497"/>
      <c r="T84" s="497" t="s">
        <v>55</v>
      </c>
      <c r="U84" s="497"/>
      <c r="V84" s="497" t="s">
        <v>56</v>
      </c>
      <c r="W84" s="497"/>
      <c r="X84" s="497"/>
      <c r="Y84" s="497" t="s">
        <v>51</v>
      </c>
      <c r="Z84" s="497"/>
      <c r="AA84" s="497"/>
      <c r="AB84" s="497"/>
      <c r="AC84" s="497"/>
      <c r="AD84" s="498"/>
      <c r="AF84" s="50"/>
    </row>
    <row r="85" spans="1:32" ht="30.75" customHeight="1">
      <c r="A85" s="484">
        <v>1</v>
      </c>
      <c r="B85" s="485"/>
      <c r="C85" s="499"/>
      <c r="D85" s="499"/>
      <c r="E85" s="499"/>
      <c r="F85" s="499"/>
      <c r="G85" s="499"/>
      <c r="H85" s="499"/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500"/>
      <c r="W85" s="500"/>
      <c r="X85" s="500"/>
      <c r="Y85" s="501"/>
      <c r="Z85" s="501"/>
      <c r="AA85" s="501"/>
      <c r="AB85" s="501"/>
      <c r="AC85" s="501"/>
      <c r="AD85" s="502"/>
      <c r="AF85" s="50"/>
    </row>
    <row r="86" spans="1:32" ht="30.75" customHeight="1">
      <c r="A86" s="476">
        <v>2</v>
      </c>
      <c r="B86" s="477"/>
      <c r="C86" s="510"/>
      <c r="D86" s="510"/>
      <c r="E86" s="510"/>
      <c r="F86" s="510"/>
      <c r="G86" s="510"/>
      <c r="H86" s="510"/>
      <c r="I86" s="510"/>
      <c r="J86" s="510"/>
      <c r="K86" s="510"/>
      <c r="L86" s="510"/>
      <c r="M86" s="510"/>
      <c r="N86" s="510"/>
      <c r="O86" s="510"/>
      <c r="P86" s="510"/>
      <c r="Q86" s="510"/>
      <c r="R86" s="510"/>
      <c r="S86" s="510"/>
      <c r="T86" s="511"/>
      <c r="U86" s="511"/>
      <c r="V86" s="512"/>
      <c r="W86" s="512"/>
      <c r="X86" s="512"/>
      <c r="Y86" s="503"/>
      <c r="Z86" s="503"/>
      <c r="AA86" s="503"/>
      <c r="AB86" s="503"/>
      <c r="AC86" s="503"/>
      <c r="AD86" s="504"/>
      <c r="AF86" s="50"/>
    </row>
    <row r="87" spans="1:32" ht="30.75" customHeight="1" thickBot="1">
      <c r="A87" s="505">
        <v>3</v>
      </c>
      <c r="B87" s="506"/>
      <c r="C87" s="507"/>
      <c r="D87" s="507"/>
      <c r="E87" s="507"/>
      <c r="F87" s="507"/>
      <c r="G87" s="507"/>
      <c r="H87" s="507"/>
      <c r="I87" s="507"/>
      <c r="J87" s="507"/>
      <c r="K87" s="507"/>
      <c r="L87" s="507"/>
      <c r="M87" s="507"/>
      <c r="N87" s="507"/>
      <c r="O87" s="507"/>
      <c r="P87" s="507"/>
      <c r="Q87" s="507"/>
      <c r="R87" s="507"/>
      <c r="S87" s="507"/>
      <c r="T87" s="507"/>
      <c r="U87" s="507"/>
      <c r="V87" s="507"/>
      <c r="W87" s="507"/>
      <c r="X87" s="507"/>
      <c r="Y87" s="508"/>
      <c r="Z87" s="508"/>
      <c r="AA87" s="508"/>
      <c r="AB87" s="508"/>
      <c r="AC87" s="508"/>
      <c r="AD87" s="509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47AD-C738-4B58-86FB-0D98956EDF00}">
  <dimension ref="A1:AF88"/>
  <sheetViews>
    <sheetView tabSelected="1" view="pageBreakPreview" zoomScale="70" zoomScaleNormal="72" zoomScaleSheetLayoutView="70" workbookViewId="0">
      <selection activeCell="F60" sqref="F60:M6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91" t="s">
        <v>672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92"/>
      <c r="B3" s="392"/>
      <c r="C3" s="392"/>
      <c r="D3" s="392"/>
      <c r="E3" s="392"/>
      <c r="F3" s="392"/>
      <c r="G3" s="39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93" t="s">
        <v>0</v>
      </c>
      <c r="B4" s="395" t="s">
        <v>1</v>
      </c>
      <c r="C4" s="395" t="s">
        <v>2</v>
      </c>
      <c r="D4" s="398" t="s">
        <v>3</v>
      </c>
      <c r="E4" s="400" t="s">
        <v>4</v>
      </c>
      <c r="F4" s="398" t="s">
        <v>5</v>
      </c>
      <c r="G4" s="395" t="s">
        <v>6</v>
      </c>
      <c r="H4" s="401" t="s">
        <v>7</v>
      </c>
      <c r="I4" s="421" t="s">
        <v>8</v>
      </c>
      <c r="J4" s="422"/>
      <c r="K4" s="422"/>
      <c r="L4" s="422"/>
      <c r="M4" s="422"/>
      <c r="N4" s="422"/>
      <c r="O4" s="423"/>
      <c r="P4" s="424" t="s">
        <v>9</v>
      </c>
      <c r="Q4" s="425"/>
      <c r="R4" s="426" t="s">
        <v>10</v>
      </c>
      <c r="S4" s="426"/>
      <c r="T4" s="426"/>
      <c r="U4" s="426"/>
      <c r="V4" s="426"/>
      <c r="W4" s="427" t="s">
        <v>11</v>
      </c>
      <c r="X4" s="426"/>
      <c r="Y4" s="426"/>
      <c r="Z4" s="426"/>
      <c r="AA4" s="428"/>
      <c r="AB4" s="429" t="s">
        <v>12</v>
      </c>
      <c r="AC4" s="403" t="s">
        <v>13</v>
      </c>
      <c r="AD4" s="403" t="s">
        <v>14</v>
      </c>
      <c r="AE4" s="54"/>
    </row>
    <row r="5" spans="1:32" ht="51" customHeight="1" thickBot="1">
      <c r="A5" s="394"/>
      <c r="B5" s="396"/>
      <c r="C5" s="397"/>
      <c r="D5" s="399"/>
      <c r="E5" s="399"/>
      <c r="F5" s="399"/>
      <c r="G5" s="396"/>
      <c r="H5" s="402"/>
      <c r="I5" s="55" t="s">
        <v>15</v>
      </c>
      <c r="J5" s="56" t="s">
        <v>16</v>
      </c>
      <c r="K5" s="378" t="s">
        <v>17</v>
      </c>
      <c r="L5" s="378" t="s">
        <v>18</v>
      </c>
      <c r="M5" s="378" t="s">
        <v>19</v>
      </c>
      <c r="N5" s="37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30"/>
      <c r="AC5" s="404"/>
      <c r="AD5" s="404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135</v>
      </c>
      <c r="E6" s="53" t="s">
        <v>274</v>
      </c>
      <c r="F6" s="30" t="s">
        <v>131</v>
      </c>
      <c r="G6" s="12">
        <v>1</v>
      </c>
      <c r="H6" s="13">
        <v>24</v>
      </c>
      <c r="I6" s="31">
        <v>7000</v>
      </c>
      <c r="J6" s="5">
        <v>3044</v>
      </c>
      <c r="K6" s="15">
        <f>L6</f>
        <v>3044</v>
      </c>
      <c r="L6" s="15">
        <f>3044</f>
        <v>3044</v>
      </c>
      <c r="M6" s="15">
        <f t="shared" ref="M6:M22" si="0">L6-N6</f>
        <v>3044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16</v>
      </c>
      <c r="Q6" s="40">
        <f t="shared" ref="Q6:Q22" si="3">SUM(R6:AA6)</f>
        <v>8</v>
      </c>
      <c r="R6" s="7"/>
      <c r="S6" s="6">
        <v>8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0.66666666666666663</v>
      </c>
      <c r="AD6" s="10">
        <f t="shared" ref="AD6:AD22" si="6">AC6*AB6*(1-O6)</f>
        <v>0.66666666666666663</v>
      </c>
      <c r="AE6" s="36">
        <f t="shared" ref="AE6:AE22" si="7">$AD$23</f>
        <v>0.38480392156862747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135</v>
      </c>
      <c r="E7" s="53" t="s">
        <v>502</v>
      </c>
      <c r="F7" s="12" t="s">
        <v>509</v>
      </c>
      <c r="G7" s="12">
        <v>1</v>
      </c>
      <c r="H7" s="13">
        <v>24</v>
      </c>
      <c r="I7" s="31">
        <v>15000</v>
      </c>
      <c r="J7" s="14">
        <v>5300</v>
      </c>
      <c r="K7" s="15">
        <f>L7+5902+6277+5300</f>
        <v>17479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0.38480392156862747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294</v>
      </c>
      <c r="E8" s="53" t="s">
        <v>492</v>
      </c>
      <c r="F8" s="30" t="s">
        <v>132</v>
      </c>
      <c r="G8" s="33">
        <v>1</v>
      </c>
      <c r="H8" s="35">
        <v>24</v>
      </c>
      <c r="I8" s="7">
        <v>10000</v>
      </c>
      <c r="J8" s="14">
        <v>2454</v>
      </c>
      <c r="K8" s="15">
        <f>L8+4254+1756+3035+3563+1503+4510+5243+2454</f>
        <v>26318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0.38480392156862747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435</v>
      </c>
      <c r="F9" s="30" t="s">
        <v>139</v>
      </c>
      <c r="G9" s="33">
        <v>2</v>
      </c>
      <c r="H9" s="35">
        <v>24</v>
      </c>
      <c r="I9" s="7">
        <v>73000</v>
      </c>
      <c r="J9" s="14">
        <v>3600</v>
      </c>
      <c r="K9" s="15">
        <f>L9</f>
        <v>3600</v>
      </c>
      <c r="L9" s="15">
        <f>1800*2</f>
        <v>3600</v>
      </c>
      <c r="M9" s="15">
        <f t="shared" si="0"/>
        <v>3600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6">
        <f t="shared" si="7"/>
        <v>0.38480392156862747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161</v>
      </c>
      <c r="E10" s="53" t="s">
        <v>505</v>
      </c>
      <c r="F10" s="30" t="s">
        <v>125</v>
      </c>
      <c r="G10" s="33">
        <v>2</v>
      </c>
      <c r="H10" s="35">
        <v>24</v>
      </c>
      <c r="I10" s="7">
        <v>6000</v>
      </c>
      <c r="J10" s="5">
        <v>6524</v>
      </c>
      <c r="K10" s="15">
        <f>L10+6524</f>
        <v>6524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0.38480392156862747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511</v>
      </c>
      <c r="E11" s="53" t="s">
        <v>535</v>
      </c>
      <c r="F11" s="30" t="s">
        <v>513</v>
      </c>
      <c r="G11" s="33">
        <v>16</v>
      </c>
      <c r="H11" s="35">
        <v>24</v>
      </c>
      <c r="I11" s="7">
        <v>300000</v>
      </c>
      <c r="J11" s="14">
        <v>68740</v>
      </c>
      <c r="K11" s="15">
        <f>L11+36740+61170+59460+57030+61760+60180+61720</f>
        <v>466800</v>
      </c>
      <c r="L11" s="15">
        <f>2915*10+3959*10</f>
        <v>68740</v>
      </c>
      <c r="M11" s="15">
        <f t="shared" si="0"/>
        <v>68740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0.38480392156862747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141</v>
      </c>
      <c r="E12" s="53" t="s">
        <v>433</v>
      </c>
      <c r="F12" s="30" t="s">
        <v>138</v>
      </c>
      <c r="G12" s="33">
        <v>2</v>
      </c>
      <c r="H12" s="35">
        <v>24</v>
      </c>
      <c r="I12" s="7">
        <v>73000</v>
      </c>
      <c r="J12" s="14">
        <v>4200</v>
      </c>
      <c r="K12" s="15">
        <f>L12</f>
        <v>4200</v>
      </c>
      <c r="L12" s="15">
        <f>2100*2</f>
        <v>4200</v>
      </c>
      <c r="M12" s="15">
        <f t="shared" si="0"/>
        <v>4200</v>
      </c>
      <c r="N12" s="15">
        <v>0</v>
      </c>
      <c r="O12" s="58">
        <f t="shared" si="1"/>
        <v>0</v>
      </c>
      <c r="P12" s="39">
        <f t="shared" si="2"/>
        <v>12</v>
      </c>
      <c r="Q12" s="40">
        <f t="shared" si="3"/>
        <v>12</v>
      </c>
      <c r="R12" s="7"/>
      <c r="S12" s="6">
        <v>12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</v>
      </c>
      <c r="AD12" s="10">
        <f t="shared" si="9"/>
        <v>0.5</v>
      </c>
      <c r="AE12" s="36">
        <f t="shared" si="7"/>
        <v>0.38480392156862747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660</v>
      </c>
      <c r="F13" s="30" t="s">
        <v>125</v>
      </c>
      <c r="G13" s="33">
        <v>2</v>
      </c>
      <c r="H13" s="35">
        <v>24</v>
      </c>
      <c r="I13" s="7">
        <v>6000</v>
      </c>
      <c r="J13" s="5">
        <v>6000</v>
      </c>
      <c r="K13" s="15">
        <f>L13+426</f>
        <v>6426</v>
      </c>
      <c r="L13" s="15">
        <f>3000*2</f>
        <v>6000</v>
      </c>
      <c r="M13" s="15">
        <f t="shared" si="0"/>
        <v>6000</v>
      </c>
      <c r="N13" s="15">
        <v>0</v>
      </c>
      <c r="O13" s="58">
        <f t="shared" si="1"/>
        <v>0</v>
      </c>
      <c r="P13" s="39">
        <f t="shared" si="2"/>
        <v>14</v>
      </c>
      <c r="Q13" s="40">
        <f t="shared" si="3"/>
        <v>10</v>
      </c>
      <c r="R13" s="7"/>
      <c r="S13" s="6">
        <v>10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0.58333333333333337</v>
      </c>
      <c r="AD13" s="10">
        <f>AC13*AB13*(1-O13)</f>
        <v>0.58333333333333337</v>
      </c>
      <c r="AE13" s="36">
        <f t="shared" si="7"/>
        <v>0.38480392156862747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121</v>
      </c>
      <c r="D14" s="52" t="s">
        <v>586</v>
      </c>
      <c r="E14" s="53"/>
      <c r="F14" s="30" t="s">
        <v>125</v>
      </c>
      <c r="G14" s="33" t="s">
        <v>587</v>
      </c>
      <c r="H14" s="35">
        <v>24</v>
      </c>
      <c r="I14" s="7">
        <v>5000</v>
      </c>
      <c r="J14" s="5">
        <v>3358</v>
      </c>
      <c r="K14" s="15">
        <f>L14+2880+3392+3142+3358</f>
        <v>12772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0.38480392156862747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673</v>
      </c>
      <c r="F15" s="12" t="s">
        <v>152</v>
      </c>
      <c r="G15" s="12">
        <v>1</v>
      </c>
      <c r="H15" s="13">
        <v>24</v>
      </c>
      <c r="I15" s="31">
        <v>2000</v>
      </c>
      <c r="J15" s="14">
        <v>3060</v>
      </c>
      <c r="K15" s="15">
        <f>L15</f>
        <v>3060</v>
      </c>
      <c r="L15" s="15">
        <f>2295+765</f>
        <v>3060</v>
      </c>
      <c r="M15" s="15">
        <f t="shared" si="0"/>
        <v>3060</v>
      </c>
      <c r="N15" s="15">
        <v>0</v>
      </c>
      <c r="O15" s="58">
        <f t="shared" si="1"/>
        <v>0</v>
      </c>
      <c r="P15" s="39">
        <f t="shared" si="2"/>
        <v>17</v>
      </c>
      <c r="Q15" s="40">
        <f t="shared" si="3"/>
        <v>7</v>
      </c>
      <c r="R15" s="7"/>
      <c r="S15" s="6"/>
      <c r="T15" s="16">
        <v>7</v>
      </c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0.70833333333333337</v>
      </c>
      <c r="AD15" s="10">
        <f t="shared" si="6"/>
        <v>0.70833333333333337</v>
      </c>
      <c r="AE15" s="36">
        <f t="shared" si="7"/>
        <v>0.38480392156862747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207</v>
      </c>
      <c r="E16" s="53" t="s">
        <v>204</v>
      </c>
      <c r="F16" s="30" t="s">
        <v>138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L16+6564+12528+9524+11762+12146+1640</f>
        <v>54164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0.38480392156862747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191</v>
      </c>
      <c r="E17" s="53" t="s">
        <v>648</v>
      </c>
      <c r="F17" s="30" t="s">
        <v>325</v>
      </c>
      <c r="G17" s="12">
        <v>2</v>
      </c>
      <c r="H17" s="13">
        <v>24</v>
      </c>
      <c r="I17" s="7">
        <v>6000</v>
      </c>
      <c r="J17" s="14">
        <v>6690</v>
      </c>
      <c r="K17" s="15">
        <f>L17+6690</f>
        <v>6690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0.38480392156862747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211</v>
      </c>
      <c r="F18" s="30" t="s">
        <v>139</v>
      </c>
      <c r="G18" s="33">
        <v>1</v>
      </c>
      <c r="H18" s="35">
        <v>24</v>
      </c>
      <c r="I18" s="7">
        <v>20000</v>
      </c>
      <c r="J18" s="14">
        <v>5207</v>
      </c>
      <c r="K18" s="15">
        <f>L18+3143+5226+5251+4739+4938+5342+804+3385</f>
        <v>38035</v>
      </c>
      <c r="L18" s="15">
        <f>2717+2490</f>
        <v>5207</v>
      </c>
      <c r="M18" s="15">
        <f t="shared" si="0"/>
        <v>5207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0.38480392156862747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121</v>
      </c>
      <c r="D19" s="52" t="s">
        <v>164</v>
      </c>
      <c r="E19" s="53" t="s">
        <v>675</v>
      </c>
      <c r="F19" s="30" t="s">
        <v>132</v>
      </c>
      <c r="G19" s="33" t="s">
        <v>676</v>
      </c>
      <c r="H19" s="35">
        <v>24</v>
      </c>
      <c r="I19" s="7">
        <v>1000</v>
      </c>
      <c r="J19" s="5">
        <v>841</v>
      </c>
      <c r="K19" s="15">
        <f>L19</f>
        <v>841</v>
      </c>
      <c r="L19" s="15">
        <v>841</v>
      </c>
      <c r="M19" s="15">
        <f t="shared" ref="M19" si="10">L19-N19</f>
        <v>841</v>
      </c>
      <c r="N19" s="15">
        <v>0</v>
      </c>
      <c r="O19" s="58">
        <f t="shared" ref="O19" si="11">IF(L19=0,"0",N19/L19)</f>
        <v>0</v>
      </c>
      <c r="P19" s="39">
        <f t="shared" ref="P19" si="12">IF(L19=0,"0",(24-Q19))</f>
        <v>6</v>
      </c>
      <c r="Q19" s="40">
        <f t="shared" ref="Q19" si="13">SUM(R19:AA19)</f>
        <v>18</v>
      </c>
      <c r="R19" s="7"/>
      <c r="S19" s="6"/>
      <c r="T19" s="16"/>
      <c r="U19" s="16"/>
      <c r="V19" s="17"/>
      <c r="W19" s="5">
        <v>18</v>
      </c>
      <c r="X19" s="16"/>
      <c r="Y19" s="16"/>
      <c r="Z19" s="16"/>
      <c r="AA19" s="18"/>
      <c r="AB19" s="8">
        <f t="shared" ref="AB19" si="14">IF(J19=0,"0",(L19/J19))</f>
        <v>1</v>
      </c>
      <c r="AC19" s="9">
        <f t="shared" ref="AC19" si="15">IF(P19=0,"0",(P19/24))</f>
        <v>0.25</v>
      </c>
      <c r="AD19" s="10">
        <f>AC19*AB19*(1-O19)</f>
        <v>0.25</v>
      </c>
      <c r="AE19" s="36">
        <f t="shared" si="7"/>
        <v>0.38480392156862747</v>
      </c>
      <c r="AF19" s="84">
        <f t="shared" ref="AF19" si="16">A19</f>
        <v>14</v>
      </c>
    </row>
    <row r="20" spans="1:32" ht="27" customHeight="1">
      <c r="A20" s="96">
        <v>14</v>
      </c>
      <c r="B20" s="11" t="s">
        <v>57</v>
      </c>
      <c r="C20" s="34" t="s">
        <v>121</v>
      </c>
      <c r="D20" s="52" t="s">
        <v>282</v>
      </c>
      <c r="E20" s="53" t="s">
        <v>677</v>
      </c>
      <c r="F20" s="30" t="s">
        <v>132</v>
      </c>
      <c r="G20" s="33" t="s">
        <v>676</v>
      </c>
      <c r="H20" s="35">
        <v>24</v>
      </c>
      <c r="I20" s="7">
        <v>1000</v>
      </c>
      <c r="J20" s="5">
        <v>1347</v>
      </c>
      <c r="K20" s="15">
        <f>L20</f>
        <v>1347</v>
      </c>
      <c r="L20" s="15">
        <f>1036+311</f>
        <v>1347</v>
      </c>
      <c r="M20" s="15">
        <f t="shared" ref="M20" si="17">L20-N20</f>
        <v>1347</v>
      </c>
      <c r="N20" s="15">
        <v>0</v>
      </c>
      <c r="O20" s="58">
        <f t="shared" ref="O20" si="18">IF(L20=0,"0",N20/L20)</f>
        <v>0</v>
      </c>
      <c r="P20" s="39">
        <f t="shared" ref="P20" si="19">IF(L20=0,"0",(24-Q20))</f>
        <v>10</v>
      </c>
      <c r="Q20" s="40">
        <f t="shared" ref="Q20" si="20">SUM(R20:AA20)</f>
        <v>14</v>
      </c>
      <c r="R20" s="7"/>
      <c r="S20" s="6"/>
      <c r="T20" s="16"/>
      <c r="U20" s="16"/>
      <c r="V20" s="17"/>
      <c r="W20" s="5">
        <v>14</v>
      </c>
      <c r="X20" s="16"/>
      <c r="Y20" s="16"/>
      <c r="Z20" s="16"/>
      <c r="AA20" s="18"/>
      <c r="AB20" s="8">
        <f t="shared" ref="AB20" si="21">IF(J20=0,"0",(L20/J20))</f>
        <v>1</v>
      </c>
      <c r="AC20" s="9">
        <f t="shared" ref="AC20" si="22">IF(P20=0,"0",(P20/24))</f>
        <v>0.41666666666666669</v>
      </c>
      <c r="AD20" s="10">
        <f>AC20*AB20*(1-O20)</f>
        <v>0.41666666666666669</v>
      </c>
      <c r="AE20" s="36">
        <f t="shared" si="7"/>
        <v>0.38480392156862747</v>
      </c>
      <c r="AF20" s="84">
        <f t="shared" ref="AF20" si="23">A20</f>
        <v>14</v>
      </c>
    </row>
    <row r="21" spans="1:32" ht="27" customHeight="1">
      <c r="A21" s="113">
        <v>15</v>
      </c>
      <c r="B21" s="11" t="s">
        <v>57</v>
      </c>
      <c r="C21" s="34" t="s">
        <v>121</v>
      </c>
      <c r="D21" s="52" t="s">
        <v>115</v>
      </c>
      <c r="E21" s="53" t="s">
        <v>604</v>
      </c>
      <c r="F21" s="30" t="s">
        <v>119</v>
      </c>
      <c r="G21" s="12">
        <v>1</v>
      </c>
      <c r="H21" s="13">
        <v>28</v>
      </c>
      <c r="I21" s="31">
        <v>10000</v>
      </c>
      <c r="J21" s="5">
        <v>4719</v>
      </c>
      <c r="K21" s="15">
        <f>L21+3810+4285+4661+4561+4719</f>
        <v>22036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ref="AD21" si="24">AC21*AB21*(1-O21)</f>
        <v>0</v>
      </c>
      <c r="AE21" s="36">
        <f t="shared" si="7"/>
        <v>0.38480392156862747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144</v>
      </c>
      <c r="F22" s="12" t="s">
        <v>114</v>
      </c>
      <c r="G22" s="12">
        <v>4</v>
      </c>
      <c r="H22" s="35">
        <v>20</v>
      </c>
      <c r="I22" s="7">
        <v>300000</v>
      </c>
      <c r="J22" s="14">
        <v>74100</v>
      </c>
      <c r="K22" s="15">
        <f>L22+66912+52516+29980+71540+64240+72608</f>
        <v>431896</v>
      </c>
      <c r="L22" s="15">
        <f>9154*4+9371*4</f>
        <v>74100</v>
      </c>
      <c r="M22" s="15">
        <f t="shared" si="0"/>
        <v>74100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0.38480392156862747</v>
      </c>
      <c r="AF22" s="84">
        <f t="shared" si="8"/>
        <v>16</v>
      </c>
    </row>
    <row r="23" spans="1:32" ht="31.5" customHeight="1" thickBot="1">
      <c r="A23" s="405" t="s">
        <v>34</v>
      </c>
      <c r="B23" s="406"/>
      <c r="C23" s="406"/>
      <c r="D23" s="406"/>
      <c r="E23" s="406"/>
      <c r="F23" s="406"/>
      <c r="G23" s="406"/>
      <c r="H23" s="407"/>
      <c r="I23" s="22">
        <f t="shared" ref="I23:N23" si="25">SUM(I6:I22)</f>
        <v>1135000</v>
      </c>
      <c r="J23" s="19">
        <f t="shared" si="25"/>
        <v>200824</v>
      </c>
      <c r="K23" s="20">
        <f t="shared" si="25"/>
        <v>1105232</v>
      </c>
      <c r="L23" s="21">
        <f t="shared" si="25"/>
        <v>170139</v>
      </c>
      <c r="M23" s="20">
        <f t="shared" si="25"/>
        <v>170139</v>
      </c>
      <c r="N23" s="21">
        <f t="shared" si="25"/>
        <v>0</v>
      </c>
      <c r="O23" s="41">
        <f t="shared" si="1"/>
        <v>0</v>
      </c>
      <c r="P23" s="42">
        <f t="shared" ref="P23:AA23" si="26">SUM(P6:P22)</f>
        <v>157</v>
      </c>
      <c r="Q23" s="43">
        <f t="shared" si="26"/>
        <v>251</v>
      </c>
      <c r="R23" s="23">
        <f t="shared" si="26"/>
        <v>24</v>
      </c>
      <c r="S23" s="24">
        <f t="shared" si="26"/>
        <v>68</v>
      </c>
      <c r="T23" s="24">
        <f t="shared" si="26"/>
        <v>7</v>
      </c>
      <c r="U23" s="24">
        <f t="shared" si="26"/>
        <v>0</v>
      </c>
      <c r="V23" s="25">
        <f t="shared" si="26"/>
        <v>0</v>
      </c>
      <c r="W23" s="26">
        <f t="shared" si="26"/>
        <v>80</v>
      </c>
      <c r="X23" s="27">
        <f t="shared" si="26"/>
        <v>0</v>
      </c>
      <c r="Y23" s="27">
        <f t="shared" si="26"/>
        <v>0</v>
      </c>
      <c r="Z23" s="27">
        <f t="shared" si="26"/>
        <v>0</v>
      </c>
      <c r="AA23" s="27">
        <f t="shared" si="26"/>
        <v>72</v>
      </c>
      <c r="AB23" s="28">
        <f>AVERAGE(AB6:AB22)</f>
        <v>0.58823529411764708</v>
      </c>
      <c r="AC23" s="4">
        <f>AVERAGE(AC6:AC22)</f>
        <v>0.38480392156862747</v>
      </c>
      <c r="AD23" s="4">
        <f>AVERAGE(AD6:AD22)</f>
        <v>0.38480392156862747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08" t="s">
        <v>45</v>
      </c>
      <c r="B50" s="408"/>
      <c r="C50" s="408"/>
      <c r="D50" s="408"/>
      <c r="E50" s="40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09" t="s">
        <v>678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1"/>
      <c r="N51" s="412" t="s">
        <v>693</v>
      </c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4"/>
    </row>
    <row r="52" spans="1:32" ht="27" customHeight="1">
      <c r="A52" s="415" t="s">
        <v>2</v>
      </c>
      <c r="B52" s="416"/>
      <c r="C52" s="379" t="s">
        <v>46</v>
      </c>
      <c r="D52" s="379" t="s">
        <v>47</v>
      </c>
      <c r="E52" s="379" t="s">
        <v>107</v>
      </c>
      <c r="F52" s="417" t="s">
        <v>106</v>
      </c>
      <c r="G52" s="418"/>
      <c r="H52" s="418"/>
      <c r="I52" s="418"/>
      <c r="J52" s="418"/>
      <c r="K52" s="418"/>
      <c r="L52" s="418"/>
      <c r="M52" s="419"/>
      <c r="N52" s="67" t="s">
        <v>110</v>
      </c>
      <c r="O52" s="379" t="s">
        <v>46</v>
      </c>
      <c r="P52" s="417" t="s">
        <v>47</v>
      </c>
      <c r="Q52" s="420"/>
      <c r="R52" s="417" t="s">
        <v>38</v>
      </c>
      <c r="S52" s="418"/>
      <c r="T52" s="418"/>
      <c r="U52" s="420"/>
      <c r="V52" s="417" t="s">
        <v>48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31" t="s">
        <v>121</v>
      </c>
      <c r="B53" s="432"/>
      <c r="C53" s="381" t="s">
        <v>189</v>
      </c>
      <c r="D53" s="381" t="s">
        <v>115</v>
      </c>
      <c r="E53" s="381" t="s">
        <v>660</v>
      </c>
      <c r="F53" s="433" t="s">
        <v>679</v>
      </c>
      <c r="G53" s="434"/>
      <c r="H53" s="434"/>
      <c r="I53" s="434"/>
      <c r="J53" s="434"/>
      <c r="K53" s="434"/>
      <c r="L53" s="434"/>
      <c r="M53" s="435"/>
      <c r="N53" s="380" t="s">
        <v>112</v>
      </c>
      <c r="O53" s="386" t="s">
        <v>142</v>
      </c>
      <c r="P53" s="436" t="s">
        <v>161</v>
      </c>
      <c r="Q53" s="437"/>
      <c r="R53" s="436" t="s">
        <v>172</v>
      </c>
      <c r="S53" s="438"/>
      <c r="T53" s="438"/>
      <c r="U53" s="437"/>
      <c r="V53" s="439" t="s">
        <v>118</v>
      </c>
      <c r="W53" s="439"/>
      <c r="X53" s="439"/>
      <c r="Y53" s="439"/>
      <c r="Z53" s="439"/>
      <c r="AA53" s="439"/>
      <c r="AB53" s="439"/>
      <c r="AC53" s="439"/>
      <c r="AD53" s="440"/>
    </row>
    <row r="54" spans="1:32" ht="27" customHeight="1">
      <c r="A54" s="431" t="s">
        <v>120</v>
      </c>
      <c r="B54" s="432"/>
      <c r="C54" s="381" t="s">
        <v>136</v>
      </c>
      <c r="D54" s="381" t="s">
        <v>135</v>
      </c>
      <c r="E54" s="381" t="s">
        <v>274</v>
      </c>
      <c r="F54" s="433" t="s">
        <v>680</v>
      </c>
      <c r="G54" s="434"/>
      <c r="H54" s="434"/>
      <c r="I54" s="434"/>
      <c r="J54" s="434"/>
      <c r="K54" s="434"/>
      <c r="L54" s="434"/>
      <c r="M54" s="435"/>
      <c r="N54" s="380" t="s">
        <v>112</v>
      </c>
      <c r="O54" s="386" t="s">
        <v>695</v>
      </c>
      <c r="P54" s="436" t="s">
        <v>697</v>
      </c>
      <c r="Q54" s="437"/>
      <c r="R54" s="436" t="s">
        <v>696</v>
      </c>
      <c r="S54" s="438"/>
      <c r="T54" s="438"/>
      <c r="U54" s="437"/>
      <c r="V54" s="439" t="s">
        <v>118</v>
      </c>
      <c r="W54" s="439"/>
      <c r="X54" s="439"/>
      <c r="Y54" s="439"/>
      <c r="Z54" s="439"/>
      <c r="AA54" s="439"/>
      <c r="AB54" s="439"/>
      <c r="AC54" s="439"/>
      <c r="AD54" s="440"/>
    </row>
    <row r="55" spans="1:32" ht="27" customHeight="1">
      <c r="A55" s="431" t="s">
        <v>683</v>
      </c>
      <c r="B55" s="432"/>
      <c r="C55" s="381" t="s">
        <v>684</v>
      </c>
      <c r="D55" s="381" t="s">
        <v>115</v>
      </c>
      <c r="E55" s="381" t="s">
        <v>681</v>
      </c>
      <c r="F55" s="433" t="s">
        <v>682</v>
      </c>
      <c r="G55" s="434"/>
      <c r="H55" s="434"/>
      <c r="I55" s="434"/>
      <c r="J55" s="434"/>
      <c r="K55" s="434"/>
      <c r="L55" s="434"/>
      <c r="M55" s="435"/>
      <c r="N55" s="380"/>
      <c r="O55" s="386"/>
      <c r="P55" s="436"/>
      <c r="Q55" s="437"/>
      <c r="R55" s="436"/>
      <c r="S55" s="438"/>
      <c r="T55" s="438"/>
      <c r="U55" s="437"/>
      <c r="V55" s="439"/>
      <c r="W55" s="439"/>
      <c r="X55" s="439"/>
      <c r="Y55" s="439"/>
      <c r="Z55" s="439"/>
      <c r="AA55" s="439"/>
      <c r="AB55" s="439"/>
      <c r="AC55" s="439"/>
      <c r="AD55" s="440"/>
    </row>
    <row r="56" spans="1:32" ht="27" customHeight="1">
      <c r="A56" s="431" t="s">
        <v>683</v>
      </c>
      <c r="B56" s="432"/>
      <c r="C56" s="381" t="s">
        <v>685</v>
      </c>
      <c r="D56" s="381" t="s">
        <v>686</v>
      </c>
      <c r="E56" s="381" t="s">
        <v>687</v>
      </c>
      <c r="F56" s="433" t="s">
        <v>682</v>
      </c>
      <c r="G56" s="434"/>
      <c r="H56" s="434"/>
      <c r="I56" s="434"/>
      <c r="J56" s="434"/>
      <c r="K56" s="434"/>
      <c r="L56" s="434"/>
      <c r="M56" s="435"/>
      <c r="N56" s="380"/>
      <c r="O56" s="386"/>
      <c r="P56" s="436"/>
      <c r="Q56" s="437"/>
      <c r="R56" s="436"/>
      <c r="S56" s="438"/>
      <c r="T56" s="438"/>
      <c r="U56" s="437"/>
      <c r="V56" s="439"/>
      <c r="W56" s="439"/>
      <c r="X56" s="439"/>
      <c r="Y56" s="439"/>
      <c r="Z56" s="439"/>
      <c r="AA56" s="439"/>
      <c r="AB56" s="439"/>
      <c r="AC56" s="439"/>
      <c r="AD56" s="440"/>
    </row>
    <row r="57" spans="1:32" ht="27" customHeight="1">
      <c r="A57" s="431" t="s">
        <v>121</v>
      </c>
      <c r="B57" s="432"/>
      <c r="C57" s="381" t="s">
        <v>688</v>
      </c>
      <c r="D57" s="381" t="s">
        <v>691</v>
      </c>
      <c r="E57" s="381" t="s">
        <v>689</v>
      </c>
      <c r="F57" s="433" t="s">
        <v>118</v>
      </c>
      <c r="G57" s="434"/>
      <c r="H57" s="434"/>
      <c r="I57" s="434"/>
      <c r="J57" s="434"/>
      <c r="K57" s="434"/>
      <c r="L57" s="434"/>
      <c r="M57" s="435"/>
      <c r="N57" s="380"/>
      <c r="O57" s="386"/>
      <c r="P57" s="436"/>
      <c r="Q57" s="437"/>
      <c r="R57" s="436"/>
      <c r="S57" s="438"/>
      <c r="T57" s="438"/>
      <c r="U57" s="437"/>
      <c r="V57" s="439"/>
      <c r="W57" s="439"/>
      <c r="X57" s="439"/>
      <c r="Y57" s="439"/>
      <c r="Z57" s="439"/>
      <c r="AA57" s="439"/>
      <c r="AB57" s="439"/>
      <c r="AC57" s="439"/>
      <c r="AD57" s="440"/>
    </row>
    <row r="58" spans="1:32" ht="27" customHeight="1">
      <c r="A58" s="431" t="s">
        <v>121</v>
      </c>
      <c r="B58" s="432"/>
      <c r="C58" s="390" t="s">
        <v>688</v>
      </c>
      <c r="D58" s="390" t="s">
        <v>692</v>
      </c>
      <c r="E58" s="390" t="s">
        <v>690</v>
      </c>
      <c r="F58" s="433" t="s">
        <v>118</v>
      </c>
      <c r="G58" s="434"/>
      <c r="H58" s="434"/>
      <c r="I58" s="434"/>
      <c r="J58" s="434"/>
      <c r="K58" s="434"/>
      <c r="L58" s="434"/>
      <c r="M58" s="435"/>
      <c r="N58" s="380"/>
      <c r="O58" s="386"/>
      <c r="P58" s="436"/>
      <c r="Q58" s="437"/>
      <c r="R58" s="436"/>
      <c r="S58" s="438"/>
      <c r="T58" s="438"/>
      <c r="U58" s="437"/>
      <c r="V58" s="439"/>
      <c r="W58" s="439"/>
      <c r="X58" s="439"/>
      <c r="Y58" s="439"/>
      <c r="Z58" s="439"/>
      <c r="AA58" s="439"/>
      <c r="AB58" s="439"/>
      <c r="AC58" s="439"/>
      <c r="AD58" s="440"/>
    </row>
    <row r="59" spans="1:32" ht="27" customHeight="1">
      <c r="A59" s="431" t="s">
        <v>694</v>
      </c>
      <c r="B59" s="432"/>
      <c r="C59" s="381" t="s">
        <v>695</v>
      </c>
      <c r="D59" s="381"/>
      <c r="E59" s="381" t="s">
        <v>673</v>
      </c>
      <c r="F59" s="433" t="s">
        <v>118</v>
      </c>
      <c r="G59" s="434"/>
      <c r="H59" s="434"/>
      <c r="I59" s="434"/>
      <c r="J59" s="434"/>
      <c r="K59" s="434"/>
      <c r="L59" s="434"/>
      <c r="M59" s="435"/>
      <c r="N59" s="380"/>
      <c r="O59" s="386"/>
      <c r="P59" s="436"/>
      <c r="Q59" s="437"/>
      <c r="R59" s="432"/>
      <c r="S59" s="432"/>
      <c r="T59" s="432"/>
      <c r="U59" s="432"/>
      <c r="V59" s="439"/>
      <c r="W59" s="439"/>
      <c r="X59" s="439"/>
      <c r="Y59" s="439"/>
      <c r="Z59" s="439"/>
      <c r="AA59" s="439"/>
      <c r="AB59" s="439"/>
      <c r="AC59" s="439"/>
      <c r="AD59" s="440"/>
    </row>
    <row r="60" spans="1:32" ht="27" customHeight="1">
      <c r="A60" s="431"/>
      <c r="B60" s="432"/>
      <c r="C60" s="381"/>
      <c r="D60" s="381"/>
      <c r="E60" s="381"/>
      <c r="F60" s="433"/>
      <c r="G60" s="434"/>
      <c r="H60" s="434"/>
      <c r="I60" s="434"/>
      <c r="J60" s="434"/>
      <c r="K60" s="434"/>
      <c r="L60" s="434"/>
      <c r="M60" s="435"/>
      <c r="N60" s="380"/>
      <c r="O60" s="386"/>
      <c r="P60" s="436"/>
      <c r="Q60" s="437"/>
      <c r="R60" s="432"/>
      <c r="S60" s="432"/>
      <c r="T60" s="432"/>
      <c r="U60" s="432"/>
      <c r="V60" s="439"/>
      <c r="W60" s="439"/>
      <c r="X60" s="439"/>
      <c r="Y60" s="439"/>
      <c r="Z60" s="439"/>
      <c r="AA60" s="439"/>
      <c r="AB60" s="439"/>
      <c r="AC60" s="439"/>
      <c r="AD60" s="440"/>
    </row>
    <row r="61" spans="1:32" ht="27" customHeight="1">
      <c r="A61" s="431"/>
      <c r="B61" s="432"/>
      <c r="C61" s="381"/>
      <c r="D61" s="381"/>
      <c r="E61" s="381"/>
      <c r="F61" s="433"/>
      <c r="G61" s="434"/>
      <c r="H61" s="434"/>
      <c r="I61" s="434"/>
      <c r="J61" s="434"/>
      <c r="K61" s="434"/>
      <c r="L61" s="434"/>
      <c r="M61" s="435"/>
      <c r="N61" s="380"/>
      <c r="O61" s="386"/>
      <c r="P61" s="432"/>
      <c r="Q61" s="432"/>
      <c r="R61" s="432"/>
      <c r="S61" s="432"/>
      <c r="T61" s="432"/>
      <c r="U61" s="432"/>
      <c r="V61" s="439"/>
      <c r="W61" s="439"/>
      <c r="X61" s="439"/>
      <c r="Y61" s="439"/>
      <c r="Z61" s="439"/>
      <c r="AA61" s="439"/>
      <c r="AB61" s="439"/>
      <c r="AC61" s="439"/>
      <c r="AD61" s="440"/>
      <c r="AF61" s="84">
        <f>8*3000</f>
        <v>24000</v>
      </c>
    </row>
    <row r="62" spans="1:32" ht="27" customHeight="1" thickBot="1">
      <c r="A62" s="441"/>
      <c r="B62" s="442"/>
      <c r="C62" s="382"/>
      <c r="D62" s="383"/>
      <c r="E62" s="383"/>
      <c r="F62" s="443"/>
      <c r="G62" s="444"/>
      <c r="H62" s="444"/>
      <c r="I62" s="444"/>
      <c r="J62" s="444"/>
      <c r="K62" s="444"/>
      <c r="L62" s="444"/>
      <c r="M62" s="445"/>
      <c r="N62" s="112"/>
      <c r="O62" s="103"/>
      <c r="P62" s="446"/>
      <c r="Q62" s="446"/>
      <c r="R62" s="446"/>
      <c r="S62" s="446"/>
      <c r="T62" s="446"/>
      <c r="U62" s="446"/>
      <c r="V62" s="447"/>
      <c r="W62" s="447"/>
      <c r="X62" s="447"/>
      <c r="Y62" s="447"/>
      <c r="Z62" s="447"/>
      <c r="AA62" s="447"/>
      <c r="AB62" s="447"/>
      <c r="AC62" s="447"/>
      <c r="AD62" s="448"/>
      <c r="AF62" s="84">
        <f>16*3000</f>
        <v>48000</v>
      </c>
    </row>
    <row r="63" spans="1:32" ht="27.75" thickBot="1">
      <c r="A63" s="449" t="s">
        <v>698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50" t="s">
        <v>111</v>
      </c>
      <c r="B64" s="451"/>
      <c r="C64" s="384" t="s">
        <v>2</v>
      </c>
      <c r="D64" s="384" t="s">
        <v>37</v>
      </c>
      <c r="E64" s="384" t="s">
        <v>3</v>
      </c>
      <c r="F64" s="451" t="s">
        <v>109</v>
      </c>
      <c r="G64" s="451"/>
      <c r="H64" s="451"/>
      <c r="I64" s="451"/>
      <c r="J64" s="451"/>
      <c r="K64" s="451" t="s">
        <v>39</v>
      </c>
      <c r="L64" s="451"/>
      <c r="M64" s="384" t="s">
        <v>40</v>
      </c>
      <c r="N64" s="451" t="s">
        <v>41</v>
      </c>
      <c r="O64" s="451"/>
      <c r="P64" s="452" t="s">
        <v>42</v>
      </c>
      <c r="Q64" s="453"/>
      <c r="R64" s="452" t="s">
        <v>43</v>
      </c>
      <c r="S64" s="454"/>
      <c r="T64" s="454"/>
      <c r="U64" s="454"/>
      <c r="V64" s="454"/>
      <c r="W64" s="454"/>
      <c r="X64" s="454"/>
      <c r="Y64" s="454"/>
      <c r="Z64" s="454"/>
      <c r="AA64" s="453"/>
      <c r="AB64" s="451" t="s">
        <v>44</v>
      </c>
      <c r="AC64" s="451"/>
      <c r="AD64" s="455"/>
      <c r="AF64" s="84">
        <f>SUM(AF61:AF63)</f>
        <v>96000</v>
      </c>
    </row>
    <row r="65" spans="1:32" ht="25.5" customHeight="1">
      <c r="A65" s="456">
        <v>1</v>
      </c>
      <c r="B65" s="457"/>
      <c r="C65" s="105" t="s">
        <v>700</v>
      </c>
      <c r="D65" s="388"/>
      <c r="E65" s="385" t="s">
        <v>708</v>
      </c>
      <c r="F65" s="458" t="s">
        <v>699</v>
      </c>
      <c r="G65" s="459"/>
      <c r="H65" s="459"/>
      <c r="I65" s="459"/>
      <c r="J65" s="460"/>
      <c r="K65" s="461" t="s">
        <v>702</v>
      </c>
      <c r="L65" s="461"/>
      <c r="M65" s="51" t="s">
        <v>704</v>
      </c>
      <c r="N65" s="462" t="s">
        <v>706</v>
      </c>
      <c r="O65" s="462"/>
      <c r="P65" s="463">
        <v>200</v>
      </c>
      <c r="Q65" s="463"/>
      <c r="R65" s="439"/>
      <c r="S65" s="439"/>
      <c r="T65" s="439"/>
      <c r="U65" s="439"/>
      <c r="V65" s="439"/>
      <c r="W65" s="439"/>
      <c r="X65" s="439"/>
      <c r="Y65" s="439"/>
      <c r="Z65" s="439"/>
      <c r="AA65" s="439"/>
      <c r="AB65" s="464"/>
      <c r="AC65" s="465"/>
      <c r="AD65" s="466"/>
      <c r="AF65" s="50"/>
    </row>
    <row r="66" spans="1:32" ht="25.5" customHeight="1">
      <c r="A66" s="456">
        <v>2</v>
      </c>
      <c r="B66" s="457"/>
      <c r="C66" s="105" t="s">
        <v>674</v>
      </c>
      <c r="D66" s="388"/>
      <c r="E66" s="385" t="s">
        <v>707</v>
      </c>
      <c r="F66" s="458" t="s">
        <v>709</v>
      </c>
      <c r="G66" s="459"/>
      <c r="H66" s="459"/>
      <c r="I66" s="459"/>
      <c r="J66" s="460"/>
      <c r="K66" s="461" t="s">
        <v>701</v>
      </c>
      <c r="L66" s="461"/>
      <c r="M66" s="51" t="s">
        <v>703</v>
      </c>
      <c r="N66" s="462" t="s">
        <v>705</v>
      </c>
      <c r="O66" s="462"/>
      <c r="P66" s="463">
        <v>200</v>
      </c>
      <c r="Q66" s="463"/>
      <c r="R66" s="439"/>
      <c r="S66" s="439"/>
      <c r="T66" s="439"/>
      <c r="U66" s="439"/>
      <c r="V66" s="439"/>
      <c r="W66" s="439"/>
      <c r="X66" s="439"/>
      <c r="Y66" s="439"/>
      <c r="Z66" s="439"/>
      <c r="AA66" s="439"/>
      <c r="AB66" s="461"/>
      <c r="AC66" s="461"/>
      <c r="AD66" s="467"/>
      <c r="AF66" s="50"/>
    </row>
    <row r="67" spans="1:32" ht="25.5" customHeight="1">
      <c r="A67" s="456">
        <v>3</v>
      </c>
      <c r="B67" s="457"/>
      <c r="C67" s="105" t="s">
        <v>683</v>
      </c>
      <c r="D67" s="388"/>
      <c r="E67" s="385" t="s">
        <v>710</v>
      </c>
      <c r="F67" s="458" t="s">
        <v>681</v>
      </c>
      <c r="G67" s="459"/>
      <c r="H67" s="459"/>
      <c r="I67" s="459"/>
      <c r="J67" s="460"/>
      <c r="K67" s="461">
        <v>7301</v>
      </c>
      <c r="L67" s="461"/>
      <c r="M67" s="51" t="s">
        <v>703</v>
      </c>
      <c r="N67" s="462" t="s">
        <v>684</v>
      </c>
      <c r="O67" s="462"/>
      <c r="P67" s="463">
        <v>50</v>
      </c>
      <c r="Q67" s="463"/>
      <c r="R67" s="439"/>
      <c r="S67" s="439"/>
      <c r="T67" s="439"/>
      <c r="U67" s="439"/>
      <c r="V67" s="439"/>
      <c r="W67" s="439"/>
      <c r="X67" s="439"/>
      <c r="Y67" s="439"/>
      <c r="Z67" s="439"/>
      <c r="AA67" s="439"/>
      <c r="AB67" s="461"/>
      <c r="AC67" s="461"/>
      <c r="AD67" s="467"/>
      <c r="AF67" s="50"/>
    </row>
    <row r="68" spans="1:32" ht="25.5" customHeight="1">
      <c r="A68" s="456">
        <v>4</v>
      </c>
      <c r="B68" s="457"/>
      <c r="C68" s="105" t="s">
        <v>683</v>
      </c>
      <c r="D68" s="388"/>
      <c r="E68" s="385" t="s">
        <v>686</v>
      </c>
      <c r="F68" s="458" t="s">
        <v>687</v>
      </c>
      <c r="G68" s="459"/>
      <c r="H68" s="459"/>
      <c r="I68" s="459"/>
      <c r="J68" s="460"/>
      <c r="K68" s="461" t="s">
        <v>711</v>
      </c>
      <c r="L68" s="461"/>
      <c r="M68" s="51" t="s">
        <v>703</v>
      </c>
      <c r="N68" s="462" t="s">
        <v>685</v>
      </c>
      <c r="O68" s="462"/>
      <c r="P68" s="463">
        <v>50</v>
      </c>
      <c r="Q68" s="463"/>
      <c r="R68" s="439"/>
      <c r="S68" s="439"/>
      <c r="T68" s="439"/>
      <c r="U68" s="439"/>
      <c r="V68" s="439"/>
      <c r="W68" s="439"/>
      <c r="X68" s="439"/>
      <c r="Y68" s="439"/>
      <c r="Z68" s="439"/>
      <c r="AA68" s="439"/>
      <c r="AB68" s="461"/>
      <c r="AC68" s="461"/>
      <c r="AD68" s="467"/>
      <c r="AF68" s="50"/>
    </row>
    <row r="69" spans="1:32" ht="25.5" customHeight="1">
      <c r="A69" s="456">
        <v>5</v>
      </c>
      <c r="B69" s="457"/>
      <c r="C69" s="105" t="s">
        <v>700</v>
      </c>
      <c r="D69" s="388"/>
      <c r="E69" s="385" t="s">
        <v>710</v>
      </c>
      <c r="F69" s="458" t="s">
        <v>712</v>
      </c>
      <c r="G69" s="459"/>
      <c r="H69" s="459"/>
      <c r="I69" s="459"/>
      <c r="J69" s="460"/>
      <c r="K69" s="461" t="s">
        <v>713</v>
      </c>
      <c r="L69" s="461"/>
      <c r="M69" s="51" t="s">
        <v>703</v>
      </c>
      <c r="N69" s="462" t="s">
        <v>688</v>
      </c>
      <c r="O69" s="462"/>
      <c r="P69" s="463">
        <v>100</v>
      </c>
      <c r="Q69" s="463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61"/>
      <c r="AC69" s="461"/>
      <c r="AD69" s="467"/>
      <c r="AF69" s="50"/>
    </row>
    <row r="70" spans="1:32" ht="25.5" customHeight="1">
      <c r="A70" s="456">
        <v>6</v>
      </c>
      <c r="B70" s="457"/>
      <c r="C70" s="105"/>
      <c r="D70" s="388"/>
      <c r="E70" s="385"/>
      <c r="F70" s="458"/>
      <c r="G70" s="459"/>
      <c r="H70" s="459"/>
      <c r="I70" s="459"/>
      <c r="J70" s="460"/>
      <c r="K70" s="461"/>
      <c r="L70" s="461"/>
      <c r="M70" s="51"/>
      <c r="N70" s="462"/>
      <c r="O70" s="462"/>
      <c r="P70" s="463"/>
      <c r="Q70" s="463"/>
      <c r="R70" s="439"/>
      <c r="S70" s="439"/>
      <c r="T70" s="439"/>
      <c r="U70" s="439"/>
      <c r="V70" s="439"/>
      <c r="W70" s="439"/>
      <c r="X70" s="439"/>
      <c r="Y70" s="439"/>
      <c r="Z70" s="439"/>
      <c r="AA70" s="439"/>
      <c r="AB70" s="461"/>
      <c r="AC70" s="461"/>
      <c r="AD70" s="467"/>
      <c r="AF70" s="50"/>
    </row>
    <row r="71" spans="1:32" ht="25.5" customHeight="1">
      <c r="A71" s="456">
        <v>7</v>
      </c>
      <c r="B71" s="457"/>
      <c r="C71" s="105"/>
      <c r="D71" s="388"/>
      <c r="E71" s="385"/>
      <c r="F71" s="468"/>
      <c r="G71" s="461"/>
      <c r="H71" s="461"/>
      <c r="I71" s="461"/>
      <c r="J71" s="461"/>
      <c r="K71" s="461"/>
      <c r="L71" s="461"/>
      <c r="M71" s="51"/>
      <c r="N71" s="462"/>
      <c r="O71" s="462"/>
      <c r="P71" s="463"/>
      <c r="Q71" s="463"/>
      <c r="R71" s="439"/>
      <c r="S71" s="439"/>
      <c r="T71" s="439"/>
      <c r="U71" s="439"/>
      <c r="V71" s="439"/>
      <c r="W71" s="439"/>
      <c r="X71" s="439"/>
      <c r="Y71" s="439"/>
      <c r="Z71" s="439"/>
      <c r="AA71" s="439"/>
      <c r="AB71" s="461"/>
      <c r="AC71" s="461"/>
      <c r="AD71" s="467"/>
      <c r="AF71" s="50"/>
    </row>
    <row r="72" spans="1:32" ht="25.5" customHeight="1">
      <c r="A72" s="456">
        <v>8</v>
      </c>
      <c r="B72" s="457"/>
      <c r="C72" s="105"/>
      <c r="D72" s="388"/>
      <c r="E72" s="385"/>
      <c r="F72" s="468"/>
      <c r="G72" s="461"/>
      <c r="H72" s="461"/>
      <c r="I72" s="461"/>
      <c r="J72" s="461"/>
      <c r="K72" s="461"/>
      <c r="L72" s="461"/>
      <c r="M72" s="51"/>
      <c r="N72" s="462"/>
      <c r="O72" s="462"/>
      <c r="P72" s="463"/>
      <c r="Q72" s="463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61"/>
      <c r="AC72" s="461"/>
      <c r="AD72" s="467"/>
      <c r="AF72" s="50"/>
    </row>
    <row r="73" spans="1:32" ht="25.5" customHeight="1">
      <c r="A73" s="456">
        <v>9</v>
      </c>
      <c r="B73" s="457"/>
      <c r="C73" s="105"/>
      <c r="D73" s="388"/>
      <c r="E73" s="385"/>
      <c r="F73" s="468"/>
      <c r="G73" s="461"/>
      <c r="H73" s="461"/>
      <c r="I73" s="461"/>
      <c r="J73" s="461"/>
      <c r="K73" s="461"/>
      <c r="L73" s="461"/>
      <c r="M73" s="51"/>
      <c r="N73" s="462"/>
      <c r="O73" s="462"/>
      <c r="P73" s="463"/>
      <c r="Q73" s="463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61"/>
      <c r="AC73" s="461"/>
      <c r="AD73" s="467"/>
      <c r="AF73" s="50"/>
    </row>
    <row r="74" spans="1:32" ht="25.5" customHeight="1">
      <c r="A74" s="456">
        <v>10</v>
      </c>
      <c r="B74" s="457"/>
      <c r="C74" s="105"/>
      <c r="D74" s="388"/>
      <c r="E74" s="385"/>
      <c r="F74" s="468"/>
      <c r="G74" s="461"/>
      <c r="H74" s="461"/>
      <c r="I74" s="461"/>
      <c r="J74" s="461"/>
      <c r="K74" s="461"/>
      <c r="L74" s="461"/>
      <c r="M74" s="51"/>
      <c r="N74" s="462"/>
      <c r="O74" s="462"/>
      <c r="P74" s="463"/>
      <c r="Q74" s="463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61"/>
      <c r="AC74" s="461"/>
      <c r="AD74" s="467"/>
      <c r="AF74" s="50"/>
    </row>
    <row r="75" spans="1:32" ht="26.25" customHeight="1" thickBot="1">
      <c r="A75" s="469" t="s">
        <v>714</v>
      </c>
      <c r="B75" s="469"/>
      <c r="C75" s="469"/>
      <c r="D75" s="469"/>
      <c r="E75" s="469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70" t="s">
        <v>111</v>
      </c>
      <c r="B76" s="471"/>
      <c r="C76" s="387" t="s">
        <v>2</v>
      </c>
      <c r="D76" s="387" t="s">
        <v>37</v>
      </c>
      <c r="E76" s="387" t="s">
        <v>3</v>
      </c>
      <c r="F76" s="471" t="s">
        <v>38</v>
      </c>
      <c r="G76" s="471"/>
      <c r="H76" s="471"/>
      <c r="I76" s="471"/>
      <c r="J76" s="471"/>
      <c r="K76" s="472" t="s">
        <v>58</v>
      </c>
      <c r="L76" s="473"/>
      <c r="M76" s="473"/>
      <c r="N76" s="473"/>
      <c r="O76" s="473"/>
      <c r="P76" s="473"/>
      <c r="Q76" s="473"/>
      <c r="R76" s="473"/>
      <c r="S76" s="474"/>
      <c r="T76" s="471" t="s">
        <v>49</v>
      </c>
      <c r="U76" s="471"/>
      <c r="V76" s="472" t="s">
        <v>50</v>
      </c>
      <c r="W76" s="474"/>
      <c r="X76" s="473" t="s">
        <v>51</v>
      </c>
      <c r="Y76" s="473"/>
      <c r="Z76" s="473"/>
      <c r="AA76" s="473"/>
      <c r="AB76" s="473"/>
      <c r="AC76" s="473"/>
      <c r="AD76" s="475"/>
      <c r="AF76" s="50"/>
    </row>
    <row r="77" spans="1:32" ht="33.75" customHeight="1">
      <c r="A77" s="484">
        <v>1</v>
      </c>
      <c r="B77" s="485"/>
      <c r="C77" s="389" t="s">
        <v>112</v>
      </c>
      <c r="D77" s="389"/>
      <c r="E77" s="65" t="s">
        <v>117</v>
      </c>
      <c r="F77" s="486" t="s">
        <v>116</v>
      </c>
      <c r="G77" s="487"/>
      <c r="H77" s="487"/>
      <c r="I77" s="487"/>
      <c r="J77" s="488"/>
      <c r="K77" s="489" t="s">
        <v>122</v>
      </c>
      <c r="L77" s="490"/>
      <c r="M77" s="490"/>
      <c r="N77" s="490"/>
      <c r="O77" s="490"/>
      <c r="P77" s="490"/>
      <c r="Q77" s="490"/>
      <c r="R77" s="490"/>
      <c r="S77" s="491"/>
      <c r="T77" s="492">
        <v>43675</v>
      </c>
      <c r="U77" s="493"/>
      <c r="V77" s="494"/>
      <c r="W77" s="494"/>
      <c r="X77" s="495"/>
      <c r="Y77" s="495"/>
      <c r="Z77" s="495"/>
      <c r="AA77" s="495"/>
      <c r="AB77" s="495"/>
      <c r="AC77" s="495"/>
      <c r="AD77" s="496"/>
      <c r="AF77" s="50"/>
    </row>
    <row r="78" spans="1:32" ht="30" customHeight="1">
      <c r="A78" s="476">
        <f>A77+1</f>
        <v>2</v>
      </c>
      <c r="B78" s="477"/>
      <c r="C78" s="388"/>
      <c r="D78" s="388"/>
      <c r="E78" s="32"/>
      <c r="F78" s="477"/>
      <c r="G78" s="477"/>
      <c r="H78" s="477"/>
      <c r="I78" s="477"/>
      <c r="J78" s="477"/>
      <c r="K78" s="478"/>
      <c r="L78" s="479"/>
      <c r="M78" s="479"/>
      <c r="N78" s="479"/>
      <c r="O78" s="479"/>
      <c r="P78" s="479"/>
      <c r="Q78" s="479"/>
      <c r="R78" s="479"/>
      <c r="S78" s="480"/>
      <c r="T78" s="481"/>
      <c r="U78" s="481"/>
      <c r="V78" s="481"/>
      <c r="W78" s="481"/>
      <c r="X78" s="482"/>
      <c r="Y78" s="482"/>
      <c r="Z78" s="482"/>
      <c r="AA78" s="482"/>
      <c r="AB78" s="482"/>
      <c r="AC78" s="482"/>
      <c r="AD78" s="483"/>
      <c r="AF78" s="50"/>
    </row>
    <row r="79" spans="1:32" ht="30" customHeight="1">
      <c r="A79" s="476">
        <f t="shared" ref="A79:A83" si="27">A78+1</f>
        <v>3</v>
      </c>
      <c r="B79" s="477"/>
      <c r="C79" s="388"/>
      <c r="D79" s="388"/>
      <c r="E79" s="32"/>
      <c r="F79" s="477"/>
      <c r="G79" s="477"/>
      <c r="H79" s="477"/>
      <c r="I79" s="477"/>
      <c r="J79" s="477"/>
      <c r="K79" s="478"/>
      <c r="L79" s="479"/>
      <c r="M79" s="479"/>
      <c r="N79" s="479"/>
      <c r="O79" s="479"/>
      <c r="P79" s="479"/>
      <c r="Q79" s="479"/>
      <c r="R79" s="479"/>
      <c r="S79" s="480"/>
      <c r="T79" s="481"/>
      <c r="U79" s="481"/>
      <c r="V79" s="481"/>
      <c r="W79" s="481"/>
      <c r="X79" s="482"/>
      <c r="Y79" s="482"/>
      <c r="Z79" s="482"/>
      <c r="AA79" s="482"/>
      <c r="AB79" s="482"/>
      <c r="AC79" s="482"/>
      <c r="AD79" s="483"/>
      <c r="AF79" s="50"/>
    </row>
    <row r="80" spans="1:32" ht="30" customHeight="1">
      <c r="A80" s="476">
        <f t="shared" si="27"/>
        <v>4</v>
      </c>
      <c r="B80" s="477"/>
      <c r="C80" s="388"/>
      <c r="D80" s="388"/>
      <c r="E80" s="32"/>
      <c r="F80" s="477"/>
      <c r="G80" s="477"/>
      <c r="H80" s="477"/>
      <c r="I80" s="477"/>
      <c r="J80" s="477"/>
      <c r="K80" s="478"/>
      <c r="L80" s="479"/>
      <c r="M80" s="479"/>
      <c r="N80" s="479"/>
      <c r="O80" s="479"/>
      <c r="P80" s="479"/>
      <c r="Q80" s="479"/>
      <c r="R80" s="479"/>
      <c r="S80" s="480"/>
      <c r="T80" s="481"/>
      <c r="U80" s="481"/>
      <c r="V80" s="481"/>
      <c r="W80" s="481"/>
      <c r="X80" s="482"/>
      <c r="Y80" s="482"/>
      <c r="Z80" s="482"/>
      <c r="AA80" s="482"/>
      <c r="AB80" s="482"/>
      <c r="AC80" s="482"/>
      <c r="AD80" s="483"/>
      <c r="AF80" s="50"/>
    </row>
    <row r="81" spans="1:32" ht="30" customHeight="1">
      <c r="A81" s="476">
        <f t="shared" si="27"/>
        <v>5</v>
      </c>
      <c r="B81" s="477"/>
      <c r="C81" s="388"/>
      <c r="D81" s="388"/>
      <c r="E81" s="32"/>
      <c r="F81" s="477"/>
      <c r="G81" s="477"/>
      <c r="H81" s="477"/>
      <c r="I81" s="477"/>
      <c r="J81" s="477"/>
      <c r="K81" s="478"/>
      <c r="L81" s="479"/>
      <c r="M81" s="479"/>
      <c r="N81" s="479"/>
      <c r="O81" s="479"/>
      <c r="P81" s="479"/>
      <c r="Q81" s="479"/>
      <c r="R81" s="479"/>
      <c r="S81" s="480"/>
      <c r="T81" s="481"/>
      <c r="U81" s="481"/>
      <c r="V81" s="481"/>
      <c r="W81" s="481"/>
      <c r="X81" s="482"/>
      <c r="Y81" s="482"/>
      <c r="Z81" s="482"/>
      <c r="AA81" s="482"/>
      <c r="AB81" s="482"/>
      <c r="AC81" s="482"/>
      <c r="AD81" s="483"/>
      <c r="AF81" s="50"/>
    </row>
    <row r="82" spans="1:32" ht="30" customHeight="1">
      <c r="A82" s="476">
        <f t="shared" si="27"/>
        <v>6</v>
      </c>
      <c r="B82" s="477"/>
      <c r="C82" s="388"/>
      <c r="D82" s="388"/>
      <c r="E82" s="32"/>
      <c r="F82" s="477"/>
      <c r="G82" s="477"/>
      <c r="H82" s="477"/>
      <c r="I82" s="477"/>
      <c r="J82" s="477"/>
      <c r="K82" s="478"/>
      <c r="L82" s="479"/>
      <c r="M82" s="479"/>
      <c r="N82" s="479"/>
      <c r="O82" s="479"/>
      <c r="P82" s="479"/>
      <c r="Q82" s="479"/>
      <c r="R82" s="479"/>
      <c r="S82" s="480"/>
      <c r="T82" s="481"/>
      <c r="U82" s="481"/>
      <c r="V82" s="481"/>
      <c r="W82" s="481"/>
      <c r="X82" s="482"/>
      <c r="Y82" s="482"/>
      <c r="Z82" s="482"/>
      <c r="AA82" s="482"/>
      <c r="AB82" s="482"/>
      <c r="AC82" s="482"/>
      <c r="AD82" s="483"/>
      <c r="AF82" s="50"/>
    </row>
    <row r="83" spans="1:32" ht="30" customHeight="1">
      <c r="A83" s="476">
        <f t="shared" si="27"/>
        <v>7</v>
      </c>
      <c r="B83" s="477"/>
      <c r="C83" s="388"/>
      <c r="D83" s="388"/>
      <c r="E83" s="32"/>
      <c r="F83" s="477"/>
      <c r="G83" s="477"/>
      <c r="H83" s="477"/>
      <c r="I83" s="477"/>
      <c r="J83" s="477"/>
      <c r="K83" s="478"/>
      <c r="L83" s="479"/>
      <c r="M83" s="479"/>
      <c r="N83" s="479"/>
      <c r="O83" s="479"/>
      <c r="P83" s="479"/>
      <c r="Q83" s="479"/>
      <c r="R83" s="479"/>
      <c r="S83" s="480"/>
      <c r="T83" s="481"/>
      <c r="U83" s="481"/>
      <c r="V83" s="481"/>
      <c r="W83" s="481"/>
      <c r="X83" s="482"/>
      <c r="Y83" s="482"/>
      <c r="Z83" s="482"/>
      <c r="AA83" s="482"/>
      <c r="AB83" s="482"/>
      <c r="AC83" s="482"/>
      <c r="AD83" s="483"/>
      <c r="AF83" s="50"/>
    </row>
    <row r="84" spans="1:32" ht="36" thickBot="1">
      <c r="A84" s="469" t="s">
        <v>671</v>
      </c>
      <c r="B84" s="469"/>
      <c r="C84" s="469"/>
      <c r="D84" s="469"/>
      <c r="E84" s="469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0" t="s">
        <v>111</v>
      </c>
      <c r="B85" s="471"/>
      <c r="C85" s="497" t="s">
        <v>52</v>
      </c>
      <c r="D85" s="497"/>
      <c r="E85" s="497" t="s">
        <v>53</v>
      </c>
      <c r="F85" s="497"/>
      <c r="G85" s="497"/>
      <c r="H85" s="497"/>
      <c r="I85" s="497"/>
      <c r="J85" s="497"/>
      <c r="K85" s="497" t="s">
        <v>54</v>
      </c>
      <c r="L85" s="497"/>
      <c r="M85" s="497"/>
      <c r="N85" s="497"/>
      <c r="O85" s="497"/>
      <c r="P85" s="497"/>
      <c r="Q85" s="497"/>
      <c r="R85" s="497"/>
      <c r="S85" s="497"/>
      <c r="T85" s="497" t="s">
        <v>55</v>
      </c>
      <c r="U85" s="497"/>
      <c r="V85" s="497" t="s">
        <v>56</v>
      </c>
      <c r="W85" s="497"/>
      <c r="X85" s="497"/>
      <c r="Y85" s="497" t="s">
        <v>51</v>
      </c>
      <c r="Z85" s="497"/>
      <c r="AA85" s="497"/>
      <c r="AB85" s="497"/>
      <c r="AC85" s="497"/>
      <c r="AD85" s="498"/>
      <c r="AF85" s="50"/>
    </row>
    <row r="86" spans="1:32" ht="30.75" customHeight="1">
      <c r="A86" s="484">
        <v>1</v>
      </c>
      <c r="B86" s="485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500"/>
      <c r="W86" s="500"/>
      <c r="X86" s="500"/>
      <c r="Y86" s="501"/>
      <c r="Z86" s="501"/>
      <c r="AA86" s="501"/>
      <c r="AB86" s="501"/>
      <c r="AC86" s="501"/>
      <c r="AD86" s="502"/>
      <c r="AF86" s="50"/>
    </row>
    <row r="87" spans="1:32" ht="30.75" customHeight="1">
      <c r="A87" s="476">
        <v>2</v>
      </c>
      <c r="B87" s="477"/>
      <c r="C87" s="510"/>
      <c r="D87" s="510"/>
      <c r="E87" s="510"/>
      <c r="F87" s="510"/>
      <c r="G87" s="510"/>
      <c r="H87" s="510"/>
      <c r="I87" s="510"/>
      <c r="J87" s="510"/>
      <c r="K87" s="510"/>
      <c r="L87" s="510"/>
      <c r="M87" s="510"/>
      <c r="N87" s="510"/>
      <c r="O87" s="510"/>
      <c r="P87" s="510"/>
      <c r="Q87" s="510"/>
      <c r="R87" s="510"/>
      <c r="S87" s="510"/>
      <c r="T87" s="511"/>
      <c r="U87" s="511"/>
      <c r="V87" s="512"/>
      <c r="W87" s="512"/>
      <c r="X87" s="512"/>
      <c r="Y87" s="503"/>
      <c r="Z87" s="503"/>
      <c r="AA87" s="503"/>
      <c r="AB87" s="503"/>
      <c r="AC87" s="503"/>
      <c r="AD87" s="504"/>
      <c r="AF87" s="50"/>
    </row>
    <row r="88" spans="1:32" ht="30.75" customHeight="1" thickBot="1">
      <c r="A88" s="505">
        <v>3</v>
      </c>
      <c r="B88" s="506"/>
      <c r="C88" s="507"/>
      <c r="D88" s="507"/>
      <c r="E88" s="507"/>
      <c r="F88" s="507"/>
      <c r="G88" s="507"/>
      <c r="H88" s="507"/>
      <c r="I88" s="507"/>
      <c r="J88" s="507"/>
      <c r="K88" s="507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07"/>
      <c r="X88" s="507"/>
      <c r="Y88" s="508"/>
      <c r="Z88" s="508"/>
      <c r="AA88" s="508"/>
      <c r="AB88" s="508"/>
      <c r="AC88" s="508"/>
      <c r="AD88" s="509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0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J15" sqref="AJ15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13" t="s">
        <v>185</v>
      </c>
      <c r="B1" s="513"/>
      <c r="C1" s="513"/>
      <c r="D1" s="513"/>
      <c r="E1" s="513"/>
      <c r="F1" s="513"/>
      <c r="G1" s="513"/>
      <c r="H1" s="513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4" t="s">
        <v>60</v>
      </c>
      <c r="B3" s="115">
        <f>'01'!AD6</f>
        <v>1</v>
      </c>
      <c r="C3" s="115">
        <f>'02'!AD6</f>
        <v>0.5</v>
      </c>
      <c r="D3" s="116"/>
      <c r="E3" s="116">
        <f>'04'!AD6</f>
        <v>0</v>
      </c>
      <c r="F3" s="116">
        <f>'05'!AD6</f>
        <v>1</v>
      </c>
      <c r="G3" s="116">
        <f>'06'!AD6</f>
        <v>1</v>
      </c>
      <c r="H3" s="116">
        <f>'07'!AD6</f>
        <v>0</v>
      </c>
      <c r="I3" s="116">
        <f>'08'!AD6</f>
        <v>1</v>
      </c>
      <c r="J3" s="116">
        <f>'09'!AD6</f>
        <v>0.75</v>
      </c>
      <c r="K3" s="116">
        <f>'10'!AD6</f>
        <v>0.375</v>
      </c>
      <c r="L3" s="116">
        <f>'11'!AD6</f>
        <v>0.41666666666666669</v>
      </c>
      <c r="M3" s="116">
        <f>'12'!AD6</f>
        <v>0.91666666666666663</v>
      </c>
      <c r="N3" s="117">
        <f>'13'!AD6</f>
        <v>0.66666666666666663</v>
      </c>
      <c r="O3" s="116">
        <f>'14'!AD6</f>
        <v>0</v>
      </c>
      <c r="P3" s="116">
        <f>'15'!AD6</f>
        <v>0.58333333333333337</v>
      </c>
      <c r="Q3" s="116">
        <f>'16'!AD6</f>
        <v>0.41666666666666669</v>
      </c>
      <c r="R3" s="116"/>
      <c r="S3" s="116">
        <f>'18'!AD6</f>
        <v>0.16666666666666666</v>
      </c>
      <c r="T3" s="116">
        <f>'19'!AD6</f>
        <v>0</v>
      </c>
      <c r="U3" s="116">
        <f>'20'!AD6</f>
        <v>0</v>
      </c>
      <c r="V3" s="116">
        <f>'21'!AD6</f>
        <v>0</v>
      </c>
      <c r="W3" s="117">
        <f>'22'!AD6</f>
        <v>0.83333333333333337</v>
      </c>
      <c r="X3" s="116"/>
      <c r="Y3" s="116"/>
      <c r="Z3" s="116">
        <f>'25'!AD6</f>
        <v>0.41666666666666669</v>
      </c>
      <c r="AA3" s="116">
        <f>'26'!AD6</f>
        <v>0</v>
      </c>
      <c r="AB3" s="116">
        <f>'27'!AD6</f>
        <v>0.16666666666666666</v>
      </c>
      <c r="AC3" s="116">
        <f>'28'!AD6</f>
        <v>0</v>
      </c>
      <c r="AD3" s="116">
        <f>'29'!AD6</f>
        <v>0.66666666666666663</v>
      </c>
      <c r="AE3" s="116"/>
      <c r="AF3" s="118"/>
      <c r="AG3" s="119">
        <f>SUM(B3:AF3)/31</f>
        <v>0.35080645161290319</v>
      </c>
    </row>
    <row r="4" spans="1:33" ht="21.75" customHeight="1">
      <c r="A4" s="101" t="s">
        <v>61</v>
      </c>
      <c r="B4" s="98">
        <f>'01'!AD7</f>
        <v>0</v>
      </c>
      <c r="C4" s="98">
        <f>'02'!AD7</f>
        <v>0</v>
      </c>
      <c r="D4" s="77"/>
      <c r="E4" s="77">
        <f>'04'!AD7</f>
        <v>0</v>
      </c>
      <c r="F4" s="77">
        <f>'05'!AD7</f>
        <v>0</v>
      </c>
      <c r="G4" s="77">
        <f>'06'!AD7</f>
        <v>0</v>
      </c>
      <c r="H4" s="77">
        <f>'07'!AD7</f>
        <v>0.875</v>
      </c>
      <c r="I4" s="77">
        <f>'08'!AD7</f>
        <v>0</v>
      </c>
      <c r="J4" s="77">
        <f>'09'!AD7</f>
        <v>0.58333333333333337</v>
      </c>
      <c r="K4" s="77">
        <f>'10'!AD7</f>
        <v>0.45833333333333331</v>
      </c>
      <c r="L4" s="77">
        <f>'11'!AD7</f>
        <v>1</v>
      </c>
      <c r="M4" s="77">
        <f>'12'!AD7</f>
        <v>0.41666666666666669</v>
      </c>
      <c r="N4" s="77">
        <f>'13'!AD7</f>
        <v>0</v>
      </c>
      <c r="O4" s="77">
        <f>'14'!AD7</f>
        <v>0</v>
      </c>
      <c r="P4" s="77">
        <f>'15'!AD7</f>
        <v>0</v>
      </c>
      <c r="Q4" s="77">
        <f>'16'!AD7</f>
        <v>0</v>
      </c>
      <c r="R4" s="77"/>
      <c r="S4" s="77">
        <f>'18'!AD7</f>
        <v>0.95833333333333337</v>
      </c>
      <c r="T4" s="77">
        <f>'19'!AD7</f>
        <v>0.58333333333333337</v>
      </c>
      <c r="U4" s="77">
        <f>'20'!AD7</f>
        <v>0</v>
      </c>
      <c r="V4" s="77">
        <f>'21'!AD7</f>
        <v>0</v>
      </c>
      <c r="W4" s="77">
        <f>'22'!AD7</f>
        <v>0.91666666666666663</v>
      </c>
      <c r="X4" s="77"/>
      <c r="Y4" s="77"/>
      <c r="Z4" s="77">
        <f>'25'!AD7</f>
        <v>1</v>
      </c>
      <c r="AA4" s="77">
        <f>'26'!AD7</f>
        <v>0.91666666666666663</v>
      </c>
      <c r="AB4" s="77">
        <f>'27'!AD7</f>
        <v>0</v>
      </c>
      <c r="AC4" s="77">
        <f>'28'!AD7</f>
        <v>0</v>
      </c>
      <c r="AD4" s="77">
        <f>'29'!AD7</f>
        <v>0</v>
      </c>
      <c r="AE4" s="77"/>
      <c r="AF4" s="78"/>
      <c r="AG4" s="79">
        <f t="shared" ref="AG4:AG19" si="0">SUM(B4:AF4)/31</f>
        <v>0.24865591397849465</v>
      </c>
    </row>
    <row r="5" spans="1:33" ht="21.75" customHeight="1">
      <c r="A5" s="100" t="s">
        <v>62</v>
      </c>
      <c r="B5" s="97">
        <f>'01'!AD8</f>
        <v>1</v>
      </c>
      <c r="C5" s="97">
        <f>'02'!AD8</f>
        <v>1</v>
      </c>
      <c r="D5" s="74"/>
      <c r="E5" s="74">
        <f>'04'!AD8</f>
        <v>0.41666666666666669</v>
      </c>
      <c r="F5" s="74">
        <f>'05'!AD8</f>
        <v>1</v>
      </c>
      <c r="G5" s="74">
        <f>'06'!AD8</f>
        <v>1</v>
      </c>
      <c r="H5" s="74">
        <f>'07'!AD8</f>
        <v>1</v>
      </c>
      <c r="I5" s="74">
        <f>'08'!AD8</f>
        <v>0</v>
      </c>
      <c r="J5" s="74">
        <f>'09'!AD8</f>
        <v>0</v>
      </c>
      <c r="K5" s="74">
        <f>'10'!AD8</f>
        <v>0</v>
      </c>
      <c r="L5" s="74">
        <f>'11'!AD8</f>
        <v>0.91666666666666663</v>
      </c>
      <c r="M5" s="74">
        <f>'12'!AD8</f>
        <v>0.875</v>
      </c>
      <c r="N5" s="74">
        <f>'13'!AD8</f>
        <v>1</v>
      </c>
      <c r="O5" s="74">
        <f>'14'!AD8</f>
        <v>1</v>
      </c>
      <c r="P5" s="74">
        <f>'15'!AD8</f>
        <v>1</v>
      </c>
      <c r="Q5" s="74">
        <f>'16'!AD8</f>
        <v>0.875</v>
      </c>
      <c r="R5" s="74"/>
      <c r="S5" s="74">
        <f>'18'!AD8</f>
        <v>0.375</v>
      </c>
      <c r="T5" s="74">
        <f>'19'!AD8</f>
        <v>0.75</v>
      </c>
      <c r="U5" s="74">
        <f>'20'!AD8</f>
        <v>0.83333333333333337</v>
      </c>
      <c r="V5" s="74">
        <f>'21'!AD8</f>
        <v>0.375</v>
      </c>
      <c r="W5" s="104">
        <f>'22'!AD8</f>
        <v>0.875</v>
      </c>
      <c r="X5" s="74"/>
      <c r="Y5" s="74"/>
      <c r="Z5" s="74">
        <f>'25'!AD8</f>
        <v>1</v>
      </c>
      <c r="AA5" s="74">
        <f>'26'!AD8</f>
        <v>0.54166666666666663</v>
      </c>
      <c r="AB5" s="74">
        <f>'27'!AD8</f>
        <v>0</v>
      </c>
      <c r="AC5" s="74">
        <f>'28'!AD8</f>
        <v>0</v>
      </c>
      <c r="AD5" s="74">
        <f>'29'!AD8</f>
        <v>0</v>
      </c>
      <c r="AE5" s="74"/>
      <c r="AF5" s="75"/>
      <c r="AG5" s="76">
        <f t="shared" si="0"/>
        <v>0.510752688172043</v>
      </c>
    </row>
    <row r="6" spans="1:33" ht="21.75" customHeight="1">
      <c r="A6" s="101" t="s">
        <v>63</v>
      </c>
      <c r="B6" s="98">
        <f>'01'!AD9</f>
        <v>1</v>
      </c>
      <c r="C6" s="98">
        <f>'02'!AD9</f>
        <v>0.875</v>
      </c>
      <c r="D6" s="77"/>
      <c r="E6" s="77">
        <f>'04'!AD9</f>
        <v>0.875</v>
      </c>
      <c r="F6" s="77">
        <f>'05'!AD9</f>
        <v>0.79166666666666663</v>
      </c>
      <c r="G6" s="77">
        <f>'06'!AD9</f>
        <v>0.625</v>
      </c>
      <c r="H6" s="77">
        <f>'07'!AD9</f>
        <v>0.45833333333333331</v>
      </c>
      <c r="I6" s="77">
        <f>'08'!AD9</f>
        <v>0.58333333333333337</v>
      </c>
      <c r="J6" s="77">
        <f>'09'!AD9</f>
        <v>0.41666666666666669</v>
      </c>
      <c r="K6" s="77">
        <f>'10'!AD9</f>
        <v>0</v>
      </c>
      <c r="L6" s="77">
        <f>'11'!AD9</f>
        <v>0.58333333333333337</v>
      </c>
      <c r="M6" s="77">
        <f>'12'!AD9</f>
        <v>0.875</v>
      </c>
      <c r="N6" s="77">
        <f>'13'!AD9</f>
        <v>1</v>
      </c>
      <c r="O6" s="77">
        <f>'14'!AD9+'14'!AD10</f>
        <v>0.58333333333333326</v>
      </c>
      <c r="P6" s="77">
        <f>'15'!AD9+'15'!AD10</f>
        <v>0.91666666666666663</v>
      </c>
      <c r="Q6" s="77">
        <f>'16'!AD9+'16'!AD10</f>
        <v>0.70833333333333337</v>
      </c>
      <c r="R6" s="77"/>
      <c r="S6" s="77">
        <f>'18'!AD9</f>
        <v>0.41666666666666669</v>
      </c>
      <c r="T6" s="77">
        <f>'19'!AD9</f>
        <v>0</v>
      </c>
      <c r="U6" s="77">
        <f>'20'!AD9</f>
        <v>0</v>
      </c>
      <c r="V6" s="77">
        <f>'21'!AD9</f>
        <v>0.54166666666666663</v>
      </c>
      <c r="W6" s="77">
        <f>'22'!AD9</f>
        <v>0</v>
      </c>
      <c r="X6" s="77"/>
      <c r="Y6" s="77"/>
      <c r="Z6" s="77">
        <f>'25'!AD9</f>
        <v>0.29166666666666669</v>
      </c>
      <c r="AA6" s="77">
        <f>'26'!AD9</f>
        <v>0</v>
      </c>
      <c r="AB6" s="77">
        <f>'27'!AD9</f>
        <v>0</v>
      </c>
      <c r="AC6" s="77">
        <f>'28'!AD9</f>
        <v>0</v>
      </c>
      <c r="AD6" s="77">
        <f>'29'!AD9</f>
        <v>0.41666666666666669</v>
      </c>
      <c r="AE6" s="77"/>
      <c r="AF6" s="78"/>
      <c r="AG6" s="79">
        <f t="shared" si="0"/>
        <v>0.38575268817204289</v>
      </c>
    </row>
    <row r="7" spans="1:33" ht="21.75" customHeight="1">
      <c r="A7" s="101" t="s">
        <v>64</v>
      </c>
      <c r="B7" s="98">
        <f>'01'!AD10</f>
        <v>1</v>
      </c>
      <c r="C7" s="98">
        <f>'02'!AD10</f>
        <v>1</v>
      </c>
      <c r="D7" s="77"/>
      <c r="E7" s="77">
        <f>'04'!AD10</f>
        <v>0.875</v>
      </c>
      <c r="F7" s="77">
        <f>'05'!AD10</f>
        <v>1</v>
      </c>
      <c r="G7" s="77">
        <f>'06'!AD10</f>
        <v>1</v>
      </c>
      <c r="H7" s="77">
        <f>'07'!AD10</f>
        <v>1</v>
      </c>
      <c r="I7" s="77">
        <f>'08'!AD10</f>
        <v>1</v>
      </c>
      <c r="J7" s="77">
        <f>'09'!AD10</f>
        <v>1</v>
      </c>
      <c r="K7" s="77">
        <f>'10'!AD10</f>
        <v>0.45833333333333331</v>
      </c>
      <c r="L7" s="77">
        <f>'11'!AD10</f>
        <v>1</v>
      </c>
      <c r="M7" s="77">
        <f>'12'!AD10</f>
        <v>1</v>
      </c>
      <c r="N7" s="77">
        <f>'13'!AD10</f>
        <v>0.20833333333333334</v>
      </c>
      <c r="O7" s="77">
        <f>'14'!AD11</f>
        <v>0</v>
      </c>
      <c r="P7" s="77">
        <f>'15'!AD11+'15'!AD12</f>
        <v>0.79166666666666663</v>
      </c>
      <c r="Q7" s="77">
        <f>'16'!AD11</f>
        <v>0.875</v>
      </c>
      <c r="R7" s="77"/>
      <c r="S7" s="77">
        <f>'18'!AD10</f>
        <v>1</v>
      </c>
      <c r="T7" s="77">
        <f>'19'!AD10</f>
        <v>1</v>
      </c>
      <c r="U7" s="77">
        <f>'20'!AD10</f>
        <v>1</v>
      </c>
      <c r="V7" s="77">
        <f>'21'!AD10</f>
        <v>0.66666666666666663</v>
      </c>
      <c r="W7" s="77">
        <f>'22'!AD10</f>
        <v>0</v>
      </c>
      <c r="X7" s="77"/>
      <c r="Y7" s="77"/>
      <c r="Z7" s="77">
        <f>'25'!AD10</f>
        <v>0</v>
      </c>
      <c r="AA7" s="77">
        <f>'26'!AD10</f>
        <v>0</v>
      </c>
      <c r="AB7" s="77">
        <f>'27'!AD10</f>
        <v>0.70833333333333337</v>
      </c>
      <c r="AC7" s="77">
        <f>'28'!AD10</f>
        <v>0</v>
      </c>
      <c r="AD7" s="77">
        <f>'29'!AD10</f>
        <v>0</v>
      </c>
      <c r="AE7" s="77"/>
      <c r="AF7" s="78"/>
      <c r="AG7" s="79">
        <f t="shared" si="0"/>
        <v>0.53494623655913975</v>
      </c>
    </row>
    <row r="8" spans="1:33" ht="21.75" customHeight="1">
      <c r="A8" s="101" t="s">
        <v>65</v>
      </c>
      <c r="B8" s="98">
        <f>'01'!AD11</f>
        <v>0.83333333333333337</v>
      </c>
      <c r="C8" s="98">
        <f>'02'!AD11</f>
        <v>0.91666666666666663</v>
      </c>
      <c r="D8" s="77"/>
      <c r="E8" s="77">
        <f>'04'!AD11</f>
        <v>1</v>
      </c>
      <c r="F8" s="77">
        <f>'05'!AD11</f>
        <v>1</v>
      </c>
      <c r="G8" s="77">
        <f>'06'!AD11</f>
        <v>0.5</v>
      </c>
      <c r="H8" s="77">
        <f>'07'!AD11</f>
        <v>0</v>
      </c>
      <c r="I8" s="77">
        <f>'08'!AD11</f>
        <v>0.625</v>
      </c>
      <c r="J8" s="77">
        <f>'09'!AD11</f>
        <v>1</v>
      </c>
      <c r="K8" s="77">
        <f>'10'!AD11</f>
        <v>0.45833333333333331</v>
      </c>
      <c r="L8" s="77">
        <f>'11'!AD11</f>
        <v>0.54166666666666663</v>
      </c>
      <c r="M8" s="77">
        <f>'12'!AD11+'12'!AD12</f>
        <v>0.91666666666666674</v>
      </c>
      <c r="N8" s="77">
        <f>'13'!AD11</f>
        <v>0.91666666666666663</v>
      </c>
      <c r="O8" s="77">
        <f>'14'!AD12</f>
        <v>1</v>
      </c>
      <c r="P8" s="77">
        <f>'15'!AD13</f>
        <v>1</v>
      </c>
      <c r="Q8" s="77">
        <f>'16'!AD12</f>
        <v>1</v>
      </c>
      <c r="R8" s="77"/>
      <c r="S8" s="77">
        <f>'18'!AD11</f>
        <v>0</v>
      </c>
      <c r="T8" s="77">
        <f>'19'!AD11</f>
        <v>0.66666666666666663</v>
      </c>
      <c r="U8" s="77">
        <f>'20'!AD11</f>
        <v>0.75</v>
      </c>
      <c r="V8" s="77">
        <f>'21'!AD11</f>
        <v>1</v>
      </c>
      <c r="W8" s="77">
        <f>'22'!AD11</f>
        <v>1</v>
      </c>
      <c r="X8" s="77"/>
      <c r="Y8" s="77"/>
      <c r="Z8" s="77">
        <f>'25'!AD11</f>
        <v>1</v>
      </c>
      <c r="AA8" s="77">
        <f>'26'!AD11</f>
        <v>1</v>
      </c>
      <c r="AB8" s="77">
        <f>'27'!AD11</f>
        <v>1</v>
      </c>
      <c r="AC8" s="77">
        <f>'28'!AD11</f>
        <v>1</v>
      </c>
      <c r="AD8" s="77">
        <f>'29'!AD11</f>
        <v>1</v>
      </c>
      <c r="AE8" s="77"/>
      <c r="AF8" s="78"/>
      <c r="AG8" s="79">
        <f t="shared" si="0"/>
        <v>0.64919354838709675</v>
      </c>
    </row>
    <row r="9" spans="1:33" ht="21.75" customHeight="1">
      <c r="A9" s="101" t="s">
        <v>66</v>
      </c>
      <c r="B9" s="98">
        <f>'01'!AD12</f>
        <v>0.66666666666666663</v>
      </c>
      <c r="C9" s="98">
        <f>'02'!AD12</f>
        <v>0.875</v>
      </c>
      <c r="D9" s="77"/>
      <c r="E9" s="77">
        <f>'04'!AD12</f>
        <v>0</v>
      </c>
      <c r="F9" s="77">
        <f>'05'!AD12</f>
        <v>0.66666666666666663</v>
      </c>
      <c r="G9" s="77">
        <f>'06'!AD12</f>
        <v>0.66666666666666663</v>
      </c>
      <c r="H9" s="77">
        <f>'07'!AD12</f>
        <v>1</v>
      </c>
      <c r="I9" s="77">
        <f>'08'!AD12+'08'!AD13</f>
        <v>0.95833333333333326</v>
      </c>
      <c r="J9" s="77">
        <f>'09'!AD12</f>
        <v>1</v>
      </c>
      <c r="K9" s="77">
        <f>'10'!AD12</f>
        <v>0.45833333333333331</v>
      </c>
      <c r="L9" s="77">
        <f>'11'!AD12</f>
        <v>1</v>
      </c>
      <c r="M9" s="77">
        <f>'12'!AD13+'12'!AD14</f>
        <v>0.70833333333333326</v>
      </c>
      <c r="N9" s="77">
        <f>'13'!AD12</f>
        <v>0.95833333333333337</v>
      </c>
      <c r="O9" s="77">
        <f>'14'!AD13</f>
        <v>1</v>
      </c>
      <c r="P9" s="77">
        <f>'15'!AD14</f>
        <v>1</v>
      </c>
      <c r="Q9" s="77">
        <f>'16'!AD13</f>
        <v>1</v>
      </c>
      <c r="R9" s="77"/>
      <c r="S9" s="77">
        <f>'18'!AD12</f>
        <v>0.16666666666666666</v>
      </c>
      <c r="T9" s="77">
        <f>'19'!AD12</f>
        <v>0.5</v>
      </c>
      <c r="U9" s="77">
        <f>'20'!AD12</f>
        <v>1</v>
      </c>
      <c r="V9" s="77">
        <f>'21'!AD12</f>
        <v>1</v>
      </c>
      <c r="W9" s="77">
        <f>'22'!AD12</f>
        <v>0.33333333333333331</v>
      </c>
      <c r="X9" s="77"/>
      <c r="Y9" s="77"/>
      <c r="Z9" s="77">
        <f>'25'!AD12</f>
        <v>0.29166666666666669</v>
      </c>
      <c r="AA9" s="77">
        <f>'26'!AD12</f>
        <v>0.33333333333333331</v>
      </c>
      <c r="AB9" s="77">
        <f>'27'!AD12+'27'!AD13</f>
        <v>0.875</v>
      </c>
      <c r="AC9" s="77">
        <f>'28'!AD12</f>
        <v>0</v>
      </c>
      <c r="AD9" s="77">
        <f>'29'!AD12</f>
        <v>0.5</v>
      </c>
      <c r="AE9" s="77"/>
      <c r="AF9" s="78"/>
      <c r="AG9" s="79">
        <f t="shared" si="0"/>
        <v>0.54704301075268813</v>
      </c>
    </row>
    <row r="10" spans="1:33" ht="21.75" customHeight="1">
      <c r="A10" s="101" t="s">
        <v>67</v>
      </c>
      <c r="B10" s="98">
        <f>'01'!AD13+'01'!AD14</f>
        <v>0.91666666666666674</v>
      </c>
      <c r="C10" s="98">
        <f>'02'!AD13</f>
        <v>1</v>
      </c>
      <c r="D10" s="77"/>
      <c r="E10" s="77">
        <f>'04'!AD13</f>
        <v>0.91666666666666663</v>
      </c>
      <c r="F10" s="77">
        <f>'05'!AD13</f>
        <v>1</v>
      </c>
      <c r="G10" s="77">
        <f>'06'!AD13</f>
        <v>0.875</v>
      </c>
      <c r="H10" s="77">
        <f>'07'!AD13+'07'!AD14</f>
        <v>0.75</v>
      </c>
      <c r="I10" s="77">
        <f>'08'!AD14</f>
        <v>0.83333333333333337</v>
      </c>
      <c r="J10" s="77">
        <f>'09'!AD13</f>
        <v>0.83333333333333337</v>
      </c>
      <c r="K10" s="77">
        <f>'10'!AD13</f>
        <v>0.45833333333333331</v>
      </c>
      <c r="L10" s="77">
        <f>'11'!AD13</f>
        <v>0.54166666666666663</v>
      </c>
      <c r="M10" s="77">
        <f>'12'!AD15</f>
        <v>1</v>
      </c>
      <c r="N10" s="77">
        <f>'13'!AD13</f>
        <v>0.75</v>
      </c>
      <c r="O10" s="77">
        <f>'14'!AD14</f>
        <v>1</v>
      </c>
      <c r="P10" s="77">
        <f>'15'!AD15</f>
        <v>0.625</v>
      </c>
      <c r="Q10" s="77">
        <f>'16'!AD14</f>
        <v>0.83333333333333337</v>
      </c>
      <c r="R10" s="77"/>
      <c r="S10" s="77">
        <f>'18'!AD13</f>
        <v>0.875</v>
      </c>
      <c r="T10" s="77">
        <f>'19'!AD13+'19'!AD14</f>
        <v>0.95833333333333326</v>
      </c>
      <c r="U10" s="77">
        <f>'20'!AD13</f>
        <v>1</v>
      </c>
      <c r="V10" s="77">
        <f>'21'!AD13</f>
        <v>0.91666666666666663</v>
      </c>
      <c r="W10" s="77">
        <f>'22'!AD13+'22'!AD14</f>
        <v>0.79166666666666674</v>
      </c>
      <c r="X10" s="77"/>
      <c r="Y10" s="77"/>
      <c r="Z10" s="77">
        <f>'25'!AD13+'25'!AD14</f>
        <v>0.66666666666666674</v>
      </c>
      <c r="AA10" s="77">
        <f>'26'!AD13</f>
        <v>0.375</v>
      </c>
      <c r="AB10" s="77">
        <f>'27'!AD14</f>
        <v>0</v>
      </c>
      <c r="AC10" s="77">
        <f>'28'!AD13</f>
        <v>8.3333333333333329E-2</v>
      </c>
      <c r="AD10" s="77">
        <f>'29'!AD13</f>
        <v>0.58333333333333337</v>
      </c>
      <c r="AE10" s="77"/>
      <c r="AF10" s="78"/>
      <c r="AG10" s="79">
        <f t="shared" si="0"/>
        <v>0.59946236559139787</v>
      </c>
    </row>
    <row r="11" spans="1:33" ht="21.75" customHeight="1">
      <c r="A11" s="107" t="s">
        <v>68</v>
      </c>
      <c r="B11" s="108">
        <f>'01'!AD15</f>
        <v>0</v>
      </c>
      <c r="C11" s="108">
        <f>'02'!AD14</f>
        <v>0.25</v>
      </c>
      <c r="D11" s="109"/>
      <c r="E11" s="109">
        <f>'04'!AD14</f>
        <v>0</v>
      </c>
      <c r="F11" s="109">
        <f>'05'!AD14</f>
        <v>0</v>
      </c>
      <c r="G11" s="109">
        <f>'06'!AD14</f>
        <v>0</v>
      </c>
      <c r="H11" s="109">
        <f>'07'!AD15</f>
        <v>0</v>
      </c>
      <c r="I11" s="109">
        <f>'08'!AD15</f>
        <v>0</v>
      </c>
      <c r="J11" s="109">
        <f>'09'!AD14</f>
        <v>0</v>
      </c>
      <c r="K11" s="109">
        <f>'10'!AD14</f>
        <v>0</v>
      </c>
      <c r="L11" s="109">
        <f>'11'!AD14</f>
        <v>0</v>
      </c>
      <c r="M11" s="109">
        <f>'12'!AD16</f>
        <v>0</v>
      </c>
      <c r="N11" s="109">
        <f>'13'!AD14</f>
        <v>0</v>
      </c>
      <c r="O11" s="109">
        <f>'14'!AD15</f>
        <v>0</v>
      </c>
      <c r="P11" s="109">
        <f>'15'!AD16</f>
        <v>0</v>
      </c>
      <c r="Q11" s="109">
        <f>'16'!AD15</f>
        <v>0</v>
      </c>
      <c r="R11" s="109"/>
      <c r="S11" s="109">
        <f>'18'!AD14</f>
        <v>0</v>
      </c>
      <c r="T11" s="109">
        <f>'19'!AD15</f>
        <v>0</v>
      </c>
      <c r="U11" s="109">
        <f>'20'!AD14</f>
        <v>0</v>
      </c>
      <c r="V11" s="109">
        <f>'21'!AD14</f>
        <v>0.41666666666666669</v>
      </c>
      <c r="W11" s="109">
        <f>'22'!AD15</f>
        <v>0.41666666666666669</v>
      </c>
      <c r="X11" s="109"/>
      <c r="Y11" s="109"/>
      <c r="Z11" s="109">
        <f>'25'!AD15</f>
        <v>0.45833333333333331</v>
      </c>
      <c r="AA11" s="109">
        <f>'26'!AD14</f>
        <v>0.5</v>
      </c>
      <c r="AB11" s="109">
        <f>'27'!AD15</f>
        <v>0</v>
      </c>
      <c r="AC11" s="109">
        <f>'28'!AD14</f>
        <v>0</v>
      </c>
      <c r="AD11" s="109">
        <f>'29'!AD14</f>
        <v>0</v>
      </c>
      <c r="AE11" s="109"/>
      <c r="AF11" s="110"/>
      <c r="AG11" s="111">
        <f t="shared" si="0"/>
        <v>6.5860215053763452E-2</v>
      </c>
    </row>
    <row r="12" spans="1:33" ht="21.75" customHeight="1">
      <c r="A12" s="100" t="s">
        <v>69</v>
      </c>
      <c r="B12" s="97">
        <f>'01'!AD16</f>
        <v>0</v>
      </c>
      <c r="C12" s="97">
        <f>'02'!AD15</f>
        <v>0</v>
      </c>
      <c r="D12" s="74"/>
      <c r="E12" s="74">
        <f>'04'!AD15</f>
        <v>0</v>
      </c>
      <c r="F12" s="74">
        <f>'05'!AD15</f>
        <v>0</v>
      </c>
      <c r="G12" s="74">
        <f>'06'!AD15</f>
        <v>0</v>
      </c>
      <c r="H12" s="74">
        <f>'07'!AD16</f>
        <v>0.20833333333333334</v>
      </c>
      <c r="I12" s="74">
        <f>'08'!AD16</f>
        <v>0</v>
      </c>
      <c r="J12" s="74">
        <f>'09'!AD15</f>
        <v>0</v>
      </c>
      <c r="K12" s="74">
        <f>'10'!AD15</f>
        <v>0</v>
      </c>
      <c r="L12" s="74">
        <f>'11'!AD15</f>
        <v>0</v>
      </c>
      <c r="M12" s="74">
        <f>'12'!AD17</f>
        <v>0</v>
      </c>
      <c r="N12" s="74">
        <f>'13'!AD15</f>
        <v>0</v>
      </c>
      <c r="O12" s="74">
        <f>'14'!AD16</f>
        <v>0</v>
      </c>
      <c r="P12" s="74">
        <f>'15'!AD17</f>
        <v>0.20833333333333334</v>
      </c>
      <c r="Q12" s="74">
        <f>'16'!AD16</f>
        <v>0.95833333333333337</v>
      </c>
      <c r="R12" s="74"/>
      <c r="S12" s="74">
        <f>'18'!AD15</f>
        <v>0</v>
      </c>
      <c r="T12" s="74">
        <f>'19'!AD16</f>
        <v>0</v>
      </c>
      <c r="U12" s="74">
        <f>'20'!AD15</f>
        <v>0</v>
      </c>
      <c r="V12" s="74">
        <f>'21'!AD15</f>
        <v>0</v>
      </c>
      <c r="W12" s="74">
        <f>'22'!AD16</f>
        <v>0</v>
      </c>
      <c r="X12" s="74"/>
      <c r="Y12" s="74"/>
      <c r="Z12" s="74">
        <f>'25'!AD16</f>
        <v>0</v>
      </c>
      <c r="AA12" s="74">
        <f>'26'!AD15</f>
        <v>0</v>
      </c>
      <c r="AB12" s="74">
        <f>'27'!AD16</f>
        <v>0</v>
      </c>
      <c r="AC12" s="74">
        <f>'28'!AD15</f>
        <v>0</v>
      </c>
      <c r="AD12" s="74">
        <f>'29'!AD15</f>
        <v>0.70833333333333337</v>
      </c>
      <c r="AE12" s="74"/>
      <c r="AF12" s="75"/>
      <c r="AG12" s="76">
        <f t="shared" si="0"/>
        <v>6.7204301075268827E-2</v>
      </c>
    </row>
    <row r="13" spans="1:33" ht="21.75" customHeight="1">
      <c r="A13" s="100" t="s">
        <v>70</v>
      </c>
      <c r="B13" s="97">
        <f>'01'!AD17</f>
        <v>1</v>
      </c>
      <c r="C13" s="97">
        <f>'02'!AD16</f>
        <v>1</v>
      </c>
      <c r="D13" s="74"/>
      <c r="E13" s="74">
        <f>'04'!AD16</f>
        <v>0.66666666666666663</v>
      </c>
      <c r="F13" s="74">
        <f>'05'!AD16</f>
        <v>1</v>
      </c>
      <c r="G13" s="74">
        <f>'06'!AD16</f>
        <v>1</v>
      </c>
      <c r="H13" s="74">
        <f>'07'!AD17</f>
        <v>1</v>
      </c>
      <c r="I13" s="74">
        <f>'08'!AD17</f>
        <v>1</v>
      </c>
      <c r="J13" s="74">
        <f>'09'!AD16</f>
        <v>0.20833333333333334</v>
      </c>
      <c r="K13" s="74">
        <f>'10'!AD16</f>
        <v>0</v>
      </c>
      <c r="L13" s="74">
        <f>'11'!AD16</f>
        <v>0</v>
      </c>
      <c r="M13" s="74">
        <f>'12'!AD18</f>
        <v>0</v>
      </c>
      <c r="N13" s="74">
        <f>'13'!AD16</f>
        <v>0</v>
      </c>
      <c r="O13" s="74">
        <f>'14'!AD17</f>
        <v>0</v>
      </c>
      <c r="P13" s="74">
        <f>'15'!AD18</f>
        <v>0</v>
      </c>
      <c r="Q13" s="74">
        <f>'16'!AD17</f>
        <v>0</v>
      </c>
      <c r="R13" s="74"/>
      <c r="S13" s="74">
        <f>'18'!AD16</f>
        <v>0</v>
      </c>
      <c r="T13" s="74">
        <f>'19'!AD17</f>
        <v>0</v>
      </c>
      <c r="U13" s="74">
        <f>'20'!AD16</f>
        <v>0</v>
      </c>
      <c r="V13" s="74">
        <f>'21'!AD16</f>
        <v>0</v>
      </c>
      <c r="W13" s="74">
        <f>'22'!AD17</f>
        <v>0</v>
      </c>
      <c r="X13" s="74"/>
      <c r="Y13" s="74"/>
      <c r="Z13" s="74">
        <f>'25'!AD17</f>
        <v>0</v>
      </c>
      <c r="AA13" s="74">
        <f>'26'!AD16</f>
        <v>0</v>
      </c>
      <c r="AB13" s="74">
        <f>'27'!AD17</f>
        <v>0</v>
      </c>
      <c r="AC13" s="74">
        <f>'28'!AD16</f>
        <v>0</v>
      </c>
      <c r="AD13" s="74">
        <f>'29'!AD16</f>
        <v>0</v>
      </c>
      <c r="AE13" s="74"/>
      <c r="AF13" s="75"/>
      <c r="AG13" s="76">
        <f t="shared" si="0"/>
        <v>0.22177419354838707</v>
      </c>
    </row>
    <row r="14" spans="1:33" ht="21.75" customHeight="1">
      <c r="A14" s="100" t="s">
        <v>71</v>
      </c>
      <c r="B14" s="97">
        <f>'01'!AD18</f>
        <v>0</v>
      </c>
      <c r="C14" s="97">
        <f>'02'!AD17</f>
        <v>0</v>
      </c>
      <c r="D14" s="74"/>
      <c r="E14" s="74">
        <f>'04'!AD17</f>
        <v>0</v>
      </c>
      <c r="F14" s="74">
        <f>'05'!AD17</f>
        <v>0</v>
      </c>
      <c r="G14" s="74">
        <f>'06'!AD17</f>
        <v>0.83333333333333337</v>
      </c>
      <c r="H14" s="74">
        <f>'07'!AD18</f>
        <v>0.70833333333333337</v>
      </c>
      <c r="I14" s="74">
        <f>'08'!AD18</f>
        <v>1</v>
      </c>
      <c r="J14" s="74">
        <f>'09'!AD17</f>
        <v>1</v>
      </c>
      <c r="K14" s="74">
        <f>'10'!AD17</f>
        <v>0.375</v>
      </c>
      <c r="L14" s="74">
        <f>'11'!AD17</f>
        <v>0.25</v>
      </c>
      <c r="M14" s="74">
        <f>'12'!AD19</f>
        <v>0</v>
      </c>
      <c r="N14" s="74">
        <f>'13'!AD17</f>
        <v>0</v>
      </c>
      <c r="O14" s="74">
        <f>'14'!AD18</f>
        <v>0</v>
      </c>
      <c r="P14" s="74">
        <f>'15'!AD19</f>
        <v>0</v>
      </c>
      <c r="Q14" s="74">
        <f>'16'!AD18</f>
        <v>0</v>
      </c>
      <c r="R14" s="74"/>
      <c r="S14" s="74">
        <f>'18'!AD17</f>
        <v>0</v>
      </c>
      <c r="T14" s="74">
        <f>'19'!AD18</f>
        <v>0</v>
      </c>
      <c r="U14" s="74">
        <f>'20'!AD17</f>
        <v>0</v>
      </c>
      <c r="V14" s="74">
        <f>'21'!AD17</f>
        <v>0.25</v>
      </c>
      <c r="W14" s="74">
        <f>'22'!AD18</f>
        <v>0</v>
      </c>
      <c r="X14" s="74"/>
      <c r="Y14" s="74"/>
      <c r="Z14" s="74">
        <f>'25'!AD18</f>
        <v>0.16666666666666666</v>
      </c>
      <c r="AA14" s="74">
        <f>'26'!AD17</f>
        <v>0</v>
      </c>
      <c r="AB14" s="74">
        <f>'27'!AD18</f>
        <v>0.70833333333333337</v>
      </c>
      <c r="AC14" s="74">
        <f>'28'!AD17</f>
        <v>0</v>
      </c>
      <c r="AD14" s="74">
        <f>'29'!AD17</f>
        <v>0</v>
      </c>
      <c r="AE14" s="74"/>
      <c r="AF14" s="75"/>
      <c r="AG14" s="76">
        <f t="shared" si="0"/>
        <v>0.17069892473118281</v>
      </c>
    </row>
    <row r="15" spans="1:33" ht="21.75" customHeight="1">
      <c r="A15" s="101" t="s">
        <v>72</v>
      </c>
      <c r="B15" s="98">
        <f>'01'!AD19+'01'!AD20</f>
        <v>0.45833333333333337</v>
      </c>
      <c r="C15" s="98">
        <f>'02'!AD18</f>
        <v>0.79166666666666663</v>
      </c>
      <c r="D15" s="77"/>
      <c r="E15" s="77">
        <f>'04'!AD18+'04'!AD19</f>
        <v>0.875</v>
      </c>
      <c r="F15" s="77">
        <f>'05'!AD18</f>
        <v>1</v>
      </c>
      <c r="G15" s="77">
        <f>'06'!AD18</f>
        <v>1</v>
      </c>
      <c r="H15" s="77">
        <f>'07'!AD19</f>
        <v>1</v>
      </c>
      <c r="I15" s="77">
        <f>'08'!AD19</f>
        <v>0.45833333333333331</v>
      </c>
      <c r="J15" s="77">
        <f>'09'!AD18</f>
        <v>0.875</v>
      </c>
      <c r="K15" s="77">
        <f>'10'!AD18</f>
        <v>0.41666666666666669</v>
      </c>
      <c r="L15" s="77">
        <f>'11'!AD18</f>
        <v>0.20833333333333334</v>
      </c>
      <c r="M15" s="77">
        <f>'12'!AD20</f>
        <v>0.83333333333333337</v>
      </c>
      <c r="N15" s="77">
        <f>'13'!AD18</f>
        <v>0.29166666666666669</v>
      </c>
      <c r="O15" s="77">
        <f>'14'!AD19+'14'!AD20+'14'!AD21</f>
        <v>0.75</v>
      </c>
      <c r="P15" s="77">
        <f>'15'!AD20</f>
        <v>0.95833333333333337</v>
      </c>
      <c r="Q15" s="77">
        <f>'16'!AD19</f>
        <v>1</v>
      </c>
      <c r="R15" s="77"/>
      <c r="S15" s="77">
        <f>'18'!AD18</f>
        <v>0.75</v>
      </c>
      <c r="T15" s="77">
        <f>'19'!AD19</f>
        <v>0.58333333333333337</v>
      </c>
      <c r="U15" s="77">
        <f>'20'!AD18</f>
        <v>1</v>
      </c>
      <c r="V15" s="77">
        <f>'21'!AD18</f>
        <v>1</v>
      </c>
      <c r="W15" s="77">
        <f>'22'!AD19</f>
        <v>1</v>
      </c>
      <c r="X15" s="77"/>
      <c r="Y15" s="77"/>
      <c r="Z15" s="77">
        <f>'25'!AD19</f>
        <v>1</v>
      </c>
      <c r="AA15" s="77">
        <f>'26'!AD18</f>
        <v>1</v>
      </c>
      <c r="AB15" s="77">
        <f>'27'!AD19</f>
        <v>0.20833333333333334</v>
      </c>
      <c r="AC15" s="77">
        <f>'28'!AD18</f>
        <v>0.79166666666666663</v>
      </c>
      <c r="AD15" s="77">
        <f>'29'!AD18</f>
        <v>1</v>
      </c>
      <c r="AE15" s="77"/>
      <c r="AF15" s="78"/>
      <c r="AG15" s="79">
        <f t="shared" si="0"/>
        <v>0.62096774193548387</v>
      </c>
    </row>
    <row r="16" spans="1:33" ht="21.75" customHeight="1">
      <c r="A16" s="101" t="s">
        <v>128</v>
      </c>
      <c r="B16" s="98">
        <f>'01'!AD21</f>
        <v>1</v>
      </c>
      <c r="C16" s="98">
        <f>'02'!AD19</f>
        <v>1</v>
      </c>
      <c r="D16" s="77"/>
      <c r="E16" s="77">
        <f>'04'!AD20</f>
        <v>0.54166666666666663</v>
      </c>
      <c r="F16" s="77">
        <f>'05'!AD19</f>
        <v>1</v>
      </c>
      <c r="G16" s="77">
        <f>'06'!AD19</f>
        <v>0.66666666666666663</v>
      </c>
      <c r="H16" s="77">
        <f>'07'!AD20</f>
        <v>0.91666666666666663</v>
      </c>
      <c r="I16" s="77">
        <f>'08'!AD20+'08'!AD21</f>
        <v>0.95833333333333337</v>
      </c>
      <c r="J16" s="77">
        <f>'09'!AD19</f>
        <v>0.58333333333333337</v>
      </c>
      <c r="K16" s="77">
        <f>'10'!AD19</f>
        <v>0.20833333333333334</v>
      </c>
      <c r="L16" s="77">
        <f>'11'!AD19+'11'!AD20</f>
        <v>0.95833333333333337</v>
      </c>
      <c r="M16" s="77">
        <f>'12'!AD21+'12'!AD22</f>
        <v>0.91666666666666663</v>
      </c>
      <c r="N16" s="77">
        <f>'13'!AD19+'13'!AD20</f>
        <v>0.91666666666666674</v>
      </c>
      <c r="O16" s="77">
        <f>'14'!AD22+'14'!AD23</f>
        <v>0.58333333333333337</v>
      </c>
      <c r="P16" s="77">
        <f>'15'!AD21+'15'!AD22</f>
        <v>0.79166666666666663</v>
      </c>
      <c r="Q16" s="77">
        <f>'16'!AD20</f>
        <v>1</v>
      </c>
      <c r="R16" s="77"/>
      <c r="S16" s="77">
        <f>'18'!AD19</f>
        <v>0.375</v>
      </c>
      <c r="T16" s="77">
        <f>'19'!AD20</f>
        <v>1</v>
      </c>
      <c r="U16" s="77">
        <f>'20'!AD19</f>
        <v>1</v>
      </c>
      <c r="V16" s="77">
        <f>'21'!AD19+'21'!AD20</f>
        <v>0.83333333333333337</v>
      </c>
      <c r="W16" s="77">
        <f>'22'!AD20</f>
        <v>1.0081526169900539</v>
      </c>
      <c r="X16" s="77"/>
      <c r="Y16" s="77"/>
      <c r="Z16" s="77">
        <f>'25'!AD20</f>
        <v>1</v>
      </c>
      <c r="AA16" s="77">
        <f>'26'!AD19+'26'!AD20</f>
        <v>0.54166666666666674</v>
      </c>
      <c r="AB16" s="77">
        <f>'27'!AD20</f>
        <v>1</v>
      </c>
      <c r="AC16" s="77">
        <f>'28'!AD19</f>
        <v>1</v>
      </c>
      <c r="AD16" s="77">
        <f>'29'!AD19+'29'!AD20</f>
        <v>0.66666666666666674</v>
      </c>
      <c r="AE16" s="77"/>
      <c r="AF16" s="78"/>
      <c r="AG16" s="79">
        <f t="shared" si="0"/>
        <v>0.66020922420398032</v>
      </c>
    </row>
    <row r="17" spans="1:33" ht="21.75" customHeight="1">
      <c r="A17" s="101" t="s">
        <v>129</v>
      </c>
      <c r="B17" s="98">
        <f>'01'!AD22</f>
        <v>0.33333333333333331</v>
      </c>
      <c r="C17" s="98">
        <f>'02'!AD20</f>
        <v>0.125</v>
      </c>
      <c r="D17" s="77"/>
      <c r="E17" s="77">
        <f>'04'!AD21</f>
        <v>0.41666666666666669</v>
      </c>
      <c r="F17" s="77">
        <f>'05'!AD20</f>
        <v>0.29166666666666669</v>
      </c>
      <c r="G17" s="77">
        <f>'06'!AD20</f>
        <v>0.58333333333333337</v>
      </c>
      <c r="H17" s="77">
        <f>'07'!AD21</f>
        <v>0.66666666666666663</v>
      </c>
      <c r="I17" s="77">
        <f>'08'!AD22</f>
        <v>0.45833333333333331</v>
      </c>
      <c r="J17" s="77">
        <f>'09'!AD20</f>
        <v>0.45833333333333331</v>
      </c>
      <c r="K17" s="77">
        <f>'10'!AD20</f>
        <v>0.16666666666666666</v>
      </c>
      <c r="L17" s="77">
        <f>'11'!AD21</f>
        <v>0.79166666666666663</v>
      </c>
      <c r="M17" s="77">
        <f>'12'!AD23</f>
        <v>0.91666666666666663</v>
      </c>
      <c r="N17" s="77">
        <f>'13'!AD21</f>
        <v>1</v>
      </c>
      <c r="O17" s="77">
        <f>'14'!AD24</f>
        <v>0.16666666666666666</v>
      </c>
      <c r="P17" s="77">
        <f>'15'!AD23</f>
        <v>0</v>
      </c>
      <c r="Q17" s="77">
        <f>'16'!AD21</f>
        <v>0.79166666666666663</v>
      </c>
      <c r="R17" s="77"/>
      <c r="S17" s="77">
        <f>'18'!AD20</f>
        <v>0.16666666666666666</v>
      </c>
      <c r="T17" s="77">
        <f>'19'!AD21</f>
        <v>0</v>
      </c>
      <c r="U17" s="77">
        <f>'20'!AD20</f>
        <v>0.5</v>
      </c>
      <c r="V17" s="77">
        <f>'21'!AD21</f>
        <v>0.29166666666666669</v>
      </c>
      <c r="W17" s="77">
        <f>'22'!AD21</f>
        <v>0.875</v>
      </c>
      <c r="X17" s="77"/>
      <c r="Y17" s="77"/>
      <c r="Z17" s="77">
        <f>'25'!AD21</f>
        <v>1</v>
      </c>
      <c r="AA17" s="77">
        <f>'26'!AD21</f>
        <v>1</v>
      </c>
      <c r="AB17" s="77">
        <f>'27'!AD21</f>
        <v>1</v>
      </c>
      <c r="AC17" s="77">
        <f>'28'!AD20</f>
        <v>1</v>
      </c>
      <c r="AD17" s="77">
        <f>'29'!AD21</f>
        <v>0</v>
      </c>
      <c r="AE17" s="77"/>
      <c r="AF17" s="78"/>
      <c r="AG17" s="79">
        <f t="shared" si="0"/>
        <v>0.41935483870967749</v>
      </c>
    </row>
    <row r="18" spans="1:33" ht="21.75" customHeight="1" thickBot="1">
      <c r="A18" s="102" t="s">
        <v>130</v>
      </c>
      <c r="B18" s="99">
        <f>'01'!AD23</f>
        <v>0.25</v>
      </c>
      <c r="C18" s="99">
        <f>'02'!AD21</f>
        <v>0</v>
      </c>
      <c r="D18" s="80"/>
      <c r="E18" s="80">
        <f>'04'!AD22</f>
        <v>0.33333333333333331</v>
      </c>
      <c r="F18" s="80">
        <f>'05'!AD21</f>
        <v>0.5</v>
      </c>
      <c r="G18" s="80">
        <f>'06'!AD21</f>
        <v>0.5</v>
      </c>
      <c r="H18" s="80">
        <f>'07'!AD22</f>
        <v>0.5</v>
      </c>
      <c r="I18" s="80">
        <f>'08'!AD23</f>
        <v>0.5</v>
      </c>
      <c r="J18" s="80">
        <f>'09'!AD21</f>
        <v>0.5</v>
      </c>
      <c r="K18" s="80">
        <f>'10'!AD21</f>
        <v>0.45833333333333331</v>
      </c>
      <c r="L18" s="80">
        <f>'11'!AD22</f>
        <v>0.45833333333333331</v>
      </c>
      <c r="M18" s="80">
        <f>'12'!AD24</f>
        <v>0.45833333333333331</v>
      </c>
      <c r="N18" s="80">
        <f>'13'!AD22</f>
        <v>0.45833333333333331</v>
      </c>
      <c r="O18" s="80">
        <f>'14'!AD25</f>
        <v>0.41666666666666669</v>
      </c>
      <c r="P18" s="80">
        <f>'15'!AD24</f>
        <v>0.41666666666666669</v>
      </c>
      <c r="Q18" s="80">
        <f>'16'!AD22</f>
        <v>0</v>
      </c>
      <c r="R18" s="80"/>
      <c r="S18" s="80">
        <f>'18'!AD21</f>
        <v>1</v>
      </c>
      <c r="T18" s="80">
        <f>'19'!AD22</f>
        <v>0.41666666666666669</v>
      </c>
      <c r="U18" s="80">
        <f>'20'!AD21</f>
        <v>0.41666666666666669</v>
      </c>
      <c r="V18" s="80">
        <f>'21'!AD22</f>
        <v>0.91666666666666663</v>
      </c>
      <c r="W18" s="80">
        <f>'22'!AD22</f>
        <v>1</v>
      </c>
      <c r="X18" s="80"/>
      <c r="Y18" s="80"/>
      <c r="Z18" s="80">
        <f>'25'!AD22</f>
        <v>0.41666666666666669</v>
      </c>
      <c r="AA18" s="80">
        <f>'26'!AD22</f>
        <v>1</v>
      </c>
      <c r="AB18" s="80">
        <f>'27'!AD22</f>
        <v>1</v>
      </c>
      <c r="AC18" s="80">
        <f>'28'!AD21</f>
        <v>1</v>
      </c>
      <c r="AD18" s="80">
        <f>'29'!AD22</f>
        <v>1</v>
      </c>
      <c r="AE18" s="80"/>
      <c r="AF18" s="81"/>
      <c r="AG18" s="82">
        <f t="shared" si="0"/>
        <v>0.44892473118279569</v>
      </c>
    </row>
    <row r="19" spans="1:33" s="83" customFormat="1" ht="21.75" customHeight="1">
      <c r="A19" s="87" t="s">
        <v>104</v>
      </c>
      <c r="B19" s="91">
        <f>'01'!AD24</f>
        <v>0.52546296296296302</v>
      </c>
      <c r="C19" s="91">
        <f>'02'!AD22</f>
        <v>0.58333333333333337</v>
      </c>
      <c r="D19" s="92"/>
      <c r="E19" s="92">
        <f>'04'!AD23</f>
        <v>0.40686274509803927</v>
      </c>
      <c r="F19" s="92">
        <f>'05'!AD22</f>
        <v>0.64062499999999989</v>
      </c>
      <c r="G19" s="92">
        <f>'06'!AD22</f>
        <v>0.640625</v>
      </c>
      <c r="H19" s="92">
        <f>'07'!AD23</f>
        <v>0.59313725490196068</v>
      </c>
      <c r="I19" s="92">
        <f>'08'!AD24</f>
        <v>0.52083333333333337</v>
      </c>
      <c r="J19" s="92">
        <f>'09'!AD22</f>
        <v>0.57552083333333337</v>
      </c>
      <c r="K19" s="92">
        <f>'10'!AD22</f>
        <v>0.26822916666666663</v>
      </c>
      <c r="L19" s="92">
        <f>'11'!AD23</f>
        <v>0.50980392156862753</v>
      </c>
      <c r="M19" s="92">
        <f>'12'!AD25</f>
        <v>0.51754385964912275</v>
      </c>
      <c r="N19" s="92">
        <f>'13'!AD23</f>
        <v>0.48039215686274517</v>
      </c>
      <c r="O19" s="92">
        <f>'14'!AD26</f>
        <v>0.32500000000000001</v>
      </c>
      <c r="P19" s="92">
        <f>'15'!AD25</f>
        <v>0.43640350877192979</v>
      </c>
      <c r="Q19" s="92">
        <f>'16'!AD23</f>
        <v>0.55637254901960775</v>
      </c>
      <c r="R19" s="92"/>
      <c r="S19" s="92">
        <f>'18'!AD22</f>
        <v>0.39062500000000006</v>
      </c>
      <c r="T19" s="92">
        <f>'19'!AD23</f>
        <v>0.37990196078431376</v>
      </c>
      <c r="U19" s="92">
        <f>'20'!AD22</f>
        <v>0.46875000000000006</v>
      </c>
      <c r="V19" s="92">
        <f>'21'!AD23</f>
        <v>0.48284313725490202</v>
      </c>
      <c r="W19" s="92">
        <f>'22'!AD23</f>
        <v>0.53234231080333649</v>
      </c>
      <c r="X19" s="92"/>
      <c r="Y19" s="92"/>
      <c r="Z19" s="92">
        <f>'25'!AD23</f>
        <v>0.51225490196078438</v>
      </c>
      <c r="AA19" s="92">
        <f>'26'!AD23</f>
        <v>0.42401960784313725</v>
      </c>
      <c r="AB19" s="92">
        <f>'27'!AD23</f>
        <v>0.39215686274509803</v>
      </c>
      <c r="AC19" s="92">
        <f>'28'!AD22</f>
        <v>0.3046875</v>
      </c>
      <c r="AD19" s="92">
        <f>'29'!AD23</f>
        <v>0.38480392156862747</v>
      </c>
      <c r="AE19" s="92"/>
      <c r="AF19" s="93"/>
      <c r="AG19" s="94">
        <f t="shared" si="0"/>
        <v>0.38233970414393104</v>
      </c>
    </row>
    <row r="20" spans="1:33" ht="21.75" customHeight="1" thickBot="1">
      <c r="A20" s="69" t="s">
        <v>108</v>
      </c>
      <c r="B20" s="70">
        <v>0.62</v>
      </c>
      <c r="C20" s="71">
        <v>0.62</v>
      </c>
      <c r="D20" s="71">
        <v>0.62</v>
      </c>
      <c r="E20" s="71">
        <v>0.62</v>
      </c>
      <c r="F20" s="71">
        <v>0.62</v>
      </c>
      <c r="G20" s="71">
        <v>0.62</v>
      </c>
      <c r="H20" s="71">
        <v>0.62</v>
      </c>
      <c r="I20" s="71">
        <v>0.62</v>
      </c>
      <c r="J20" s="71">
        <v>0.62</v>
      </c>
      <c r="K20" s="71">
        <v>0.62</v>
      </c>
      <c r="L20" s="71">
        <v>0.62</v>
      </c>
      <c r="M20" s="71">
        <v>0.62</v>
      </c>
      <c r="N20" s="71">
        <v>0.62</v>
      </c>
      <c r="O20" s="71">
        <v>0.62</v>
      </c>
      <c r="P20" s="71">
        <v>0.62</v>
      </c>
      <c r="Q20" s="71">
        <v>0.62</v>
      </c>
      <c r="R20" s="71">
        <v>0.62</v>
      </c>
      <c r="S20" s="71">
        <v>0.62</v>
      </c>
      <c r="T20" s="71">
        <v>0.62</v>
      </c>
      <c r="U20" s="71">
        <v>0.62</v>
      </c>
      <c r="V20" s="71">
        <v>0.62</v>
      </c>
      <c r="W20" s="71">
        <v>0.62</v>
      </c>
      <c r="X20" s="71">
        <v>0.62</v>
      </c>
      <c r="Y20" s="71">
        <v>0.62</v>
      </c>
      <c r="Z20" s="71">
        <v>0.62</v>
      </c>
      <c r="AA20" s="71">
        <v>0.62</v>
      </c>
      <c r="AB20" s="71">
        <v>0.62</v>
      </c>
      <c r="AC20" s="71">
        <v>0.62</v>
      </c>
      <c r="AD20" s="71">
        <v>0.62</v>
      </c>
      <c r="AE20" s="71">
        <v>0.62</v>
      </c>
      <c r="AF20" s="72">
        <v>0.62</v>
      </c>
      <c r="AG20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26</vt:i4>
      </vt:variant>
      <vt:variant>
        <vt:lpstr>이름 지정된 범위</vt:lpstr>
      </vt:variant>
      <vt:variant>
        <vt:i4>50</vt:i4>
      </vt:variant>
    </vt:vector>
  </HeadingPairs>
  <TitlesOfParts>
    <vt:vector size="76" baseType="lpstr">
      <vt:lpstr>01</vt:lpstr>
      <vt:lpstr>02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18</vt:lpstr>
      <vt:lpstr>19</vt:lpstr>
      <vt:lpstr>20</vt:lpstr>
      <vt:lpstr>21</vt:lpstr>
      <vt:lpstr>22</vt:lpstr>
      <vt:lpstr>25</vt:lpstr>
      <vt:lpstr>26</vt:lpstr>
      <vt:lpstr>27</vt:lpstr>
      <vt:lpstr>28</vt:lpstr>
      <vt:lpstr>29</vt:lpstr>
      <vt:lpstr>총괄</vt:lpstr>
      <vt:lpstr>'01'!Print_Area</vt:lpstr>
      <vt:lpstr>'02'!Print_Area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'18'!Print_Area</vt:lpstr>
      <vt:lpstr>'19'!Print_Area</vt:lpstr>
      <vt:lpstr>'20'!Print_Area</vt:lpstr>
      <vt:lpstr>'21'!Print_Area</vt:lpstr>
      <vt:lpstr>'22'!Print_Area</vt:lpstr>
      <vt:lpstr>'25'!Print_Area</vt:lpstr>
      <vt:lpstr>'26'!Print_Area</vt:lpstr>
      <vt:lpstr>'27'!Print_Area</vt:lpstr>
      <vt:lpstr>'28'!Print_Area</vt:lpstr>
      <vt:lpstr>'29'!Print_Area</vt:lpstr>
      <vt:lpstr>'01'!ㅁ1</vt:lpstr>
      <vt:lpstr>'02'!ㅁ1</vt:lpstr>
      <vt:lpstr>'04'!ㅁ1</vt:lpstr>
      <vt:lpstr>'05'!ㅁ1</vt:lpstr>
      <vt:lpstr>'06'!ㅁ1</vt:lpstr>
      <vt:lpstr>'07'!ㅁ1</vt:lpstr>
      <vt:lpstr>'08'!ㅁ1</vt:lpstr>
      <vt:lpstr>'09'!ㅁ1</vt:lpstr>
      <vt:lpstr>'10'!ㅁ1</vt:lpstr>
      <vt:lpstr>'11'!ㅁ1</vt:lpstr>
      <vt:lpstr>'12'!ㅁ1</vt:lpstr>
      <vt:lpstr>'13'!ㅁ1</vt:lpstr>
      <vt:lpstr>'14'!ㅁ1</vt:lpstr>
      <vt:lpstr>'15'!ㅁ1</vt:lpstr>
      <vt:lpstr>'16'!ㅁ1</vt:lpstr>
      <vt:lpstr>'18'!ㅁ1</vt:lpstr>
      <vt:lpstr>'19'!ㅁ1</vt:lpstr>
      <vt:lpstr>'20'!ㅁ1</vt:lpstr>
      <vt:lpstr>'21'!ㅁ1</vt:lpstr>
      <vt:lpstr>'22'!ㅁ1</vt:lpstr>
      <vt:lpstr>'25'!ㅁ1</vt:lpstr>
      <vt:lpstr>'26'!ㅁ1</vt:lpstr>
      <vt:lpstr>'27'!ㅁ1</vt:lpstr>
      <vt:lpstr>'28'!ㅁ1</vt:lpstr>
      <vt:lpstr>'29'!ㅁ1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2020-03-30T05:00:42Z</cp:lastPrinted>
  <dcterms:created xsi:type="dcterms:W3CDTF">2014-05-16T00:06:55Z</dcterms:created>
  <dcterms:modified xsi:type="dcterms:W3CDTF">2020-05-30T02:52:53Z</dcterms:modified>
</cp:coreProperties>
</file>